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olors2.xml" ContentType="application/vnd.ms-office.chartcolorstyle+xml"/>
  <Override PartName="/xl/charts/style2.xml" ContentType="application/vnd.ms-office.chartstyle+xml"/>
  <Override PartName="/xl/charts/chart2.xml" ContentType="application/vnd.openxmlformats-officedocument.drawingml.chart+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drawings/drawing1.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worksheets/sheet2.xml" ContentType="application/vnd.openxmlformats-officedocument.spreadsheetml.worksheet+xml"/>
  <Override PartName="/xl/worksheets/sheet3.xml" ContentType="application/vnd.openxmlformats-officedocument.spreadsheetml.worksheet+xml"/>
  <Override PartName="/xl/charts/colors4.xml" ContentType="application/vnd.ms-office.chartcolorstyle+xml"/>
  <Override PartName="/xl/charts/style4.xml" ContentType="application/vnd.ms-office.chartstyle+xml"/>
  <Override PartName="/xl/charts/chart4.xml" ContentType="application/vnd.openxmlformats-officedocument.drawingml.char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57.xml" ContentType="application/vnd.openxmlformats-officedocument.spreadsheetml.worksheet+xml"/>
  <Override PartName="/xl/worksheets/sheet56.xml" ContentType="application/vnd.openxmlformats-officedocument.spreadsheetml.worksheet+xml"/>
  <Override PartName="/xl/worksheets/sheet55.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styles.xml" ContentType="application/vnd.openxmlformats-officedocument.spreadsheetml.styles+xml"/>
  <Override PartName="/xl/worksheets/sheet63.xml" ContentType="application/vnd.openxmlformats-officedocument.spreadsheetml.worksheet+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16.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CBR-FY14 Reports\"/>
    </mc:Choice>
  </mc:AlternateContent>
  <workbookProtection workbookAlgorithmName="SHA-512" workbookHashValue="MgxiGWu24a30Yr6tSmb3ULl/Bp6V3uMgSQ0+eoykxyXdsgCJ8uHvz/iM2uBFeCcfCBLVJ9OI7FDPXICq5w+4Mw==" workbookSaltValue="V8Er+yIRZdVJsw91r9q6sg==" workbookSpinCount="100000" lockStructure="1"/>
  <bookViews>
    <workbookView xWindow="-15" yWindow="6390" windowWidth="28830" windowHeight="6450" tabRatio="874" firstSheet="5" activeTab="5"/>
  </bookViews>
  <sheets>
    <sheet name="DME_NSPI-all" sheetId="3" state="hidden" r:id="rId1"/>
    <sheet name="DME_NSPI-Acute" sheetId="65" state="hidden" r:id="rId2"/>
    <sheet name="NSP" sheetId="8" state="hidden" r:id="rId3"/>
    <sheet name="Final Charity Care" sheetId="64" state="hidden" r:id="rId4"/>
    <sheet name="Charts" sheetId="6" state="hidden" r:id="rId5"/>
    <sheet name="CB Table 1 " sheetId="5" r:id="rId6"/>
    <sheet name="Rate Support-Attachment I" sheetId="4" r:id="rId7"/>
    <sheet name="Attachment II All Hospitals" sheetId="7" r:id="rId8"/>
    <sheet name="Attachment III-Acute" sheetId="61" state="hidden" r:id="rId9"/>
    <sheet name="Attachment III-Specialty" sheetId="62" state="hidden" r:id="rId10"/>
    <sheet name="Attachment III-All" sheetId="60" r:id="rId11"/>
    <sheet name="#1-Meritus" sheetId="38" r:id="rId12"/>
    <sheet name="#2-UMMC" sheetId="56" r:id="rId13"/>
    <sheet name="#3-Prince Georges Hospital" sheetId="42" r:id="rId14"/>
    <sheet name="#4-Holy Cross Hospital" sheetId="23" r:id="rId15"/>
    <sheet name="#5-Frederick Memorial Hospital" sheetId="19" r:id="rId16"/>
    <sheet name="#6-UM Harford Memorial" sheetId="52" r:id="rId17"/>
    <sheet name="#8-Mercy" sheetId="37" r:id="rId18"/>
    <sheet name="#9-Johns Hopkins" sheetId="26" r:id="rId19"/>
    <sheet name="#10-UM Shore Health Dorchester" sheetId="46" r:id="rId20"/>
    <sheet name="#11-St. Agnes Hospital" sheetId="43" r:id="rId21"/>
    <sheet name="#12-Lifebridge Sinai Hospital" sheetId="48" r:id="rId22"/>
    <sheet name="#13-Bon Secours" sheetId="15" r:id="rId23"/>
    <sheet name="#15-MedStar Franklin Square" sheetId="30" r:id="rId24"/>
    <sheet name="#16-Washington Adventist" sheetId="12" r:id="rId25"/>
    <sheet name="#17-Garrett County Memorial" sheetId="21" r:id="rId26"/>
    <sheet name="#18-MedStar Montgomery General" sheetId="33" r:id="rId27"/>
    <sheet name="#19-Peninsula Regional" sheetId="41" r:id="rId28"/>
    <sheet name="#22-Suburban" sheetId="49" r:id="rId29"/>
    <sheet name="#23-Anne Arundel Medical Center" sheetId="13" r:id="rId30"/>
    <sheet name="#24-MedStar Union Memorial" sheetId="36" r:id="rId31"/>
    <sheet name="#27-Western Maryland Regional" sheetId="59" r:id="rId32"/>
    <sheet name="#28-MedStar St. Marys" sheetId="35" r:id="rId33"/>
    <sheet name="#29-Johns Hopkins Bayview" sheetId="25" r:id="rId34"/>
    <sheet name="#30-UM Shore Health Chester Riv" sheetId="47" r:id="rId35"/>
    <sheet name="#32-Union Hospital Cecil Co" sheetId="58" r:id="rId36"/>
    <sheet name="#33-Carroll Hospital Center" sheetId="17" r:id="rId37"/>
    <sheet name="#34-MedStar Harbor Hospital" sheetId="32" r:id="rId38"/>
    <sheet name="#35-UM Charles Regional" sheetId="51" r:id="rId39"/>
    <sheet name="#37-UM Shore Health Easton" sheetId="45" r:id="rId40"/>
    <sheet name="#38-UM Midtown" sheetId="53" r:id="rId41"/>
    <sheet name="#39-Calvert Memorial" sheetId="16" r:id="rId42"/>
    <sheet name="#40-Lifebridge Northwest" sheetId="40" r:id="rId43"/>
    <sheet name="#43-UM BWMC" sheetId="50" r:id="rId44"/>
    <sheet name="#44-GBMC" sheetId="22" r:id="rId45"/>
    <sheet name="#45-McCready" sheetId="29" r:id="rId46"/>
    <sheet name="#48-Howard County" sheetId="24" r:id="rId47"/>
    <sheet name="#49-UM Upper Chesapeake Medical" sheetId="55" r:id="rId48"/>
    <sheet name="#51-Doctors Community Hospital" sheetId="18" r:id="rId49"/>
    <sheet name="#55-Laurel Regional" sheetId="27" r:id="rId50"/>
    <sheet name="#60-Ft. Washington Medical" sheetId="20" r:id="rId51"/>
    <sheet name="#61-Atlantic General" sheetId="14" r:id="rId52"/>
    <sheet name="#62-Medstar Southern Maryland" sheetId="34" r:id="rId53"/>
    <sheet name="#63-UM St Joseph" sheetId="54" r:id="rId54"/>
    <sheet name=" #2001-UM Rehab &amp; Ortho Inst." sheetId="57" r:id="rId55"/>
    <sheet name="#2004-MedStar Good Samaritan" sheetId="31" r:id="rId56"/>
    <sheet name="#5050-Shady Grove Adventist" sheetId="11" r:id="rId57"/>
    <sheet name="#64-Levindale" sheetId="28" r:id="rId58"/>
    <sheet name="#3029-Adventist Rehab" sheetId="10" r:id="rId59"/>
    <sheet name="#3478-ABH-ES" sheetId="1" r:id="rId60"/>
    <sheet name="#4000-Sheppard Pratt" sheetId="44" r:id="rId61"/>
    <sheet name="#4013-ABH-Rockville" sheetId="9" r:id="rId62"/>
    <sheet name="#5034-Mt. Washington Pediatric" sheetId="39" r:id="rId63"/>
  </sheets>
  <externalReferences>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_xlnm._FilterDatabase" localSheetId="7" hidden="1">'Attachment II All Hospitals'!$A$2:$K$2</definedName>
    <definedName name="_xlnm._FilterDatabase" localSheetId="4" hidden="1">Charts!$A$2:$C$12</definedName>
    <definedName name="acct" localSheetId="8">#REF!</definedName>
    <definedName name="acct" localSheetId="10">#REF!</definedName>
    <definedName name="acct" localSheetId="9">#REF!</definedName>
    <definedName name="acct" localSheetId="1">#REF!</definedName>
    <definedName name="acct">#REF!</definedName>
    <definedName name="acct1" localSheetId="8">#REF!</definedName>
    <definedName name="acct1" localSheetId="10">#REF!</definedName>
    <definedName name="acct1" localSheetId="9">#REF!</definedName>
    <definedName name="acct1" localSheetId="1">#REF!</definedName>
    <definedName name="acct1">#REF!</definedName>
    <definedName name="bal_umc" localSheetId="8">'[1]p8 CONS BS'!#REF!</definedName>
    <definedName name="bal_umc" localSheetId="10">'[1]p8 CONS BS'!#REF!</definedName>
    <definedName name="bal_umc" localSheetId="9">'[1]p8 CONS BS'!#REF!</definedName>
    <definedName name="bal_umc" localSheetId="1">'[1]p8 CONS BS'!#REF!</definedName>
    <definedName name="bal_umc">'[1]p8 CONS BS'!#REF!</definedName>
    <definedName name="BALANCE_UMMC" localSheetId="8">'[1]p8 CONS BS'!#REF!</definedName>
    <definedName name="BALANCE_UMMC" localSheetId="10">'[1]p8 CONS BS'!#REF!</definedName>
    <definedName name="BALANCE_UMMC" localSheetId="9">'[1]p8 CONS BS'!#REF!</definedName>
    <definedName name="BALANCE_UMMC" localSheetId="1">'[1]p8 CONS BS'!#REF!</definedName>
    <definedName name="BALANCE_UMMC">'[1]p8 CONS BS'!#REF!</definedName>
    <definedName name="C_Code" localSheetId="8">[2]D!#REF!</definedName>
    <definedName name="C_Code" localSheetId="9">[2]D!#REF!</definedName>
    <definedName name="C_Code" localSheetId="1">[2]D!#REF!</definedName>
    <definedName name="C_Code">[2]D!#REF!</definedName>
    <definedName name="C_Num" localSheetId="8">[2]D!#REF!</definedName>
    <definedName name="C_Num" localSheetId="9">[2]D!#REF!</definedName>
    <definedName name="C_Num" localSheetId="1">[2]D!#REF!</definedName>
    <definedName name="C_Num">[2]D!#REF!</definedName>
    <definedName name="CASH_UMMC" localSheetId="8">'[1]p10 CF'!#REF!</definedName>
    <definedName name="CASH_UMMC" localSheetId="9">'[1]p10 CF'!#REF!</definedName>
    <definedName name="CASH_UMMC" localSheetId="1">'[1]p10 CF'!#REF!</definedName>
    <definedName name="CASH_UMMC">'[1]p10 CF'!#REF!</definedName>
    <definedName name="CFA_I" localSheetId="12">#REF!</definedName>
    <definedName name="CFA_I" localSheetId="8">#REF!</definedName>
    <definedName name="CFA_I" localSheetId="10">#REF!</definedName>
    <definedName name="CFA_I" localSheetId="9">#REF!</definedName>
    <definedName name="CFA_I" localSheetId="1">#REF!</definedName>
    <definedName name="CFA_I">#REF!</definedName>
    <definedName name="consol" localSheetId="8">#REF!</definedName>
    <definedName name="consol" localSheetId="10">#REF!</definedName>
    <definedName name="consol" localSheetId="9">#REF!</definedName>
    <definedName name="consol" localSheetId="1">#REF!</definedName>
    <definedName name="consol">#REF!</definedName>
    <definedName name="CPV" localSheetId="8">#REF!</definedName>
    <definedName name="CPV" localSheetId="9">#REF!</definedName>
    <definedName name="CPV" localSheetId="1">#REF!</definedName>
    <definedName name="CPV">#REF!</definedName>
    <definedName name="csh_ummc" localSheetId="8">'[1]p10 CF'!#REF!</definedName>
    <definedName name="csh_ummc" localSheetId="10">'[1]p10 CF'!#REF!</definedName>
    <definedName name="csh_ummc" localSheetId="9">'[1]p10 CF'!#REF!</definedName>
    <definedName name="csh_ummc" localSheetId="1">'[1]p10 CF'!#REF!</definedName>
    <definedName name="csh_ummc">'[1]p10 CF'!#REF!</definedName>
    <definedName name="CurrRO">'[3]PY RO'!$A$13:$K$86</definedName>
    <definedName name="DataRange" localSheetId="8">#REF!</definedName>
    <definedName name="DataRange" localSheetId="10">#REF!</definedName>
    <definedName name="DataRange" localSheetId="9">#REF!</definedName>
    <definedName name="DataRange" localSheetId="1">#REF!</definedName>
    <definedName name="DataRange">#REF!</definedName>
    <definedName name="dept" localSheetId="8">#REF!</definedName>
    <definedName name="dept" localSheetId="10">#REF!</definedName>
    <definedName name="dept" localSheetId="9">#REF!</definedName>
    <definedName name="dept" localSheetId="1">#REF!</definedName>
    <definedName name="dept">#REF!</definedName>
    <definedName name="DP_Schedule" localSheetId="8">#REF!</definedName>
    <definedName name="DP_Schedule" localSheetId="9">#REF!</definedName>
    <definedName name="DP_Schedule" localSheetId="1">#REF!</definedName>
    <definedName name="DP_Schedule">#REF!</definedName>
    <definedName name="Exh_II" localSheetId="8">#REF!</definedName>
    <definedName name="Exh_II" localSheetId="9">#REF!</definedName>
    <definedName name="Exh_II" localSheetId="1">#REF!</definedName>
    <definedName name="Exh_II">#REF!</definedName>
    <definedName name="Exh_V" localSheetId="8">#REF!</definedName>
    <definedName name="Exh_V" localSheetId="9">#REF!</definedName>
    <definedName name="Exh_V" localSheetId="1">#REF!</definedName>
    <definedName name="Exh_V">#REF!</definedName>
    <definedName name="Factors_I" localSheetId="12">#REF!</definedName>
    <definedName name="Factors_I" localSheetId="8">#REF!</definedName>
    <definedName name="Factors_I" localSheetId="10">#REF!</definedName>
    <definedName name="Factors_I" localSheetId="9">#REF!</definedName>
    <definedName name="Factors_I" localSheetId="1">#REF!</definedName>
    <definedName name="Factors_I">#REF!</definedName>
    <definedName name="flex" localSheetId="8">#REF!</definedName>
    <definedName name="flex" localSheetId="10">#REF!</definedName>
    <definedName name="flex" localSheetId="9">#REF!</definedName>
    <definedName name="flex" localSheetId="1">#REF!</definedName>
    <definedName name="flex">#REF!</definedName>
    <definedName name="FUND_CONS" localSheetId="8">#REF!</definedName>
    <definedName name="FUND_CONS" localSheetId="10">#REF!</definedName>
    <definedName name="FUND_CONS" localSheetId="9">#REF!</definedName>
    <definedName name="FUND_CONS" localSheetId="1">#REF!</definedName>
    <definedName name="FUND_CONS">#REF!</definedName>
    <definedName name="HeaderRange" localSheetId="8">#REF!</definedName>
    <definedName name="HeaderRange" localSheetId="10">#REF!</definedName>
    <definedName name="HeaderRange" localSheetId="9">#REF!</definedName>
    <definedName name="HeaderRange" localSheetId="1">#REF!</definedName>
    <definedName name="HeaderRange">#REF!</definedName>
    <definedName name="Hosp_Num">'[3]Gen Info'!$B$4</definedName>
    <definedName name="Hospital_Phys" localSheetId="8">#REF!</definedName>
    <definedName name="Hospital_Phys" localSheetId="9">#REF!</definedName>
    <definedName name="Hospital_Phys" localSheetId="1">#REF!</definedName>
    <definedName name="Hospital_Phys">#REF!</definedName>
    <definedName name="inac1">[4]UMH!$A$976:$W$1022</definedName>
    <definedName name="inac4">[4]CC!$A$136:$W$140</definedName>
    <definedName name="inac7">[4]STC!$A$208:$W$212</definedName>
    <definedName name="ker" localSheetId="8">#REF!</definedName>
    <definedName name="ker" localSheetId="10">#REF!</definedName>
    <definedName name="ker" localSheetId="9">#REF!</definedName>
    <definedName name="ker" localSheetId="1">#REF!</definedName>
    <definedName name="ker">#REF!</definedName>
    <definedName name="kernan" localSheetId="8">#REF!</definedName>
    <definedName name="kernan" localSheetId="10">#REF!</definedName>
    <definedName name="kernan" localSheetId="9">#REF!</definedName>
    <definedName name="kernan" localSheetId="1">#REF!</definedName>
    <definedName name="kernan">#REF!</definedName>
    <definedName name="LookDate">'[3]Cvr (DON''T HIDE)'!$P$1:$Q$12</definedName>
    <definedName name="Med_Ed" localSheetId="8">#REF!</definedName>
    <definedName name="Med_Ed" localSheetId="9">#REF!</definedName>
    <definedName name="Med_Ed" localSheetId="1">#REF!</definedName>
    <definedName name="Med_Ed">#REF!</definedName>
    <definedName name="mrh" localSheetId="8">#REF!</definedName>
    <definedName name="mrh" localSheetId="10">#REF!</definedName>
    <definedName name="mrh" localSheetId="9">#REF!</definedName>
    <definedName name="mrh" localSheetId="1">#REF!</definedName>
    <definedName name="mrh">#REF!</definedName>
    <definedName name="MTC_Test">[3]MTC!$C$17</definedName>
    <definedName name="P1_Test">[3]P1!$J$102</definedName>
    <definedName name="P2_Test">[3]P2!$J$245</definedName>
    <definedName name="P3_Test">[3]P3!$F$83</definedName>
    <definedName name="P4_Test">[3]P4!$J$283</definedName>
    <definedName name="P5_Test">[3]P5!$J$284</definedName>
    <definedName name="pan" localSheetId="8">'[1]p7 CONS IS'!#REF!</definedName>
    <definedName name="pan" localSheetId="10">'[1]p7 CONS IS'!#REF!</definedName>
    <definedName name="pan" localSheetId="9">'[1]p7 CONS IS'!#REF!</definedName>
    <definedName name="pan" localSheetId="1">'[1]p7 CONS IS'!#REF!</definedName>
    <definedName name="pan">'[1]p7 CONS IS'!#REF!</definedName>
    <definedName name="PANDL" localSheetId="8">'[1]p7 CONS IS'!#REF!</definedName>
    <definedName name="PANDL" localSheetId="10">'[1]p7 CONS IS'!#REF!</definedName>
    <definedName name="PANDL" localSheetId="9">'[1]p7 CONS IS'!#REF!</definedName>
    <definedName name="PANDL" localSheetId="1">'[1]p7 CONS IS'!#REF!</definedName>
    <definedName name="PANDL">'[1]p7 CONS IS'!#REF!</definedName>
    <definedName name="PLROWS" localSheetId="8">#REF!</definedName>
    <definedName name="PLROWS" localSheetId="10">#REF!</definedName>
    <definedName name="PLROWS" localSheetId="9">#REF!</definedName>
    <definedName name="PLROWS" localSheetId="1">#REF!</definedName>
    <definedName name="PLROWS">#REF!</definedName>
    <definedName name="_xlnm.Print_Area" localSheetId="54">' #2001-UM Rehab &amp; Ortho Inst.'!$A$1:$L$156</definedName>
    <definedName name="_xlnm.Print_Area" localSheetId="20">'#11-St. Agnes Hospital'!$A$1:$L$156</definedName>
    <definedName name="_xlnm.Print_Area" localSheetId="21">'#12-Lifebridge Sinai Hospital'!$A$1:$L$156</definedName>
    <definedName name="_xlnm.Print_Area" localSheetId="24">'#16-Washington Adventist'!$A$1:$L$156</definedName>
    <definedName name="_xlnm.Print_Area" localSheetId="25">'#17-Garrett County Memorial'!$A$1:$L$156</definedName>
    <definedName name="_xlnm.Print_Area" localSheetId="11">'#1-Meritus'!$A$1:$L$156</definedName>
    <definedName name="_xlnm.Print_Area" localSheetId="28">'#22-Suburban'!$A$1:$K$156</definedName>
    <definedName name="_xlnm.Print_Area" localSheetId="29">'#23-Anne Arundel Medical Center'!$A$1:$L$156</definedName>
    <definedName name="_xlnm.Print_Area" localSheetId="31">'#27-Western Maryland Regional'!$A$1:$L$156</definedName>
    <definedName name="_xlnm.Print_Area" localSheetId="12">'#2-UMMC'!$A$1:$L$156</definedName>
    <definedName name="_xlnm.Print_Area" localSheetId="58">'#3029-Adventist Rehab'!$A$1:$L$156</definedName>
    <definedName name="_xlnm.Print_Area" localSheetId="35">'#32-Union Hospital Cecil Co'!$A$1:$L$156</definedName>
    <definedName name="_xlnm.Print_Area" localSheetId="36">'#33-Carroll Hospital Center'!$A$1:$L$156</definedName>
    <definedName name="_xlnm.Print_Area" localSheetId="59">'#3478-ABH-ES'!$A$1:$L$156</definedName>
    <definedName name="_xlnm.Print_Area" localSheetId="38">'#35-UM Charles Regional'!$A$1:$L$156</definedName>
    <definedName name="_xlnm.Print_Area" localSheetId="40">'#38-UM Midtown'!$A$1:$L$156</definedName>
    <definedName name="_xlnm.Print_Area" localSheetId="41">'#39-Calvert Memorial'!$A$1:$L$156</definedName>
    <definedName name="_xlnm.Print_Area" localSheetId="13">'#3-Prince Georges Hospital'!$A$1:$L$156</definedName>
    <definedName name="_xlnm.Print_Area" localSheetId="60">'#4000-Sheppard Pratt'!$A$1:$L$156</definedName>
    <definedName name="_xlnm.Print_Area" localSheetId="61">'#4013-ABH-Rockville'!$A$1:$L$156</definedName>
    <definedName name="_xlnm.Print_Area" localSheetId="42">'#40-Lifebridge Northwest'!$A$1:$L$156</definedName>
    <definedName name="_xlnm.Print_Area" localSheetId="43">'#43-UM BWMC'!$A$1:$L$156</definedName>
    <definedName name="_xlnm.Print_Area" localSheetId="44">'#44-GBMC'!$A$1:$L$156</definedName>
    <definedName name="_xlnm.Print_Area" localSheetId="45">'#45-McCready'!$A$1:$L$156</definedName>
    <definedName name="_xlnm.Print_Area" localSheetId="46">'#48-Howard County'!$A$1:$L$156</definedName>
    <definedName name="_xlnm.Print_Area" localSheetId="47">'#49-UM Upper Chesapeake Medical'!$A$1:$L$156</definedName>
    <definedName name="_xlnm.Print_Area" localSheetId="14">'#4-Holy Cross Hospital'!$A$1:$L$156</definedName>
    <definedName name="_xlnm.Print_Area" localSheetId="56">'#5050-Shady Grove Adventist'!$A$1:$L$156</definedName>
    <definedName name="_xlnm.Print_Area" localSheetId="48">'#51-Doctors Community Hospital'!$A$1:$L$156</definedName>
    <definedName name="_xlnm.Print_Area" localSheetId="49">'#55-Laurel Regional'!$A$1:$L$156</definedName>
    <definedName name="_xlnm.Print_Area" localSheetId="15">'#5-Frederick Memorial Hospital'!$A$1:$L$156</definedName>
    <definedName name="_xlnm.Print_Area" localSheetId="50">'#60-Ft. Washington Medical'!$A$1:$L$156</definedName>
    <definedName name="_xlnm.Print_Area" localSheetId="51">'#61-Atlantic General'!$A$1:$L$156</definedName>
    <definedName name="_xlnm.Print_Area" localSheetId="53">'#63-UM St Joseph'!$A$1:$L$156</definedName>
    <definedName name="_xlnm.Print_Area" localSheetId="57">'#64-Levindale'!$A$1:$L$156</definedName>
    <definedName name="_xlnm.Print_Area" localSheetId="16">'#6-UM Harford Memorial'!$A$1:$L$156</definedName>
    <definedName name="_xlnm.Print_Area" localSheetId="17">'#8-Mercy'!$A$1:$L$156</definedName>
    <definedName name="_xlnm.Print_Area" localSheetId="7">'Attachment II All Hospitals'!$A$1:$K$58</definedName>
    <definedName name="_xlnm.Print_Area" localSheetId="9">'[1]p7 CONS IS'!#REF!</definedName>
    <definedName name="_xlnm.Print_Area" localSheetId="5">'CB Table 1 '!$A$1:$G$13</definedName>
    <definedName name="_xlnm.Print_Area" localSheetId="4">Charts!$A$1:$O$86</definedName>
    <definedName name="_xlnm.Print_Area" localSheetId="1">'DME_NSPI-Acute'!$A$1:$E$48</definedName>
    <definedName name="_xlnm.Print_Area" localSheetId="0">'DME_NSPI-all'!$A$1:$E$54</definedName>
    <definedName name="_xlnm.Print_Area" localSheetId="6">'Rate Support-Attachment I'!$A$4:$F$57</definedName>
    <definedName name="_xlnm.Print_Area">'[1]p7 CONS IS'!#REF!</definedName>
    <definedName name="_xlnm.Print_Titles" localSheetId="19">'#10-UM Shore Health Dorchester'!$1:$12</definedName>
    <definedName name="_xlnm.Print_Titles" localSheetId="34">'#30-UM Shore Health Chester Riv'!$1:$12</definedName>
    <definedName name="_xlnm.Print_Titles" localSheetId="39">'#37-UM Shore Health Easton'!$1:$12</definedName>
    <definedName name="_xlnm.Print_Titles" localSheetId="8">'Attachment III-Acute'!$1:$1</definedName>
    <definedName name="_xlnm.Print_Titles" localSheetId="10">'Attachment III-All'!$1:$1</definedName>
    <definedName name="_xlnm.Print_Titles" localSheetId="9">'Attachment III-Specialty'!$1:$1</definedName>
    <definedName name="Prior_M">'[3]Input M'!$A$4:$I$85</definedName>
    <definedName name="Prior_TB">'[3]Input TB'!$B$4:$CV$133</definedName>
    <definedName name="Psych?" localSheetId="53">'[3]Gen Info'!$B$16</definedName>
    <definedName name="Psych?">'[5]Gen Info'!$B$17</definedName>
    <definedName name="PY_M">[3]PY_M!$A$4:$AP$106</definedName>
    <definedName name="Rate_Realignment" localSheetId="8">#REF!</definedName>
    <definedName name="Rate_Realignment" localSheetId="9">#REF!</definedName>
    <definedName name="Rate_Realignment" localSheetId="1">#REF!</definedName>
    <definedName name="Rate_Realignment">#REF!</definedName>
    <definedName name="RNAdj" localSheetId="12">[6]RR!#REF!</definedName>
    <definedName name="RNAdj" localSheetId="8">[7]RR!#REF!</definedName>
    <definedName name="RNAdj" localSheetId="9">[7]RR!#REF!</definedName>
    <definedName name="RNAdj" localSheetId="1">[7]RR!#REF!</definedName>
    <definedName name="RNAdj">[7]RR!#REF!</definedName>
    <definedName name="RoutineSpread" localSheetId="12">[6]RR!#REF!</definedName>
    <definedName name="RoutineSpread" localSheetId="8">[7]RR!#REF!</definedName>
    <definedName name="RoutineSpread" localSheetId="9">[7]RR!#REF!</definedName>
    <definedName name="RoutineSpread" localSheetId="1">[7]RR!#REF!</definedName>
    <definedName name="RoutineSpread">[7]RR!#REF!</definedName>
    <definedName name="RR_1" localSheetId="8">#REF!</definedName>
    <definedName name="RR_1" localSheetId="9">#REF!</definedName>
    <definedName name="RR_1" localSheetId="1">#REF!</definedName>
    <definedName name="RR_1">#REF!</definedName>
    <definedName name="RR_2" localSheetId="12">#REF!</definedName>
    <definedName name="RR_2" localSheetId="8">#REF!</definedName>
    <definedName name="RR_2" localSheetId="10">#REF!</definedName>
    <definedName name="RR_2" localSheetId="9">#REF!</definedName>
    <definedName name="RR_2" localSheetId="1">#REF!</definedName>
    <definedName name="RR_2">#REF!</definedName>
    <definedName name="RRAdjustor" localSheetId="12">#REF!</definedName>
    <definedName name="RRAdjustor" localSheetId="8">#REF!</definedName>
    <definedName name="RRAdjustor" localSheetId="10">#REF!</definedName>
    <definedName name="RRAdjustor" localSheetId="9">#REF!</definedName>
    <definedName name="RRAdjustor" localSheetId="1">#REF!</definedName>
    <definedName name="RRAdjustor">#REF!</definedName>
    <definedName name="SortRange" localSheetId="8">#REF!</definedName>
    <definedName name="SortRange" localSheetId="10">#REF!</definedName>
    <definedName name="SortRange" localSheetId="9">#REF!</definedName>
    <definedName name="SortRange" localSheetId="1">#REF!</definedName>
    <definedName name="SortRange">#REF!</definedName>
    <definedName name="Supp_Birth_I">'[3]SB Input'!$A$1</definedName>
    <definedName name="Supp2" localSheetId="8">#REF!</definedName>
    <definedName name="Supp2" localSheetId="9">#REF!</definedName>
    <definedName name="Supp2" localSheetId="1">#REF!</definedName>
    <definedName name="Supp2">#REF!</definedName>
    <definedName name="Supp4" localSheetId="8">#REF!</definedName>
    <definedName name="Supp4" localSheetId="9">#REF!</definedName>
    <definedName name="Supp4" localSheetId="1">#REF!</definedName>
    <definedName name="Supp4">#REF!</definedName>
    <definedName name="SUPPLEMENTAL_SCHEDULE_6" localSheetId="8">#REF!</definedName>
    <definedName name="SUPPLEMENTAL_SCHEDULE_6" localSheetId="9">#REF!</definedName>
    <definedName name="SUPPLEMENTAL_SCHEDULE_6" localSheetId="1">#REF!</definedName>
    <definedName name="SUPPLEMENTAL_SCHEDULE_6">#REF!</definedName>
    <definedName name="T_Bal">'[3]Expense TB'!$B$15:$DL$146</definedName>
    <definedName name="Titles" localSheetId="8">#REF!</definedName>
    <definedName name="Titles" localSheetId="10">#REF!</definedName>
    <definedName name="Titles" localSheetId="9">#REF!</definedName>
    <definedName name="Titles" localSheetId="1">#REF!</definedName>
    <definedName name="Titles">#REF!</definedName>
    <definedName name="TopSection" localSheetId="8">#REF!</definedName>
    <definedName name="TopSection" localSheetId="10">#REF!</definedName>
    <definedName name="TopSection" localSheetId="9">#REF!</definedName>
    <definedName name="TopSection" localSheetId="1">#REF!</definedName>
    <definedName name="TopSection">#REF!</definedName>
    <definedName name="ttl.salaries" localSheetId="8">#REF!</definedName>
    <definedName name="ttl.salaries" localSheetId="10">#REF!</definedName>
    <definedName name="ttl.salaries" localSheetId="9">#REF!</definedName>
    <definedName name="ttl.salaries" localSheetId="1">#REF!</definedName>
    <definedName name="ttl.salaries">#REF!</definedName>
    <definedName name="UMMC_DEAT" localSheetId="8">'[1]p8 CONS BS'!#REF!</definedName>
    <definedName name="UMMC_DEAT" localSheetId="10">'[1]p8 CONS BS'!#REF!</definedName>
    <definedName name="UMMC_DEAT" localSheetId="9">'[1]p8 CONS BS'!#REF!</definedName>
    <definedName name="UMMC_DEAT" localSheetId="1">'[1]p8 CONS BS'!#REF!</definedName>
    <definedName name="UMMC_DEAT">'[1]p8 CONS BS'!#REF!</definedName>
    <definedName name="UR_Rev_I" localSheetId="12">#REF!</definedName>
    <definedName name="UR_Rev_I" localSheetId="8">#REF!</definedName>
    <definedName name="UR_Rev_I" localSheetId="10">#REF!</definedName>
    <definedName name="UR_Rev_I" localSheetId="9">#REF!</definedName>
    <definedName name="UR_Rev_I" localSheetId="1">#REF!</definedName>
    <definedName name="UR_Rev_I">#REF!</definedName>
    <definedName name="URS_Schedule" localSheetId="12">#REF!</definedName>
    <definedName name="URS_Schedule" localSheetId="8">#REF!</definedName>
    <definedName name="URS_Schedule" localSheetId="10">#REF!</definedName>
    <definedName name="URS_Schedule" localSheetId="9">#REF!</definedName>
    <definedName name="URS_Schedule" localSheetId="1">#REF!</definedName>
    <definedName name="URS_Schedule">#REF!</definedName>
  </definedNames>
  <calcPr calcId="152511"/>
</workbook>
</file>

<file path=xl/calcChain.xml><?xml version="1.0" encoding="utf-8"?>
<calcChain xmlns="http://schemas.openxmlformats.org/spreadsheetml/2006/main">
  <c r="B30" i="6" l="1"/>
  <c r="C66" i="6" l="1"/>
  <c r="C67" i="6"/>
  <c r="C68" i="6"/>
  <c r="C69" i="6"/>
  <c r="C70" i="6"/>
  <c r="C65" i="6"/>
  <c r="I64" i="49" l="1"/>
  <c r="J64" i="49"/>
  <c r="K64" i="49"/>
  <c r="H64" i="49"/>
  <c r="G64" i="49"/>
  <c r="F64" i="49"/>
  <c r="I64" i="41"/>
  <c r="J64" i="41"/>
  <c r="K64" i="41"/>
  <c r="H64" i="41"/>
  <c r="G64" i="41"/>
  <c r="F64" i="41"/>
  <c r="G43" i="61" s="1"/>
  <c r="I64" i="33"/>
  <c r="J64" i="33"/>
  <c r="K64" i="33"/>
  <c r="H64" i="33"/>
  <c r="G64" i="30"/>
  <c r="H64" i="30"/>
  <c r="I64" i="30"/>
  <c r="J64" i="30"/>
  <c r="K64" i="30"/>
  <c r="F64" i="30"/>
  <c r="G64" i="15"/>
  <c r="H64" i="15"/>
  <c r="I64" i="15"/>
  <c r="J64" i="15"/>
  <c r="K64" i="15"/>
  <c r="F64" i="15"/>
  <c r="G64" i="26"/>
  <c r="H64" i="26"/>
  <c r="I64" i="26"/>
  <c r="J64" i="26"/>
  <c r="K64" i="26"/>
  <c r="F64" i="26"/>
  <c r="C3" i="7"/>
  <c r="F54" i="7"/>
  <c r="F53" i="7"/>
  <c r="F52" i="7"/>
  <c r="F51" i="7"/>
  <c r="F50" i="7"/>
  <c r="F49" i="7"/>
  <c r="F48" i="7"/>
  <c r="F47" i="7"/>
  <c r="F46" i="7"/>
  <c r="F44" i="7"/>
  <c r="F43" i="7"/>
  <c r="F42" i="7"/>
  <c r="F41" i="7"/>
  <c r="F40" i="7"/>
  <c r="F39" i="7"/>
  <c r="F38" i="7"/>
  <c r="F37" i="7"/>
  <c r="F36" i="7"/>
  <c r="F35" i="7"/>
  <c r="F34" i="7"/>
  <c r="F33" i="7"/>
  <c r="F32" i="7"/>
  <c r="F31" i="7"/>
  <c r="F30" i="7"/>
  <c r="F29" i="7"/>
  <c r="F28" i="7"/>
  <c r="F27" i="7"/>
  <c r="F26" i="7"/>
  <c r="F25" i="7"/>
  <c r="F24" i="7"/>
  <c r="F23" i="7"/>
  <c r="F22" i="7"/>
  <c r="F21" i="7"/>
  <c r="F19" i="7"/>
  <c r="F18" i="7"/>
  <c r="F17" i="7"/>
  <c r="F16" i="7"/>
  <c r="F15" i="7"/>
  <c r="F14" i="7"/>
  <c r="F13" i="7"/>
  <c r="F12" i="7"/>
  <c r="F11" i="7"/>
  <c r="F10" i="7"/>
  <c r="F9" i="7"/>
  <c r="F8" i="7"/>
  <c r="F7" i="7"/>
  <c r="F6" i="7"/>
  <c r="F5" i="7"/>
  <c r="F4" i="7"/>
  <c r="F3" i="7"/>
  <c r="L11" i="62"/>
  <c r="L13" i="62"/>
  <c r="L14" i="62"/>
  <c r="L15" i="62"/>
  <c r="L16" i="62"/>
  <c r="K11" i="62"/>
  <c r="K13" i="62"/>
  <c r="K14" i="62"/>
  <c r="K15" i="62"/>
  <c r="K16" i="62"/>
  <c r="J11" i="62"/>
  <c r="J13" i="62"/>
  <c r="J14" i="62"/>
  <c r="J15" i="62"/>
  <c r="J16" i="62"/>
  <c r="I11" i="62"/>
  <c r="I13" i="62"/>
  <c r="I14" i="62"/>
  <c r="I15" i="62"/>
  <c r="I16" i="62"/>
  <c r="H11" i="62"/>
  <c r="H13" i="62"/>
  <c r="H14" i="62"/>
  <c r="H15" i="62"/>
  <c r="H16" i="62"/>
  <c r="G10" i="62"/>
  <c r="G11" i="62"/>
  <c r="G12" i="62"/>
  <c r="G13" i="62"/>
  <c r="G14" i="62"/>
  <c r="G15" i="62"/>
  <c r="G16" i="62"/>
  <c r="G17" i="62"/>
  <c r="G18" i="62"/>
  <c r="G19" i="62"/>
  <c r="G20" i="62"/>
  <c r="G21" i="62"/>
  <c r="G22" i="62"/>
  <c r="H10" i="62" s="1"/>
  <c r="J52" i="8"/>
  <c r="C42" i="7"/>
  <c r="D42" i="7"/>
  <c r="E42" i="7"/>
  <c r="H43" i="61"/>
  <c r="D24" i="6"/>
  <c r="B60" i="6"/>
  <c r="B59" i="6"/>
  <c r="Z48" i="65"/>
  <c r="V48" i="65"/>
  <c r="AA48" i="65" s="1"/>
  <c r="AB48" i="65" s="1"/>
  <c r="R48" i="65"/>
  <c r="I48" i="65"/>
  <c r="H48" i="65"/>
  <c r="N47" i="65"/>
  <c r="D47" i="65" s="1"/>
  <c r="C47" i="65"/>
  <c r="N46" i="65"/>
  <c r="D46" i="65" s="1"/>
  <c r="C46" i="65"/>
  <c r="N45" i="65"/>
  <c r="D45" i="65" s="1"/>
  <c r="C45" i="65"/>
  <c r="N44" i="65"/>
  <c r="D44" i="65" s="1"/>
  <c r="C44" i="65"/>
  <c r="N43" i="65"/>
  <c r="D43" i="65" s="1"/>
  <c r="C43" i="65"/>
  <c r="N41" i="65"/>
  <c r="D41" i="65" s="1"/>
  <c r="C41" i="65"/>
  <c r="N42" i="65"/>
  <c r="D42" i="65" s="1"/>
  <c r="C42" i="65"/>
  <c r="N40" i="65"/>
  <c r="D40" i="65" s="1"/>
  <c r="C40" i="65"/>
  <c r="N39" i="65"/>
  <c r="D39" i="65" s="1"/>
  <c r="C39" i="65"/>
  <c r="N38" i="65"/>
  <c r="D38" i="65" s="1"/>
  <c r="C38" i="65"/>
  <c r="N37" i="65"/>
  <c r="D37" i="65" s="1"/>
  <c r="C37" i="65"/>
  <c r="N36" i="65"/>
  <c r="D36" i="65" s="1"/>
  <c r="C36" i="65"/>
  <c r="N35" i="65"/>
  <c r="D35" i="65" s="1"/>
  <c r="C35" i="65"/>
  <c r="N34" i="65"/>
  <c r="D34" i="65" s="1"/>
  <c r="C34" i="65"/>
  <c r="N33" i="65"/>
  <c r="D33" i="65" s="1"/>
  <c r="C33" i="65"/>
  <c r="N32" i="65"/>
  <c r="D32" i="65" s="1"/>
  <c r="C32" i="65"/>
  <c r="N31" i="65"/>
  <c r="D31" i="65" s="1"/>
  <c r="C31" i="65"/>
  <c r="N30" i="65"/>
  <c r="D30" i="65" s="1"/>
  <c r="C30" i="65"/>
  <c r="N29" i="65"/>
  <c r="D29" i="65" s="1"/>
  <c r="C29" i="65"/>
  <c r="N28" i="65"/>
  <c r="D28" i="65" s="1"/>
  <c r="C28" i="65"/>
  <c r="N27" i="65"/>
  <c r="D27" i="65" s="1"/>
  <c r="C27" i="65"/>
  <c r="N26" i="65"/>
  <c r="D26" i="65" s="1"/>
  <c r="C26" i="65"/>
  <c r="N25" i="65"/>
  <c r="D25" i="65" s="1"/>
  <c r="C25" i="65"/>
  <c r="N24" i="65"/>
  <c r="D24" i="65" s="1"/>
  <c r="C24" i="65"/>
  <c r="N23" i="65"/>
  <c r="D23" i="65" s="1"/>
  <c r="C23" i="65"/>
  <c r="N22" i="65"/>
  <c r="D22" i="65" s="1"/>
  <c r="C22" i="65"/>
  <c r="N21" i="65"/>
  <c r="D21" i="65" s="1"/>
  <c r="C21" i="65"/>
  <c r="N20" i="65"/>
  <c r="D20" i="65"/>
  <c r="C20" i="65"/>
  <c r="N19" i="65"/>
  <c r="D19" i="65" s="1"/>
  <c r="C19" i="65"/>
  <c r="N18" i="65"/>
  <c r="D18" i="65" s="1"/>
  <c r="C18" i="65"/>
  <c r="N17" i="65"/>
  <c r="D17" i="65" s="1"/>
  <c r="C17" i="65"/>
  <c r="N16" i="65"/>
  <c r="D16" i="65" s="1"/>
  <c r="C16" i="65"/>
  <c r="N15" i="65"/>
  <c r="D15" i="65" s="1"/>
  <c r="C15" i="65"/>
  <c r="N14" i="65"/>
  <c r="D14" i="65" s="1"/>
  <c r="C14" i="65"/>
  <c r="N13" i="65"/>
  <c r="D13" i="65" s="1"/>
  <c r="C13" i="65"/>
  <c r="N12" i="65"/>
  <c r="D12" i="65" s="1"/>
  <c r="C12" i="65"/>
  <c r="N11" i="65"/>
  <c r="D11" i="65" s="1"/>
  <c r="C11" i="65"/>
  <c r="N10" i="65"/>
  <c r="D10" i="65" s="1"/>
  <c r="C10" i="65"/>
  <c r="N9" i="65"/>
  <c r="D9" i="65" s="1"/>
  <c r="C9" i="65"/>
  <c r="N8" i="65"/>
  <c r="D8" i="65" s="1"/>
  <c r="C8" i="65"/>
  <c r="N7" i="65"/>
  <c r="D7" i="65" s="1"/>
  <c r="C7" i="65"/>
  <c r="N6" i="65"/>
  <c r="D6" i="65" s="1"/>
  <c r="C6" i="65"/>
  <c r="N5" i="65"/>
  <c r="D5" i="65" s="1"/>
  <c r="C5" i="65"/>
  <c r="N4" i="65"/>
  <c r="D4" i="65" s="1"/>
  <c r="C4" i="65"/>
  <c r="N3" i="65"/>
  <c r="D3" i="65"/>
  <c r="C3" i="65"/>
  <c r="N2" i="65"/>
  <c r="B12" i="5"/>
  <c r="C12" i="5"/>
  <c r="G42" i="7" l="1"/>
  <c r="L43" i="61"/>
  <c r="J43" i="61"/>
  <c r="I43" i="61"/>
  <c r="K43" i="61"/>
  <c r="M13" i="62"/>
  <c r="M16" i="62"/>
  <c r="M15" i="62"/>
  <c r="M11" i="62"/>
  <c r="M14" i="62"/>
  <c r="E16" i="65"/>
  <c r="N48" i="65"/>
  <c r="E4" i="65"/>
  <c r="E7" i="65"/>
  <c r="E19" i="65"/>
  <c r="E3" i="65"/>
  <c r="E20" i="65"/>
  <c r="E23" i="65"/>
  <c r="E26" i="65"/>
  <c r="E28" i="65"/>
  <c r="E30" i="65"/>
  <c r="E32" i="65"/>
  <c r="E34" i="65"/>
  <c r="E36" i="65"/>
  <c r="E38" i="65"/>
  <c r="E40" i="65"/>
  <c r="E41" i="65"/>
  <c r="E44" i="65"/>
  <c r="E46" i="65"/>
  <c r="E12" i="65"/>
  <c r="E15" i="65"/>
  <c r="E8" i="65"/>
  <c r="E11" i="65"/>
  <c r="E24" i="65"/>
  <c r="E27" i="65"/>
  <c r="E29" i="65"/>
  <c r="E31" i="65"/>
  <c r="E33" i="65"/>
  <c r="E35" i="65"/>
  <c r="E37" i="65"/>
  <c r="E39" i="65"/>
  <c r="E42" i="65"/>
  <c r="E43" i="65"/>
  <c r="E45" i="65"/>
  <c r="E47" i="65"/>
  <c r="E6" i="65"/>
  <c r="E10" i="65"/>
  <c r="E14" i="65"/>
  <c r="E18" i="65"/>
  <c r="E22" i="65"/>
  <c r="C48" i="65"/>
  <c r="D2" i="65"/>
  <c r="E5" i="65"/>
  <c r="E9" i="65"/>
  <c r="E13" i="65"/>
  <c r="E17" i="65"/>
  <c r="E21" i="65"/>
  <c r="E25" i="65"/>
  <c r="B56" i="6"/>
  <c r="M43" i="61" l="1"/>
  <c r="E2" i="65"/>
  <c r="E48" i="65" s="1"/>
  <c r="D48" i="65"/>
  <c r="C60" i="6"/>
  <c r="B48" i="6" s="1"/>
  <c r="C30" i="6"/>
  <c r="D30" i="6"/>
  <c r="E38" i="6"/>
  <c r="K8" i="7"/>
  <c r="K4" i="7"/>
  <c r="K3" i="7"/>
  <c r="K53" i="7"/>
  <c r="K52" i="7"/>
  <c r="K51" i="7"/>
  <c r="K50" i="7"/>
  <c r="K49" i="7"/>
  <c r="K46" i="7"/>
  <c r="K54" i="7"/>
  <c r="K48" i="7"/>
  <c r="K47"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7" i="7"/>
  <c r="K6" i="7"/>
  <c r="K5" i="7"/>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5" i="4"/>
  <c r="F44" i="4"/>
  <c r="F46" i="4"/>
  <c r="F47" i="4"/>
  <c r="F48" i="4"/>
  <c r="F49" i="4"/>
  <c r="F50" i="4"/>
  <c r="F51" i="4"/>
  <c r="F52" i="4"/>
  <c r="F53" i="4"/>
  <c r="H50" i="7" s="1"/>
  <c r="F54" i="4"/>
  <c r="H51" i="7" s="1"/>
  <c r="F55" i="4"/>
  <c r="F56" i="4"/>
  <c r="F5" i="4"/>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5" i="7"/>
  <c r="H47" i="7"/>
  <c r="H46" i="7"/>
  <c r="H49" i="7"/>
  <c r="H52" i="7"/>
  <c r="H53" i="7"/>
  <c r="D57" i="4"/>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3" i="3"/>
  <c r="E44" i="3"/>
  <c r="E45" i="3"/>
  <c r="E46" i="3"/>
  <c r="E47" i="3"/>
  <c r="E48" i="3"/>
  <c r="E49" i="3"/>
  <c r="E50" i="3"/>
  <c r="E51" i="3"/>
  <c r="E52" i="3"/>
  <c r="E53" i="3"/>
  <c r="E2" i="3"/>
  <c r="I54" i="3"/>
  <c r="C4" i="3"/>
  <c r="C5" i="3"/>
  <c r="C6" i="3"/>
  <c r="C7" i="3"/>
  <c r="C54" i="3" s="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2" i="3"/>
  <c r="C41" i="3"/>
  <c r="C43" i="3"/>
  <c r="C44" i="3"/>
  <c r="C45" i="3"/>
  <c r="C46" i="3"/>
  <c r="C47" i="3"/>
  <c r="C48" i="3"/>
  <c r="C49" i="3"/>
  <c r="C50" i="3"/>
  <c r="C51" i="3"/>
  <c r="C52" i="3"/>
  <c r="C53" i="3"/>
  <c r="C3" i="3"/>
  <c r="H44" i="7" l="1"/>
  <c r="H3" i="7"/>
  <c r="H55" i="7" s="1"/>
  <c r="H48" i="7"/>
  <c r="H42" i="7"/>
  <c r="H43" i="7"/>
  <c r="H54" i="7"/>
  <c r="F57" i="4"/>
  <c r="B71" i="6"/>
  <c r="E30" i="6"/>
  <c r="D60" i="6" s="1"/>
  <c r="C71" i="6" s="1"/>
  <c r="K55" i="7"/>
  <c r="C48" i="6" l="1"/>
  <c r="H54" i="3" l="1"/>
  <c r="Z54" i="3"/>
  <c r="AA54" i="3" s="1"/>
  <c r="AB54" i="3" s="1"/>
  <c r="V54" i="3"/>
  <c r="R54" i="3"/>
  <c r="N2" i="3"/>
  <c r="N3" i="3"/>
  <c r="N4" i="3"/>
  <c r="N5" i="3"/>
  <c r="N6" i="3"/>
  <c r="N7" i="3"/>
  <c r="N8" i="3"/>
  <c r="N9" i="3"/>
  <c r="N10" i="3"/>
  <c r="N11" i="3"/>
  <c r="N12" i="3"/>
  <c r="N13" i="3"/>
  <c r="N14" i="3"/>
  <c r="N15" i="3"/>
  <c r="N16" i="3"/>
  <c r="N17" i="3"/>
  <c r="N18" i="3"/>
  <c r="N19" i="3"/>
  <c r="N20" i="3"/>
  <c r="E57" i="4" l="1"/>
  <c r="C57" i="4"/>
  <c r="D3" i="3"/>
  <c r="D4" i="3"/>
  <c r="D5" i="3"/>
  <c r="D6" i="3"/>
  <c r="D7" i="3"/>
  <c r="D8" i="3"/>
  <c r="D9" i="3"/>
  <c r="D10" i="3"/>
  <c r="D11" i="3"/>
  <c r="D12" i="3"/>
  <c r="D13" i="3"/>
  <c r="D14" i="3"/>
  <c r="D15" i="3"/>
  <c r="D16" i="3"/>
  <c r="D17" i="3"/>
  <c r="D18" i="3"/>
  <c r="D19" i="3"/>
  <c r="D20" i="3"/>
  <c r="D2" i="3"/>
  <c r="I15" i="7" l="1"/>
  <c r="I47" i="7"/>
  <c r="I44" i="7"/>
  <c r="I43" i="7"/>
  <c r="I42" i="7"/>
  <c r="I41" i="7"/>
  <c r="I40" i="7"/>
  <c r="I39" i="7"/>
  <c r="I38" i="7"/>
  <c r="I37" i="7"/>
  <c r="I36" i="7"/>
  <c r="I35" i="7"/>
  <c r="I34" i="7"/>
  <c r="I33" i="7"/>
  <c r="I32" i="7"/>
  <c r="I31" i="7"/>
  <c r="I30" i="7"/>
  <c r="I29" i="7"/>
  <c r="I28" i="7"/>
  <c r="I27" i="7"/>
  <c r="I26" i="7"/>
  <c r="I25" i="7"/>
  <c r="I24" i="7"/>
  <c r="I23" i="7"/>
  <c r="I22" i="7"/>
  <c r="I21" i="7"/>
  <c r="I19" i="7"/>
  <c r="I18" i="7"/>
  <c r="I17" i="7"/>
  <c r="I16" i="7"/>
  <c r="I14" i="7"/>
  <c r="I13" i="7"/>
  <c r="I12" i="7"/>
  <c r="I11" i="7"/>
  <c r="I10" i="7"/>
  <c r="I9" i="7"/>
  <c r="I8" i="7"/>
  <c r="I7" i="7"/>
  <c r="I6" i="7"/>
  <c r="I5" i="7"/>
  <c r="I4" i="7"/>
  <c r="E53" i="7"/>
  <c r="G53" i="7" s="1"/>
  <c r="E52" i="7"/>
  <c r="G52" i="7" s="1"/>
  <c r="E51" i="7"/>
  <c r="G51" i="7" s="1"/>
  <c r="E50" i="7"/>
  <c r="G50" i="7" s="1"/>
  <c r="E49" i="7"/>
  <c r="G49" i="7" s="1"/>
  <c r="E46" i="7"/>
  <c r="G46" i="7" s="1"/>
  <c r="E54" i="7"/>
  <c r="G54" i="7" s="1"/>
  <c r="E48" i="7"/>
  <c r="G48" i="7" s="1"/>
  <c r="E47" i="7"/>
  <c r="G47" i="7" s="1"/>
  <c r="E45" i="7"/>
  <c r="E44" i="7"/>
  <c r="G44" i="7" s="1"/>
  <c r="E43" i="7"/>
  <c r="G43" i="7" s="1"/>
  <c r="E41" i="7"/>
  <c r="G41" i="7" s="1"/>
  <c r="E40" i="7"/>
  <c r="G40" i="7" s="1"/>
  <c r="E39" i="7"/>
  <c r="G39" i="7" s="1"/>
  <c r="E38" i="7"/>
  <c r="G38" i="7" s="1"/>
  <c r="E37" i="7"/>
  <c r="G37" i="7" s="1"/>
  <c r="E36" i="7"/>
  <c r="G36" i="7" s="1"/>
  <c r="E35" i="7"/>
  <c r="G35" i="7" s="1"/>
  <c r="E34" i="7"/>
  <c r="G34" i="7" s="1"/>
  <c r="E33" i="7"/>
  <c r="G33" i="7" s="1"/>
  <c r="E32" i="7"/>
  <c r="G32" i="7" s="1"/>
  <c r="E31" i="7"/>
  <c r="G31" i="7" s="1"/>
  <c r="E30" i="7"/>
  <c r="G30" i="7" s="1"/>
  <c r="E29" i="7"/>
  <c r="G29" i="7" s="1"/>
  <c r="E28" i="7"/>
  <c r="G28" i="7" s="1"/>
  <c r="E27" i="7"/>
  <c r="G27" i="7" s="1"/>
  <c r="E26" i="7"/>
  <c r="G26" i="7" s="1"/>
  <c r="E25" i="7"/>
  <c r="G25" i="7" s="1"/>
  <c r="E24" i="7"/>
  <c r="G24" i="7" s="1"/>
  <c r="E23" i="7"/>
  <c r="G23" i="7" s="1"/>
  <c r="E22" i="7"/>
  <c r="G22" i="7" s="1"/>
  <c r="E21" i="7"/>
  <c r="G21" i="7" s="1"/>
  <c r="E20" i="7"/>
  <c r="E19" i="7"/>
  <c r="G19" i="7" s="1"/>
  <c r="E18" i="7"/>
  <c r="G18" i="7" s="1"/>
  <c r="E17" i="7"/>
  <c r="G17" i="7" s="1"/>
  <c r="E16" i="7"/>
  <c r="G16" i="7" s="1"/>
  <c r="E15" i="7"/>
  <c r="G15" i="7" s="1"/>
  <c r="E14" i="7"/>
  <c r="G14" i="7" s="1"/>
  <c r="E13" i="7"/>
  <c r="G13" i="7" s="1"/>
  <c r="E12" i="7"/>
  <c r="G12" i="7" s="1"/>
  <c r="E11" i="7"/>
  <c r="G11" i="7" s="1"/>
  <c r="E10" i="7"/>
  <c r="G10" i="7" s="1"/>
  <c r="E9" i="7"/>
  <c r="G9" i="7" s="1"/>
  <c r="E8" i="7"/>
  <c r="G8" i="7" s="1"/>
  <c r="E7" i="7"/>
  <c r="G7" i="7" s="1"/>
  <c r="E6" i="7"/>
  <c r="G6" i="7" s="1"/>
  <c r="E5" i="7"/>
  <c r="G5" i="7" s="1"/>
  <c r="E4" i="7"/>
  <c r="G4" i="7" s="1"/>
  <c r="E3" i="7"/>
  <c r="C50" i="64"/>
  <c r="E49" i="64"/>
  <c r="G49" i="64" s="1"/>
  <c r="E45" i="64"/>
  <c r="G45" i="64" s="1"/>
  <c r="E44" i="64"/>
  <c r="G44" i="64" s="1"/>
  <c r="G43" i="64"/>
  <c r="E43" i="64"/>
  <c r="E42" i="64"/>
  <c r="G42" i="64" s="1"/>
  <c r="E46" i="64"/>
  <c r="G46" i="64" s="1"/>
  <c r="E48" i="64"/>
  <c r="G48" i="64" s="1"/>
  <c r="E47" i="64"/>
  <c r="G47" i="64" s="1"/>
  <c r="E41" i="64"/>
  <c r="G41" i="64" s="1"/>
  <c r="E40" i="64"/>
  <c r="G40" i="64" s="1"/>
  <c r="E39" i="64"/>
  <c r="G39" i="64" s="1"/>
  <c r="G38" i="64"/>
  <c r="E38" i="64"/>
  <c r="E37" i="64"/>
  <c r="G37" i="64" s="1"/>
  <c r="E36" i="64"/>
  <c r="G36" i="64" s="1"/>
  <c r="E35" i="64"/>
  <c r="G35" i="64" s="1"/>
  <c r="E34" i="64"/>
  <c r="G34" i="64" s="1"/>
  <c r="E33" i="64"/>
  <c r="G33" i="64" s="1"/>
  <c r="E32" i="64"/>
  <c r="G32" i="64" s="1"/>
  <c r="E31" i="64"/>
  <c r="G31" i="64" s="1"/>
  <c r="G30" i="64"/>
  <c r="E30" i="64"/>
  <c r="E29" i="64"/>
  <c r="G29" i="64" s="1"/>
  <c r="E28" i="64"/>
  <c r="G28" i="64" s="1"/>
  <c r="E27" i="64"/>
  <c r="G27" i="64" s="1"/>
  <c r="E26" i="64"/>
  <c r="G26" i="64" s="1"/>
  <c r="E25" i="64"/>
  <c r="G25" i="64" s="1"/>
  <c r="E24" i="64"/>
  <c r="G24" i="64" s="1"/>
  <c r="E23" i="64"/>
  <c r="G23" i="64" s="1"/>
  <c r="G22" i="64"/>
  <c r="E22" i="64"/>
  <c r="E21" i="64"/>
  <c r="G21" i="64" s="1"/>
  <c r="E20" i="64"/>
  <c r="G20" i="64" s="1"/>
  <c r="E19" i="64"/>
  <c r="G19" i="64" s="1"/>
  <c r="E18" i="64"/>
  <c r="G18" i="64" s="1"/>
  <c r="E17" i="64"/>
  <c r="G17" i="64" s="1"/>
  <c r="E16" i="64"/>
  <c r="G16" i="64" s="1"/>
  <c r="E15" i="64"/>
  <c r="G15" i="64" s="1"/>
  <c r="G14" i="64"/>
  <c r="E14" i="64"/>
  <c r="E13" i="64"/>
  <c r="G13" i="64" s="1"/>
  <c r="E12" i="64"/>
  <c r="G12" i="64" s="1"/>
  <c r="E11" i="64"/>
  <c r="G11" i="64" s="1"/>
  <c r="E10" i="64"/>
  <c r="G10" i="64" s="1"/>
  <c r="E9" i="64"/>
  <c r="G9" i="64" s="1"/>
  <c r="E8" i="64"/>
  <c r="G8" i="64" s="1"/>
  <c r="E7" i="64"/>
  <c r="G7" i="64" s="1"/>
  <c r="G6" i="64"/>
  <c r="E6" i="64"/>
  <c r="E5" i="64"/>
  <c r="G5" i="64" s="1"/>
  <c r="E4" i="64"/>
  <c r="G4" i="64" s="1"/>
  <c r="E3" i="64"/>
  <c r="G3" i="64" s="1"/>
  <c r="J17" i="7" l="1"/>
  <c r="J21" i="7"/>
  <c r="J25" i="7"/>
  <c r="J29" i="7"/>
  <c r="J33" i="7"/>
  <c r="J37" i="7"/>
  <c r="J41" i="7"/>
  <c r="J16" i="7"/>
  <c r="J24" i="7"/>
  <c r="J28" i="7"/>
  <c r="J32" i="7"/>
  <c r="J36" i="7"/>
  <c r="J40" i="7"/>
  <c r="J44" i="7"/>
  <c r="J47" i="7"/>
  <c r="J18" i="7"/>
  <c r="J22" i="7"/>
  <c r="J26" i="7"/>
  <c r="J30" i="7"/>
  <c r="J34" i="7"/>
  <c r="J38" i="7"/>
  <c r="J42" i="7"/>
  <c r="E55" i="7"/>
  <c r="J7" i="7"/>
  <c r="J11" i="7"/>
  <c r="I46" i="7"/>
  <c r="I52" i="7"/>
  <c r="J52" i="7" s="1"/>
  <c r="J4" i="7"/>
  <c r="J8" i="7"/>
  <c r="J12" i="7"/>
  <c r="I49" i="7"/>
  <c r="J49" i="7" s="1"/>
  <c r="I53" i="7"/>
  <c r="J53" i="7" s="1"/>
  <c r="J5" i="7"/>
  <c r="J9" i="7"/>
  <c r="J13" i="7"/>
  <c r="I48" i="7"/>
  <c r="J48" i="7" s="1"/>
  <c r="I50" i="7"/>
  <c r="J50" i="7" s="1"/>
  <c r="J15" i="7"/>
  <c r="J6" i="7"/>
  <c r="J10" i="7"/>
  <c r="J14" i="7"/>
  <c r="J19" i="7"/>
  <c r="J23" i="7"/>
  <c r="J27" i="7"/>
  <c r="J31" i="7"/>
  <c r="J35" i="7"/>
  <c r="J39" i="7"/>
  <c r="J43" i="7"/>
  <c r="I54" i="7"/>
  <c r="J54" i="7" s="1"/>
  <c r="I51" i="7"/>
  <c r="J51" i="7" s="1"/>
  <c r="G50" i="64"/>
  <c r="I4" i="64"/>
  <c r="E50" i="64"/>
  <c r="J46" i="7" l="1"/>
  <c r="D53" i="7"/>
  <c r="D52" i="7"/>
  <c r="D51" i="7"/>
  <c r="D50" i="7"/>
  <c r="D49" i="7"/>
  <c r="D46" i="7"/>
  <c r="D54" i="7"/>
  <c r="D48" i="7"/>
  <c r="D47" i="7"/>
  <c r="D45" i="7"/>
  <c r="D44" i="7"/>
  <c r="D43"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C53" i="7"/>
  <c r="C52" i="7"/>
  <c r="C51" i="7"/>
  <c r="C50" i="7"/>
  <c r="C49" i="7"/>
  <c r="C46" i="7"/>
  <c r="C48" i="7"/>
  <c r="C54" i="7"/>
  <c r="C47" i="7"/>
  <c r="C45" i="7"/>
  <c r="C44" i="7"/>
  <c r="C43" i="7"/>
  <c r="C41" i="7"/>
  <c r="C40" i="7"/>
  <c r="C39" i="7"/>
  <c r="C38" i="7"/>
  <c r="C37" i="7"/>
  <c r="C36" i="7"/>
  <c r="C35" i="7"/>
  <c r="C34" i="7"/>
  <c r="C33" i="7"/>
  <c r="C32" i="7"/>
  <c r="C31" i="7"/>
  <c r="C30" i="7"/>
  <c r="C29" i="7"/>
  <c r="C28" i="7"/>
  <c r="C27" i="7"/>
  <c r="C26" i="7"/>
  <c r="C25" i="7"/>
  <c r="C24" i="7"/>
  <c r="C23" i="7"/>
  <c r="C22" i="7"/>
  <c r="C21" i="7"/>
  <c r="C20" i="7"/>
  <c r="C19" i="7"/>
  <c r="C18" i="7"/>
  <c r="C17" i="7"/>
  <c r="C16" i="7"/>
  <c r="D55" i="7" l="1"/>
  <c r="D57" i="7"/>
  <c r="C15" i="7"/>
  <c r="C14" i="7"/>
  <c r="C13" i="7"/>
  <c r="C12" i="7"/>
  <c r="C11" i="7"/>
  <c r="C10" i="7"/>
  <c r="C9" i="7"/>
  <c r="C8" i="7"/>
  <c r="C7" i="7"/>
  <c r="C6" i="7"/>
  <c r="C5" i="7"/>
  <c r="C4" i="7"/>
  <c r="G122" i="62"/>
  <c r="G100" i="62"/>
  <c r="H100" i="62"/>
  <c r="I100" i="62"/>
  <c r="J100" i="62"/>
  <c r="K100" i="62"/>
  <c r="L100" i="62"/>
  <c r="G101" i="62"/>
  <c r="H101" i="62"/>
  <c r="I101" i="62"/>
  <c r="J101" i="62"/>
  <c r="K101" i="62"/>
  <c r="L101" i="62"/>
  <c r="G102" i="62"/>
  <c r="H83" i="62" s="1"/>
  <c r="H102" i="62"/>
  <c r="I83" i="62" s="1"/>
  <c r="I102" i="62"/>
  <c r="J102" i="62"/>
  <c r="K83" i="62" s="1"/>
  <c r="K102" i="62"/>
  <c r="L83" i="62" s="1"/>
  <c r="L102" i="62"/>
  <c r="G103" i="62"/>
  <c r="H103" i="62"/>
  <c r="I84" i="60" s="1"/>
  <c r="I103" i="62"/>
  <c r="J84" i="62" s="1"/>
  <c r="J103" i="62"/>
  <c r="K84" i="62" s="1"/>
  <c r="K103" i="62"/>
  <c r="L103" i="62"/>
  <c r="H99" i="62"/>
  <c r="I99" i="62"/>
  <c r="J99" i="62"/>
  <c r="K99" i="62"/>
  <c r="L99" i="62"/>
  <c r="G99" i="62"/>
  <c r="G93" i="62"/>
  <c r="I116" i="62" s="1"/>
  <c r="G84" i="62"/>
  <c r="H84" i="62"/>
  <c r="I84" i="62"/>
  <c r="L84" i="62"/>
  <c r="G85" i="62"/>
  <c r="H85" i="62"/>
  <c r="I85" i="62"/>
  <c r="J85" i="62"/>
  <c r="K85" i="62"/>
  <c r="L85" i="62"/>
  <c r="G86" i="62"/>
  <c r="H66" i="60" s="1"/>
  <c r="G87" i="62"/>
  <c r="H67" i="62" s="1"/>
  <c r="H87" i="62"/>
  <c r="I87" i="62"/>
  <c r="J87" i="62"/>
  <c r="K67" i="60" s="1"/>
  <c r="K87" i="62"/>
  <c r="L67" i="62" s="1"/>
  <c r="L87" i="62"/>
  <c r="J83" i="62"/>
  <c r="G83" i="62"/>
  <c r="G67" i="62"/>
  <c r="I67" i="62"/>
  <c r="J67" i="62"/>
  <c r="K67" i="62"/>
  <c r="G68" i="62"/>
  <c r="H68" i="62"/>
  <c r="I68" i="62"/>
  <c r="J68" i="62"/>
  <c r="K68" i="62"/>
  <c r="L68" i="62"/>
  <c r="G69" i="62"/>
  <c r="H48" i="62" s="1"/>
  <c r="G70" i="62"/>
  <c r="H49" i="62" s="1"/>
  <c r="H70" i="62"/>
  <c r="I49" i="62" s="1"/>
  <c r="I70" i="62"/>
  <c r="J49" i="62" s="1"/>
  <c r="J70" i="62"/>
  <c r="K70" i="62"/>
  <c r="L49" i="62" s="1"/>
  <c r="L70" i="62"/>
  <c r="G71" i="62"/>
  <c r="H71" i="62"/>
  <c r="I71" i="62"/>
  <c r="J71" i="62"/>
  <c r="K71" i="62"/>
  <c r="L71" i="62"/>
  <c r="G72" i="62"/>
  <c r="H72" i="62"/>
  <c r="I72" i="62"/>
  <c r="J72" i="62"/>
  <c r="K72" i="62"/>
  <c r="L72" i="62"/>
  <c r="G73" i="62"/>
  <c r="H73" i="62"/>
  <c r="I73" i="62"/>
  <c r="J73" i="62"/>
  <c r="K73" i="62"/>
  <c r="L73" i="62"/>
  <c r="G74" i="62"/>
  <c r="H74" i="62"/>
  <c r="I74" i="62"/>
  <c r="J74" i="62"/>
  <c r="K74" i="62"/>
  <c r="L74" i="62"/>
  <c r="G75" i="62"/>
  <c r="H75" i="62"/>
  <c r="I75" i="62"/>
  <c r="J75" i="62"/>
  <c r="K75" i="62"/>
  <c r="L75" i="62"/>
  <c r="G76" i="62"/>
  <c r="H76" i="62"/>
  <c r="I76" i="62"/>
  <c r="J76" i="62"/>
  <c r="K76" i="62"/>
  <c r="L76" i="62"/>
  <c r="H66" i="62"/>
  <c r="G66" i="62"/>
  <c r="G56" i="62"/>
  <c r="G57" i="62"/>
  <c r="H57" i="62"/>
  <c r="I57" i="62"/>
  <c r="J57" i="62"/>
  <c r="K57" i="62"/>
  <c r="L57" i="62"/>
  <c r="G58" i="62"/>
  <c r="H58" i="62"/>
  <c r="I58" i="62"/>
  <c r="J58" i="62"/>
  <c r="K58" i="62"/>
  <c r="L58" i="62"/>
  <c r="H55" i="62"/>
  <c r="I55" i="62"/>
  <c r="J55" i="62"/>
  <c r="K55" i="62"/>
  <c r="L55" i="62"/>
  <c r="G55" i="62"/>
  <c r="G48" i="62"/>
  <c r="G49" i="62"/>
  <c r="K49" i="62"/>
  <c r="H47" i="62"/>
  <c r="I47" i="62"/>
  <c r="J36" i="62" s="1"/>
  <c r="J47" i="62"/>
  <c r="K36" i="62" s="1"/>
  <c r="K47" i="62"/>
  <c r="L47" i="62"/>
  <c r="G47" i="62"/>
  <c r="H43" i="62"/>
  <c r="H111" i="62" s="1"/>
  <c r="I43" i="62"/>
  <c r="J43" i="62"/>
  <c r="K43" i="62"/>
  <c r="L43" i="62"/>
  <c r="G43" i="62"/>
  <c r="G111" i="62" s="1"/>
  <c r="G30" i="62"/>
  <c r="H18" i="62" s="1"/>
  <c r="H30" i="62"/>
  <c r="I18" i="62" s="1"/>
  <c r="J6" i="62" s="1"/>
  <c r="J118" i="62" s="1"/>
  <c r="I30" i="62"/>
  <c r="J18" i="62" s="1"/>
  <c r="K6" i="62" s="1"/>
  <c r="K118" i="62" s="1"/>
  <c r="J30" i="62"/>
  <c r="K18" i="62" s="1"/>
  <c r="K30" i="62"/>
  <c r="L18" i="62" s="1"/>
  <c r="L30" i="62"/>
  <c r="G31" i="62"/>
  <c r="H19" i="62" s="1"/>
  <c r="H31" i="62"/>
  <c r="I19" i="62" s="1"/>
  <c r="I31" i="62"/>
  <c r="J19" i="62" s="1"/>
  <c r="J31" i="62"/>
  <c r="K19" i="62" s="1"/>
  <c r="K31" i="62"/>
  <c r="L19" i="62" s="1"/>
  <c r="L31" i="62"/>
  <c r="G32" i="62"/>
  <c r="H20" i="62" s="1"/>
  <c r="H32" i="62"/>
  <c r="I20" i="62" s="1"/>
  <c r="I32" i="62"/>
  <c r="J20" i="62" s="1"/>
  <c r="J32" i="62"/>
  <c r="K20" i="62" s="1"/>
  <c r="K32" i="62"/>
  <c r="L20" i="62" s="1"/>
  <c r="L32" i="62"/>
  <c r="G33" i="62"/>
  <c r="H21" i="62" s="1"/>
  <c r="I9" i="62" s="1"/>
  <c r="H33" i="62"/>
  <c r="I21" i="62" s="1"/>
  <c r="I33" i="62"/>
  <c r="J21" i="62" s="1"/>
  <c r="K9" i="62" s="1"/>
  <c r="J33" i="62"/>
  <c r="K21" i="62" s="1"/>
  <c r="L9" i="62" s="1"/>
  <c r="K33" i="62"/>
  <c r="L21" i="62" s="1"/>
  <c r="L33" i="62"/>
  <c r="G34" i="62"/>
  <c r="H22" i="62" s="1"/>
  <c r="I10" i="62" s="1"/>
  <c r="H34" i="62"/>
  <c r="I22" i="62" s="1"/>
  <c r="J10" i="62" s="1"/>
  <c r="I34" i="62"/>
  <c r="J22" i="62" s="1"/>
  <c r="K10" i="62" s="1"/>
  <c r="J34" i="62"/>
  <c r="K22" i="62" s="1"/>
  <c r="L10" i="62" s="1"/>
  <c r="K34" i="62"/>
  <c r="L22" i="62" s="1"/>
  <c r="L34" i="62"/>
  <c r="G35" i="62"/>
  <c r="H35" i="62"/>
  <c r="I35" i="62"/>
  <c r="J35" i="62"/>
  <c r="K35" i="62"/>
  <c r="L35" i="62"/>
  <c r="G36" i="62"/>
  <c r="H36" i="62"/>
  <c r="I36" i="62"/>
  <c r="L36" i="62"/>
  <c r="H29" i="62"/>
  <c r="I29" i="62"/>
  <c r="J29" i="62"/>
  <c r="K29" i="62"/>
  <c r="L29" i="62"/>
  <c r="G29" i="62"/>
  <c r="H9" i="62"/>
  <c r="J9" i="62"/>
  <c r="G9" i="62"/>
  <c r="L6" i="62"/>
  <c r="I6" i="62"/>
  <c r="I118" i="62" s="1"/>
  <c r="H6" i="62"/>
  <c r="H118" i="62" s="1"/>
  <c r="G6" i="62"/>
  <c r="G118" i="62" s="1"/>
  <c r="G122" i="60"/>
  <c r="G100" i="60"/>
  <c r="H100" i="60"/>
  <c r="I100" i="60"/>
  <c r="J100" i="60"/>
  <c r="K100" i="60"/>
  <c r="L100" i="60"/>
  <c r="G101" i="60"/>
  <c r="H101" i="60"/>
  <c r="I101" i="60"/>
  <c r="J101" i="60"/>
  <c r="K101" i="60"/>
  <c r="L101" i="60"/>
  <c r="G102" i="60"/>
  <c r="H102" i="60"/>
  <c r="I102" i="60"/>
  <c r="J102" i="60"/>
  <c r="K102" i="60"/>
  <c r="L102" i="60"/>
  <c r="G103" i="60"/>
  <c r="H103" i="60"/>
  <c r="I103" i="60"/>
  <c r="J103" i="60"/>
  <c r="K103" i="60"/>
  <c r="L103" i="60"/>
  <c r="H99" i="60"/>
  <c r="I99" i="60"/>
  <c r="J99" i="60"/>
  <c r="K99" i="60"/>
  <c r="L99" i="60"/>
  <c r="G99" i="60"/>
  <c r="G122" i="61"/>
  <c r="G116" i="61"/>
  <c r="H116" i="61"/>
  <c r="J116" i="61"/>
  <c r="K116" i="61"/>
  <c r="G101" i="61"/>
  <c r="H101" i="61"/>
  <c r="I101" i="61"/>
  <c r="J101" i="61"/>
  <c r="K101" i="61"/>
  <c r="L101" i="61"/>
  <c r="G102" i="61"/>
  <c r="H102" i="61"/>
  <c r="I102" i="61"/>
  <c r="J102" i="61"/>
  <c r="K102" i="61"/>
  <c r="L102" i="61"/>
  <c r="G103" i="61"/>
  <c r="H103" i="61"/>
  <c r="I103" i="61"/>
  <c r="J103" i="61"/>
  <c r="K103" i="61"/>
  <c r="L103" i="61"/>
  <c r="G100" i="61"/>
  <c r="H100" i="61"/>
  <c r="I100" i="61"/>
  <c r="J100" i="61"/>
  <c r="K100" i="61"/>
  <c r="L100" i="61"/>
  <c r="H99" i="61"/>
  <c r="I99" i="61"/>
  <c r="J99" i="61"/>
  <c r="K99" i="61"/>
  <c r="L99" i="61"/>
  <c r="G99" i="61"/>
  <c r="G93" i="61"/>
  <c r="G84" i="61"/>
  <c r="H84" i="61"/>
  <c r="I84" i="61"/>
  <c r="J84" i="61"/>
  <c r="K84" i="61"/>
  <c r="L84" i="61"/>
  <c r="G85" i="61"/>
  <c r="H85" i="61"/>
  <c r="I85" i="61"/>
  <c r="J85" i="61"/>
  <c r="K85" i="61"/>
  <c r="L85" i="61"/>
  <c r="G86" i="61"/>
  <c r="H86" i="61"/>
  <c r="I86" i="61"/>
  <c r="J86" i="61"/>
  <c r="K86" i="61"/>
  <c r="L86" i="61"/>
  <c r="G87" i="61"/>
  <c r="H87" i="61"/>
  <c r="I87" i="61"/>
  <c r="J87" i="61"/>
  <c r="K87" i="61"/>
  <c r="L87" i="61"/>
  <c r="H83" i="61"/>
  <c r="I83" i="61"/>
  <c r="J83" i="61"/>
  <c r="K83" i="61"/>
  <c r="L83" i="61"/>
  <c r="G83" i="61"/>
  <c r="G67" i="61"/>
  <c r="H67" i="61"/>
  <c r="I67" i="61"/>
  <c r="J67" i="61"/>
  <c r="K67" i="61"/>
  <c r="L67" i="61"/>
  <c r="G68" i="61"/>
  <c r="H68" i="61"/>
  <c r="I68" i="61"/>
  <c r="J68" i="61"/>
  <c r="K68" i="61"/>
  <c r="L68" i="61"/>
  <c r="G69" i="61"/>
  <c r="H69" i="61"/>
  <c r="I69" i="61"/>
  <c r="J69" i="61"/>
  <c r="K69" i="61"/>
  <c r="L69" i="61"/>
  <c r="G70" i="61"/>
  <c r="H70" i="61"/>
  <c r="I70" i="61"/>
  <c r="J70" i="61"/>
  <c r="K70" i="61"/>
  <c r="L70" i="61"/>
  <c r="G71" i="61"/>
  <c r="H71" i="61"/>
  <c r="I71" i="61"/>
  <c r="J71" i="61"/>
  <c r="K71" i="61"/>
  <c r="L71" i="61"/>
  <c r="G72" i="61"/>
  <c r="H72" i="61"/>
  <c r="I72" i="61"/>
  <c r="J72" i="61"/>
  <c r="K72" i="61"/>
  <c r="L72" i="61"/>
  <c r="G73" i="61"/>
  <c r="H73" i="61"/>
  <c r="I73" i="61"/>
  <c r="J73" i="61"/>
  <c r="K73" i="61"/>
  <c r="L73" i="61"/>
  <c r="G74" i="61"/>
  <c r="H74" i="61"/>
  <c r="I74" i="61"/>
  <c r="J74" i="61"/>
  <c r="K74" i="61"/>
  <c r="L74" i="61"/>
  <c r="G75" i="61"/>
  <c r="H75" i="61"/>
  <c r="I75" i="61"/>
  <c r="J75" i="61"/>
  <c r="K75" i="61"/>
  <c r="L75" i="61"/>
  <c r="G76" i="61"/>
  <c r="H76" i="61"/>
  <c r="I76" i="61"/>
  <c r="J76" i="61"/>
  <c r="K76" i="61"/>
  <c r="L76" i="61"/>
  <c r="H66" i="61"/>
  <c r="I66" i="61"/>
  <c r="J66" i="61"/>
  <c r="K66" i="61"/>
  <c r="L66" i="61"/>
  <c r="G66" i="61"/>
  <c r="G56" i="61"/>
  <c r="H56" i="61"/>
  <c r="I56" i="61"/>
  <c r="J56" i="61"/>
  <c r="K56" i="61"/>
  <c r="L56" i="61"/>
  <c r="G57" i="61"/>
  <c r="H57" i="61"/>
  <c r="I57" i="61"/>
  <c r="J57" i="61"/>
  <c r="K57" i="61"/>
  <c r="L57" i="61"/>
  <c r="G58" i="61"/>
  <c r="H58" i="61"/>
  <c r="I58" i="61"/>
  <c r="J58" i="61"/>
  <c r="K58" i="61"/>
  <c r="L58" i="61"/>
  <c r="H55" i="61"/>
  <c r="I55" i="61"/>
  <c r="J55" i="61"/>
  <c r="K55" i="61"/>
  <c r="L55" i="61"/>
  <c r="G55" i="61"/>
  <c r="G48" i="61"/>
  <c r="H48" i="61"/>
  <c r="I48" i="61"/>
  <c r="J48" i="61"/>
  <c r="K48" i="61"/>
  <c r="L48" i="61"/>
  <c r="G49" i="61"/>
  <c r="H49" i="61"/>
  <c r="I49" i="61"/>
  <c r="J49" i="61"/>
  <c r="K49" i="61"/>
  <c r="L49" i="61"/>
  <c r="H47" i="61"/>
  <c r="I47" i="61"/>
  <c r="J47" i="61"/>
  <c r="K47" i="61"/>
  <c r="L47" i="61"/>
  <c r="G47" i="61"/>
  <c r="H111" i="61"/>
  <c r="I111" i="61"/>
  <c r="J111" i="61"/>
  <c r="K111" i="61"/>
  <c r="G111" i="61"/>
  <c r="D122" i="62"/>
  <c r="K116" i="62"/>
  <c r="J116" i="62"/>
  <c r="H116" i="62"/>
  <c r="G116" i="62"/>
  <c r="G30" i="61"/>
  <c r="I30" i="61"/>
  <c r="J30" i="61"/>
  <c r="K30" i="61"/>
  <c r="L30" i="61"/>
  <c r="G31" i="61"/>
  <c r="I31" i="61"/>
  <c r="J31" i="61"/>
  <c r="K31" i="61"/>
  <c r="L31" i="61"/>
  <c r="G32" i="61"/>
  <c r="I32" i="61"/>
  <c r="J32" i="61"/>
  <c r="K32" i="61"/>
  <c r="L32" i="61"/>
  <c r="G33" i="61"/>
  <c r="I33" i="61"/>
  <c r="L33" i="61"/>
  <c r="G34" i="61"/>
  <c r="H34" i="61"/>
  <c r="I34" i="61"/>
  <c r="J34" i="61"/>
  <c r="K34" i="61"/>
  <c r="L34" i="61"/>
  <c r="G35" i="61"/>
  <c r="I35" i="61"/>
  <c r="J35" i="61"/>
  <c r="K35" i="61"/>
  <c r="L35" i="61"/>
  <c r="G36" i="61"/>
  <c r="H36" i="61"/>
  <c r="I36" i="61"/>
  <c r="J36" i="61"/>
  <c r="K36" i="61"/>
  <c r="L36" i="61"/>
  <c r="I29" i="61"/>
  <c r="J29" i="61"/>
  <c r="K29" i="61"/>
  <c r="L29" i="61"/>
  <c r="G29" i="61"/>
  <c r="G9" i="61"/>
  <c r="G10" i="61"/>
  <c r="I10" i="61"/>
  <c r="J10" i="61"/>
  <c r="K10" i="61"/>
  <c r="L10" i="61"/>
  <c r="G11" i="61"/>
  <c r="I11" i="61"/>
  <c r="J11" i="61"/>
  <c r="K11" i="61"/>
  <c r="L11" i="61"/>
  <c r="G12" i="61"/>
  <c r="I12" i="61"/>
  <c r="J12" i="61"/>
  <c r="K12" i="61"/>
  <c r="L12" i="61"/>
  <c r="G13" i="61"/>
  <c r="I13" i="61"/>
  <c r="J13" i="61"/>
  <c r="K13" i="61"/>
  <c r="L13" i="61"/>
  <c r="G14" i="61"/>
  <c r="I14" i="61"/>
  <c r="J14" i="61"/>
  <c r="K14" i="61"/>
  <c r="L14" i="61"/>
  <c r="G15" i="61"/>
  <c r="I15" i="61"/>
  <c r="J15" i="61"/>
  <c r="K15" i="61"/>
  <c r="L15" i="61"/>
  <c r="G16" i="61"/>
  <c r="I16" i="61"/>
  <c r="J16" i="61"/>
  <c r="K16" i="61"/>
  <c r="L16" i="61"/>
  <c r="G17" i="61"/>
  <c r="I17" i="61"/>
  <c r="J17" i="61"/>
  <c r="K17" i="61"/>
  <c r="L17" i="61"/>
  <c r="G18" i="61"/>
  <c r="I18" i="61"/>
  <c r="J18" i="61"/>
  <c r="K18" i="61"/>
  <c r="L18" i="61"/>
  <c r="G19" i="61"/>
  <c r="I19" i="61"/>
  <c r="J19" i="61"/>
  <c r="K19" i="61"/>
  <c r="L19" i="61"/>
  <c r="G20" i="61"/>
  <c r="I20" i="61"/>
  <c r="J20" i="61"/>
  <c r="K20" i="61"/>
  <c r="L20" i="61"/>
  <c r="G21" i="61"/>
  <c r="I21" i="61"/>
  <c r="J21" i="61"/>
  <c r="K21" i="61"/>
  <c r="L21" i="61"/>
  <c r="G22" i="61"/>
  <c r="I22" i="61"/>
  <c r="J22" i="61"/>
  <c r="K22" i="61"/>
  <c r="L22" i="61"/>
  <c r="I9" i="61"/>
  <c r="J9" i="61"/>
  <c r="K9" i="61"/>
  <c r="L9" i="61"/>
  <c r="J6" i="61"/>
  <c r="G6" i="61"/>
  <c r="G93" i="60"/>
  <c r="G84" i="60"/>
  <c r="H84" i="60"/>
  <c r="L84" i="60"/>
  <c r="G85" i="60"/>
  <c r="H85" i="60"/>
  <c r="I85" i="60"/>
  <c r="J85" i="60"/>
  <c r="K85" i="60"/>
  <c r="L85" i="60"/>
  <c r="G86" i="60"/>
  <c r="G87" i="60"/>
  <c r="H87" i="60"/>
  <c r="I87" i="60"/>
  <c r="J87" i="60"/>
  <c r="K87" i="60"/>
  <c r="L87" i="60"/>
  <c r="J83" i="60"/>
  <c r="G83" i="60"/>
  <c r="G67" i="60"/>
  <c r="I67" i="60"/>
  <c r="J67" i="60"/>
  <c r="G68" i="60"/>
  <c r="H68" i="60"/>
  <c r="I68" i="60"/>
  <c r="J68" i="60"/>
  <c r="K68" i="60"/>
  <c r="L68" i="60"/>
  <c r="G69" i="60"/>
  <c r="G70" i="60"/>
  <c r="H70" i="60"/>
  <c r="I70" i="60"/>
  <c r="J70" i="60"/>
  <c r="K70" i="60"/>
  <c r="L70" i="60"/>
  <c r="G71" i="60"/>
  <c r="H71" i="60"/>
  <c r="I71" i="60"/>
  <c r="J71" i="60"/>
  <c r="K71" i="60"/>
  <c r="L71" i="60"/>
  <c r="G72" i="60"/>
  <c r="H72" i="60"/>
  <c r="I72" i="60"/>
  <c r="J72" i="60"/>
  <c r="K72" i="60"/>
  <c r="L72" i="60"/>
  <c r="G73" i="60"/>
  <c r="H73" i="60"/>
  <c r="I73" i="60"/>
  <c r="J73" i="60"/>
  <c r="K73" i="60"/>
  <c r="L73" i="60"/>
  <c r="G74" i="60"/>
  <c r="H74" i="60"/>
  <c r="I74" i="60"/>
  <c r="J74" i="60"/>
  <c r="K74" i="60"/>
  <c r="L74" i="60"/>
  <c r="G75" i="60"/>
  <c r="H75" i="60"/>
  <c r="I75" i="60"/>
  <c r="J75" i="60"/>
  <c r="K75" i="60"/>
  <c r="L75" i="60"/>
  <c r="G76" i="60"/>
  <c r="H76" i="60"/>
  <c r="I76" i="60"/>
  <c r="J76" i="60"/>
  <c r="K76" i="60"/>
  <c r="L76" i="60"/>
  <c r="G66" i="60"/>
  <c r="G56" i="60"/>
  <c r="G57" i="60"/>
  <c r="H57" i="60"/>
  <c r="I57" i="60"/>
  <c r="J57" i="60"/>
  <c r="K57" i="60"/>
  <c r="L57" i="60"/>
  <c r="G58" i="60"/>
  <c r="H58" i="60"/>
  <c r="I58" i="60"/>
  <c r="J58" i="60"/>
  <c r="K58" i="60"/>
  <c r="L58" i="60"/>
  <c r="H55" i="60"/>
  <c r="I55" i="60"/>
  <c r="J55" i="60"/>
  <c r="K55" i="60"/>
  <c r="L55" i="60"/>
  <c r="G55" i="60"/>
  <c r="L38" i="62" l="1"/>
  <c r="I17" i="62"/>
  <c r="H38" i="62"/>
  <c r="H110" i="62" s="1"/>
  <c r="L17" i="62"/>
  <c r="K38" i="62"/>
  <c r="K110" i="62" s="1"/>
  <c r="J38" i="62"/>
  <c r="J110" i="62" s="1"/>
  <c r="M21" i="62"/>
  <c r="M19" i="62"/>
  <c r="H17" i="62"/>
  <c r="G38" i="62"/>
  <c r="G110" i="62" s="1"/>
  <c r="J17" i="62"/>
  <c r="I38" i="62"/>
  <c r="I110" i="62" s="1"/>
  <c r="M111" i="61"/>
  <c r="L111" i="61"/>
  <c r="I83" i="60"/>
  <c r="L83" i="60"/>
  <c r="M83" i="60" s="1"/>
  <c r="H83" i="60"/>
  <c r="K84" i="60"/>
  <c r="K17" i="62"/>
  <c r="M22" i="62"/>
  <c r="M20" i="62"/>
  <c r="M18" i="62"/>
  <c r="L67" i="60"/>
  <c r="M67" i="60" s="1"/>
  <c r="H67" i="60"/>
  <c r="K83" i="60"/>
  <c r="J84" i="60"/>
  <c r="M84" i="60" s="1"/>
  <c r="M10" i="62"/>
  <c r="J118" i="61"/>
  <c r="G118" i="61"/>
  <c r="M84" i="61"/>
  <c r="C55" i="7"/>
  <c r="C57" i="7"/>
  <c r="M12" i="61"/>
  <c r="M55" i="60"/>
  <c r="M70" i="61"/>
  <c r="M103" i="62"/>
  <c r="M101" i="62"/>
  <c r="G38" i="61"/>
  <c r="M48" i="61"/>
  <c r="M58" i="61"/>
  <c r="M57" i="61"/>
  <c r="M75" i="61"/>
  <c r="M74" i="61"/>
  <c r="M73" i="61"/>
  <c r="M72" i="61"/>
  <c r="M71" i="61"/>
  <c r="M69" i="61"/>
  <c r="M68" i="61"/>
  <c r="M87" i="61"/>
  <c r="M86" i="61"/>
  <c r="I116" i="61"/>
  <c r="I38" i="61"/>
  <c r="L38" i="61"/>
  <c r="M99" i="60"/>
  <c r="K111" i="62"/>
  <c r="I111" i="62"/>
  <c r="M103" i="61"/>
  <c r="M74" i="60"/>
  <c r="M73" i="60"/>
  <c r="M70" i="60"/>
  <c r="M58" i="60"/>
  <c r="M57" i="60"/>
  <c r="M103" i="60"/>
  <c r="M102" i="60"/>
  <c r="M100" i="60"/>
  <c r="M34" i="61"/>
  <c r="I104" i="61"/>
  <c r="M99" i="61"/>
  <c r="M100" i="61"/>
  <c r="M22" i="61"/>
  <c r="M21" i="61"/>
  <c r="M20" i="61"/>
  <c r="M19" i="61"/>
  <c r="M18" i="61"/>
  <c r="M17" i="61"/>
  <c r="M16" i="61"/>
  <c r="M15" i="61"/>
  <c r="M14" i="61"/>
  <c r="M13" i="61"/>
  <c r="M11" i="61"/>
  <c r="M10" i="61"/>
  <c r="M29" i="61"/>
  <c r="I51" i="61"/>
  <c r="J111" i="62"/>
  <c r="M43" i="62"/>
  <c r="J105" i="62"/>
  <c r="M100" i="62"/>
  <c r="M76" i="61"/>
  <c r="M102" i="61"/>
  <c r="M101" i="61"/>
  <c r="L51" i="61"/>
  <c r="J89" i="61"/>
  <c r="M85" i="60"/>
  <c r="M49" i="61"/>
  <c r="M36" i="61"/>
  <c r="M35" i="61"/>
  <c r="M32" i="61"/>
  <c r="M31" i="61"/>
  <c r="I60" i="61"/>
  <c r="M66" i="61"/>
  <c r="K104" i="61"/>
  <c r="G104" i="61"/>
  <c r="M101" i="60"/>
  <c r="M102" i="62"/>
  <c r="M36" i="62"/>
  <c r="M35" i="62"/>
  <c r="M34" i="62"/>
  <c r="M33" i="62"/>
  <c r="M32" i="62"/>
  <c r="M31" i="62"/>
  <c r="M30" i="62"/>
  <c r="M57" i="62"/>
  <c r="M76" i="62"/>
  <c r="M75" i="62"/>
  <c r="M74" i="62"/>
  <c r="M73" i="62"/>
  <c r="M72" i="62"/>
  <c r="M71" i="62"/>
  <c r="M70" i="62"/>
  <c r="M68" i="62"/>
  <c r="M67" i="62"/>
  <c r="M85" i="62"/>
  <c r="L105" i="62"/>
  <c r="H105" i="62"/>
  <c r="I105" i="62"/>
  <c r="M116" i="62"/>
  <c r="M9" i="62"/>
  <c r="M55" i="62"/>
  <c r="M99" i="62"/>
  <c r="K105" i="62"/>
  <c r="G105" i="62"/>
  <c r="M29" i="62"/>
  <c r="H51" i="62"/>
  <c r="H112" i="62" s="1"/>
  <c r="G78" i="62"/>
  <c r="M83" i="62"/>
  <c r="G89" i="62"/>
  <c r="M49" i="62"/>
  <c r="M58" i="62"/>
  <c r="M87" i="62"/>
  <c r="M84" i="62"/>
  <c r="G60" i="62"/>
  <c r="G113" i="62" s="1"/>
  <c r="G51" i="62"/>
  <c r="G112" i="62" s="1"/>
  <c r="L104" i="61"/>
  <c r="H104" i="61"/>
  <c r="J104" i="61"/>
  <c r="H78" i="61"/>
  <c r="K78" i="61"/>
  <c r="G78" i="61"/>
  <c r="G60" i="61"/>
  <c r="J51" i="61"/>
  <c r="M55" i="61"/>
  <c r="G89" i="61"/>
  <c r="K89" i="61"/>
  <c r="M6" i="62"/>
  <c r="J60" i="61"/>
  <c r="M118" i="62"/>
  <c r="L118" i="62"/>
  <c r="G24" i="62"/>
  <c r="G51" i="61"/>
  <c r="K51" i="61"/>
  <c r="H51" i="61"/>
  <c r="H89" i="61"/>
  <c r="K24" i="61"/>
  <c r="L116" i="62"/>
  <c r="K60" i="61"/>
  <c r="H60" i="61"/>
  <c r="I78" i="61"/>
  <c r="J78" i="61"/>
  <c r="M9" i="61"/>
  <c r="M72" i="60"/>
  <c r="M71" i="60"/>
  <c r="M68" i="60"/>
  <c r="M87" i="60"/>
  <c r="M47" i="61"/>
  <c r="M83" i="61"/>
  <c r="I89" i="61"/>
  <c r="M47" i="62"/>
  <c r="G24" i="61"/>
  <c r="L78" i="61"/>
  <c r="M30" i="61"/>
  <c r="L24" i="61"/>
  <c r="L60" i="61"/>
  <c r="M56" i="61"/>
  <c r="J24" i="61"/>
  <c r="I24" i="61"/>
  <c r="M67" i="61"/>
  <c r="L89" i="61"/>
  <c r="M85" i="61"/>
  <c r="M76" i="60"/>
  <c r="M75" i="60"/>
  <c r="G48" i="60"/>
  <c r="H48" i="60"/>
  <c r="G49" i="60"/>
  <c r="H49" i="60"/>
  <c r="I49" i="60"/>
  <c r="J49" i="60"/>
  <c r="K49" i="60"/>
  <c r="L49" i="60"/>
  <c r="H47" i="60"/>
  <c r="I47" i="60"/>
  <c r="J47" i="60"/>
  <c r="K47" i="60"/>
  <c r="L47" i="60"/>
  <c r="G47" i="60"/>
  <c r="H43" i="60"/>
  <c r="I43" i="60"/>
  <c r="J43" i="60"/>
  <c r="K43" i="60"/>
  <c r="L43" i="60"/>
  <c r="G43" i="60"/>
  <c r="L30" i="60"/>
  <c r="L31" i="60"/>
  <c r="L32" i="60"/>
  <c r="L33" i="60"/>
  <c r="L34" i="60"/>
  <c r="L35" i="60"/>
  <c r="L36" i="60"/>
  <c r="K30" i="60"/>
  <c r="K31" i="60"/>
  <c r="K32" i="60"/>
  <c r="K34" i="60"/>
  <c r="K35" i="60"/>
  <c r="K36" i="60"/>
  <c r="J30" i="60"/>
  <c r="J31" i="60"/>
  <c r="J32" i="60"/>
  <c r="J34" i="60"/>
  <c r="J35" i="60"/>
  <c r="J36" i="60"/>
  <c r="I30" i="60"/>
  <c r="I31" i="60"/>
  <c r="I32" i="60"/>
  <c r="I33" i="60"/>
  <c r="I34" i="60"/>
  <c r="I35" i="60"/>
  <c r="I36" i="60"/>
  <c r="H34" i="60"/>
  <c r="H36" i="60"/>
  <c r="G30" i="60"/>
  <c r="G31" i="60"/>
  <c r="G32" i="60"/>
  <c r="G33" i="60"/>
  <c r="G34" i="60"/>
  <c r="G35" i="60"/>
  <c r="G36" i="60"/>
  <c r="I29" i="60"/>
  <c r="J29" i="60"/>
  <c r="K29" i="60"/>
  <c r="L29" i="60"/>
  <c r="G29" i="60"/>
  <c r="G10" i="60"/>
  <c r="I10" i="60"/>
  <c r="J10" i="60"/>
  <c r="K10" i="60"/>
  <c r="L10" i="60"/>
  <c r="G11" i="60"/>
  <c r="I11" i="60"/>
  <c r="J11" i="60"/>
  <c r="K11" i="60"/>
  <c r="L11" i="60"/>
  <c r="G12" i="60"/>
  <c r="G13" i="60"/>
  <c r="I13" i="60"/>
  <c r="J13" i="60"/>
  <c r="K13" i="60"/>
  <c r="L13" i="60"/>
  <c r="G14" i="60"/>
  <c r="I14" i="60"/>
  <c r="J14" i="60"/>
  <c r="K14" i="60"/>
  <c r="L14" i="60"/>
  <c r="G15" i="60"/>
  <c r="I15" i="60"/>
  <c r="J15" i="60"/>
  <c r="K15" i="60"/>
  <c r="L15" i="60"/>
  <c r="G16" i="60"/>
  <c r="I16" i="60"/>
  <c r="J16" i="60"/>
  <c r="K16" i="60"/>
  <c r="L16" i="60"/>
  <c r="G17" i="60"/>
  <c r="I17" i="60"/>
  <c r="J17" i="60"/>
  <c r="K17" i="60"/>
  <c r="L17" i="60"/>
  <c r="G18" i="60"/>
  <c r="I18" i="60"/>
  <c r="J18" i="60"/>
  <c r="K18" i="60"/>
  <c r="L18" i="60"/>
  <c r="G19" i="60"/>
  <c r="I19" i="60"/>
  <c r="J19" i="60"/>
  <c r="K19" i="60"/>
  <c r="L19" i="60"/>
  <c r="G20" i="60"/>
  <c r="I20" i="60"/>
  <c r="J20" i="60"/>
  <c r="K20" i="60"/>
  <c r="L20" i="60"/>
  <c r="G21" i="60"/>
  <c r="I21" i="60"/>
  <c r="J21" i="60"/>
  <c r="K21" i="60"/>
  <c r="L21" i="60"/>
  <c r="G22" i="60"/>
  <c r="I22" i="60"/>
  <c r="J22" i="60"/>
  <c r="K22" i="60"/>
  <c r="L22" i="60"/>
  <c r="I9" i="60"/>
  <c r="J9" i="60"/>
  <c r="K9" i="60"/>
  <c r="L9" i="60"/>
  <c r="M17" i="62" l="1"/>
  <c r="M38" i="62"/>
  <c r="G109" i="62"/>
  <c r="H12" i="62"/>
  <c r="H24" i="62" s="1"/>
  <c r="K117" i="62"/>
  <c r="L86" i="62"/>
  <c r="L86" i="60"/>
  <c r="H117" i="62"/>
  <c r="I86" i="62"/>
  <c r="I86" i="60"/>
  <c r="G114" i="62"/>
  <c r="H56" i="62"/>
  <c r="H60" i="62" s="1"/>
  <c r="H113" i="62" s="1"/>
  <c r="H56" i="60"/>
  <c r="J117" i="62"/>
  <c r="K86" i="62"/>
  <c r="K86" i="60"/>
  <c r="G115" i="62"/>
  <c r="H69" i="62"/>
  <c r="H69" i="60"/>
  <c r="G117" i="62"/>
  <c r="H86" i="62"/>
  <c r="H86" i="60"/>
  <c r="I117" i="62"/>
  <c r="J86" i="62"/>
  <c r="J86" i="60"/>
  <c r="M116" i="61"/>
  <c r="L116" i="61"/>
  <c r="M110" i="62"/>
  <c r="J109" i="61"/>
  <c r="J114" i="61"/>
  <c r="H115" i="61"/>
  <c r="L110" i="62"/>
  <c r="G114" i="61"/>
  <c r="H117" i="61"/>
  <c r="G117" i="61"/>
  <c r="I112" i="61"/>
  <c r="G110" i="61"/>
  <c r="I115" i="61"/>
  <c r="I114" i="61"/>
  <c r="H112" i="61"/>
  <c r="K115" i="61"/>
  <c r="K114" i="61"/>
  <c r="K117" i="61"/>
  <c r="I117" i="61"/>
  <c r="G109" i="61"/>
  <c r="H113" i="61"/>
  <c r="K112" i="61"/>
  <c r="J113" i="61"/>
  <c r="G115" i="61"/>
  <c r="J112" i="61"/>
  <c r="H114" i="61"/>
  <c r="J115" i="61"/>
  <c r="I110" i="61"/>
  <c r="I109" i="61"/>
  <c r="K113" i="61"/>
  <c r="K109" i="61"/>
  <c r="G112" i="61"/>
  <c r="G113" i="61"/>
  <c r="J117" i="61"/>
  <c r="I113" i="61"/>
  <c r="M111" i="62"/>
  <c r="L111" i="62"/>
  <c r="M104" i="61"/>
  <c r="M22" i="60"/>
  <c r="M21" i="60"/>
  <c r="M19" i="60"/>
  <c r="M18" i="60"/>
  <c r="M17" i="60"/>
  <c r="M15" i="60"/>
  <c r="M14" i="60"/>
  <c r="M13" i="60"/>
  <c r="M11" i="60"/>
  <c r="M10" i="60"/>
  <c r="M35" i="60"/>
  <c r="M31" i="60"/>
  <c r="M43" i="60"/>
  <c r="M34" i="60"/>
  <c r="M30" i="60"/>
  <c r="M78" i="61"/>
  <c r="I38" i="60"/>
  <c r="G38" i="60"/>
  <c r="M51" i="61"/>
  <c r="M105" i="62"/>
  <c r="M89" i="61"/>
  <c r="M60" i="61"/>
  <c r="M29" i="60"/>
  <c r="M47" i="60"/>
  <c r="M36" i="60"/>
  <c r="L38" i="60"/>
  <c r="M49" i="60"/>
  <c r="M32" i="60"/>
  <c r="M24" i="61"/>
  <c r="M20" i="60"/>
  <c r="M16" i="60"/>
  <c r="L117" i="62" l="1"/>
  <c r="G120" i="62"/>
  <c r="M117" i="62"/>
  <c r="M117" i="61"/>
  <c r="L117" i="61"/>
  <c r="M115" i="61"/>
  <c r="L115" i="61"/>
  <c r="L112" i="61"/>
  <c r="I48" i="62"/>
  <c r="I51" i="62" s="1"/>
  <c r="I112" i="62" s="1"/>
  <c r="H78" i="62"/>
  <c r="I48" i="60"/>
  <c r="M86" i="62"/>
  <c r="M89" i="62" s="1"/>
  <c r="L89" i="62"/>
  <c r="M113" i="61"/>
  <c r="L113" i="61"/>
  <c r="I66" i="62"/>
  <c r="I66" i="60"/>
  <c r="H89" i="62"/>
  <c r="J66" i="62"/>
  <c r="J66" i="60"/>
  <c r="I89" i="62"/>
  <c r="M114" i="61"/>
  <c r="L114" i="61"/>
  <c r="K66" i="62"/>
  <c r="K66" i="60"/>
  <c r="J89" i="62"/>
  <c r="H109" i="62"/>
  <c r="I12" i="62"/>
  <c r="I24" i="62" s="1"/>
  <c r="I12" i="60"/>
  <c r="I24" i="60" s="1"/>
  <c r="M112" i="61"/>
  <c r="M109" i="61"/>
  <c r="L109" i="61"/>
  <c r="L66" i="62"/>
  <c r="L66" i="60"/>
  <c r="K89" i="62"/>
  <c r="M86" i="60"/>
  <c r="G120" i="61"/>
  <c r="M66" i="60" l="1"/>
  <c r="M66" i="62"/>
  <c r="J115" i="62"/>
  <c r="K69" i="62"/>
  <c r="K69" i="60"/>
  <c r="K78" i="60" s="1"/>
  <c r="K114" i="60" s="1"/>
  <c r="H115" i="62"/>
  <c r="I69" i="62"/>
  <c r="I69" i="60"/>
  <c r="H114" i="62"/>
  <c r="I56" i="62"/>
  <c r="I60" i="62" s="1"/>
  <c r="I113" i="62" s="1"/>
  <c r="I56" i="60"/>
  <c r="K115" i="62"/>
  <c r="L69" i="62"/>
  <c r="L69" i="60"/>
  <c r="I109" i="62"/>
  <c r="J12" i="62"/>
  <c r="J24" i="62" s="1"/>
  <c r="J12" i="60"/>
  <c r="J24" i="60" s="1"/>
  <c r="I115" i="62"/>
  <c r="J69" i="62"/>
  <c r="J78" i="62" s="1"/>
  <c r="J69" i="60"/>
  <c r="J78" i="60" s="1"/>
  <c r="J114" i="60" s="1"/>
  <c r="G9" i="60"/>
  <c r="G24" i="60" s="1"/>
  <c r="J6" i="60"/>
  <c r="G6" i="60"/>
  <c r="G118" i="60" s="1"/>
  <c r="B3" i="5" s="1"/>
  <c r="K116" i="60"/>
  <c r="J116" i="60"/>
  <c r="H116" i="60"/>
  <c r="G116" i="60"/>
  <c r="J104" i="60"/>
  <c r="J117" i="60" s="1"/>
  <c r="K104" i="60"/>
  <c r="K117" i="60" s="1"/>
  <c r="H104" i="60"/>
  <c r="H117" i="60" s="1"/>
  <c r="G104" i="60"/>
  <c r="G117" i="60" s="1"/>
  <c r="B11" i="5" s="1"/>
  <c r="I116" i="60"/>
  <c r="H89" i="60"/>
  <c r="H115" i="60" s="1"/>
  <c r="K89" i="60"/>
  <c r="K115" i="60" s="1"/>
  <c r="J89" i="60"/>
  <c r="J115" i="60" s="1"/>
  <c r="G89" i="60"/>
  <c r="G115" i="60" s="1"/>
  <c r="B10" i="5" s="1"/>
  <c r="H78" i="60"/>
  <c r="H114" i="60" s="1"/>
  <c r="G78" i="60"/>
  <c r="G114" i="60" s="1"/>
  <c r="B9" i="5" s="1"/>
  <c r="H60" i="60"/>
  <c r="H113" i="60" s="1"/>
  <c r="G60" i="60"/>
  <c r="G113" i="60" s="1"/>
  <c r="B8" i="5" s="1"/>
  <c r="I51" i="60"/>
  <c r="I112" i="60" s="1"/>
  <c r="H51" i="60"/>
  <c r="H112" i="60" s="1"/>
  <c r="G51" i="60"/>
  <c r="G112" i="60" s="1"/>
  <c r="B7" i="5" s="1"/>
  <c r="K111" i="60"/>
  <c r="J111" i="60"/>
  <c r="I111" i="60"/>
  <c r="H111" i="60"/>
  <c r="G111" i="60"/>
  <c r="B6" i="5" s="1"/>
  <c r="M69" i="62" l="1"/>
  <c r="M78" i="62" s="1"/>
  <c r="H120" i="62"/>
  <c r="J114" i="62"/>
  <c r="K56" i="62"/>
  <c r="K60" i="62" s="1"/>
  <c r="K113" i="62" s="1"/>
  <c r="M113" i="62" s="1"/>
  <c r="K56" i="60"/>
  <c r="K60" i="60" s="1"/>
  <c r="K113" i="60" s="1"/>
  <c r="K48" i="62"/>
  <c r="K51" i="62" s="1"/>
  <c r="K112" i="62" s="1"/>
  <c r="M112" i="62" s="1"/>
  <c r="K48" i="60"/>
  <c r="K51" i="60" s="1"/>
  <c r="K112" i="60" s="1"/>
  <c r="M112" i="60" s="1"/>
  <c r="J109" i="62"/>
  <c r="K12" i="62"/>
  <c r="K24" i="62" s="1"/>
  <c r="K12" i="60"/>
  <c r="K24" i="60" s="1"/>
  <c r="K109" i="60" s="1"/>
  <c r="L78" i="62"/>
  <c r="L115" i="62"/>
  <c r="M115" i="62"/>
  <c r="J48" i="62"/>
  <c r="J51" i="62" s="1"/>
  <c r="J112" i="62" s="1"/>
  <c r="L112" i="62" s="1"/>
  <c r="J48" i="60"/>
  <c r="J51" i="60" s="1"/>
  <c r="J112" i="60" s="1"/>
  <c r="L112" i="60" s="1"/>
  <c r="D7" i="5" s="1"/>
  <c r="F7" i="5" s="1"/>
  <c r="L48" i="62"/>
  <c r="L48" i="60"/>
  <c r="I78" i="62"/>
  <c r="K78" i="62"/>
  <c r="M69" i="60"/>
  <c r="M78" i="60" s="1"/>
  <c r="C8" i="5"/>
  <c r="C9" i="5"/>
  <c r="C7" i="5"/>
  <c r="C11" i="5"/>
  <c r="C6" i="5"/>
  <c r="C10" i="5"/>
  <c r="M9" i="60"/>
  <c r="I109" i="60"/>
  <c r="J109" i="60"/>
  <c r="M89" i="60"/>
  <c r="L116" i="60"/>
  <c r="D12" i="5" s="1"/>
  <c r="F12" i="5" s="1"/>
  <c r="M116" i="60"/>
  <c r="G109" i="60"/>
  <c r="B4" i="5" s="1"/>
  <c r="G110" i="60"/>
  <c r="B5" i="5" s="1"/>
  <c r="J118" i="60"/>
  <c r="M111" i="60"/>
  <c r="L111" i="60"/>
  <c r="D6" i="5" s="1"/>
  <c r="F6" i="5" s="1"/>
  <c r="M104" i="60"/>
  <c r="I60" i="60"/>
  <c r="I113" i="60" s="1"/>
  <c r="I78" i="60"/>
  <c r="I114" i="60" s="1"/>
  <c r="L104" i="60"/>
  <c r="I104" i="60"/>
  <c r="I117" i="60" s="1"/>
  <c r="I110" i="60"/>
  <c r="I89" i="60"/>
  <c r="I115" i="60" s="1"/>
  <c r="M48" i="60" l="1"/>
  <c r="M51" i="60" s="1"/>
  <c r="L51" i="60"/>
  <c r="I114" i="62"/>
  <c r="J56" i="62"/>
  <c r="J60" i="62" s="1"/>
  <c r="J113" i="62" s="1"/>
  <c r="L113" i="62" s="1"/>
  <c r="J56" i="60"/>
  <c r="J60" i="60" s="1"/>
  <c r="J113" i="60" s="1"/>
  <c r="L113" i="60" s="1"/>
  <c r="D8" i="5" s="1"/>
  <c r="F8" i="5" s="1"/>
  <c r="K109" i="62"/>
  <c r="L12" i="62"/>
  <c r="L12" i="60"/>
  <c r="L51" i="62"/>
  <c r="M48" i="62"/>
  <c r="M51" i="62" s="1"/>
  <c r="K114" i="62"/>
  <c r="L56" i="62"/>
  <c r="L56" i="60"/>
  <c r="B13" i="5"/>
  <c r="L78" i="60"/>
  <c r="L109" i="60"/>
  <c r="D4" i="5" s="1"/>
  <c r="F4" i="5" s="1"/>
  <c r="M115" i="60"/>
  <c r="L115" i="60"/>
  <c r="D10" i="5" s="1"/>
  <c r="F10" i="5" s="1"/>
  <c r="M114" i="60"/>
  <c r="L114" i="60"/>
  <c r="D9" i="5" s="1"/>
  <c r="F9" i="5" s="1"/>
  <c r="L89" i="60"/>
  <c r="M117" i="60"/>
  <c r="L117" i="60"/>
  <c r="D11" i="5" s="1"/>
  <c r="F11" i="5" s="1"/>
  <c r="M113" i="60"/>
  <c r="G120" i="60"/>
  <c r="M109" i="60"/>
  <c r="J120" i="62" l="1"/>
  <c r="M56" i="62"/>
  <c r="M60" i="62" s="1"/>
  <c r="L60" i="62"/>
  <c r="K120" i="62"/>
  <c r="M109" i="62"/>
  <c r="L109" i="62"/>
  <c r="L24" i="60"/>
  <c r="M24" i="60" s="1"/>
  <c r="M12" i="60"/>
  <c r="M56" i="60"/>
  <c r="M60" i="60" s="1"/>
  <c r="L60" i="60"/>
  <c r="M12" i="62"/>
  <c r="L24" i="62"/>
  <c r="M24" i="62" s="1"/>
  <c r="M114" i="62"/>
  <c r="L114" i="62"/>
  <c r="I120" i="62"/>
  <c r="K150" i="59"/>
  <c r="J150" i="59"/>
  <c r="I150" i="59"/>
  <c r="H150" i="59"/>
  <c r="G149" i="59"/>
  <c r="K148" i="59"/>
  <c r="J147" i="59"/>
  <c r="G147" i="59"/>
  <c r="F147" i="59"/>
  <c r="H146" i="59"/>
  <c r="J145" i="59"/>
  <c r="H145" i="59"/>
  <c r="G145" i="59"/>
  <c r="F145" i="59"/>
  <c r="J144" i="59"/>
  <c r="I144" i="59"/>
  <c r="H144" i="59"/>
  <c r="F144" i="59"/>
  <c r="I142" i="59"/>
  <c r="H142" i="59"/>
  <c r="J141" i="59"/>
  <c r="G141" i="59"/>
  <c r="F141" i="59"/>
  <c r="F152" i="59" s="1"/>
  <c r="J137" i="59"/>
  <c r="J149" i="59" s="1"/>
  <c r="I137" i="59"/>
  <c r="I149" i="59" s="1"/>
  <c r="H137" i="59"/>
  <c r="H149" i="59" s="1"/>
  <c r="G137" i="59"/>
  <c r="F137" i="59"/>
  <c r="F149" i="59" s="1"/>
  <c r="K135" i="59"/>
  <c r="K134" i="59"/>
  <c r="K133" i="59"/>
  <c r="K132" i="59"/>
  <c r="K131" i="59"/>
  <c r="K137" i="59" s="1"/>
  <c r="K149" i="59" s="1"/>
  <c r="F119" i="59"/>
  <c r="J108" i="59"/>
  <c r="H108" i="59"/>
  <c r="H147" i="59" s="1"/>
  <c r="G108" i="59"/>
  <c r="F108" i="59"/>
  <c r="I106" i="59"/>
  <c r="I108" i="59" s="1"/>
  <c r="I147" i="59" s="1"/>
  <c r="I105" i="59"/>
  <c r="K105" i="59" s="1"/>
  <c r="K104" i="59"/>
  <c r="K103" i="59"/>
  <c r="K102" i="59"/>
  <c r="J98" i="59"/>
  <c r="J146" i="59" s="1"/>
  <c r="I98" i="59"/>
  <c r="I146" i="59" s="1"/>
  <c r="H98" i="59"/>
  <c r="G98" i="59"/>
  <c r="G146" i="59" s="1"/>
  <c r="F98" i="59"/>
  <c r="F146" i="59" s="1"/>
  <c r="K96" i="59"/>
  <c r="I96" i="59"/>
  <c r="I95" i="59"/>
  <c r="K95" i="59" s="1"/>
  <c r="K94" i="59"/>
  <c r="I94" i="59"/>
  <c r="K93" i="59"/>
  <c r="K92" i="59"/>
  <c r="K91" i="59"/>
  <c r="K90" i="59"/>
  <c r="K89" i="59"/>
  <c r="K88" i="59"/>
  <c r="K87" i="59"/>
  <c r="K86" i="59"/>
  <c r="J82" i="59"/>
  <c r="I82" i="59"/>
  <c r="I145" i="59" s="1"/>
  <c r="H82" i="59"/>
  <c r="G82" i="59"/>
  <c r="F82" i="59"/>
  <c r="K80" i="59"/>
  <c r="K79" i="59"/>
  <c r="K78" i="59"/>
  <c r="K77" i="59"/>
  <c r="K82" i="59" s="1"/>
  <c r="K145" i="59" s="1"/>
  <c r="J74" i="59"/>
  <c r="I74" i="59"/>
  <c r="H74" i="59"/>
  <c r="G74" i="59"/>
  <c r="G144" i="59" s="1"/>
  <c r="F74" i="59"/>
  <c r="K72" i="59"/>
  <c r="K71" i="59"/>
  <c r="K70" i="59"/>
  <c r="K74" i="59" s="1"/>
  <c r="K144" i="59" s="1"/>
  <c r="K69" i="59"/>
  <c r="K68" i="59"/>
  <c r="J64" i="59"/>
  <c r="J143" i="59" s="1"/>
  <c r="I64" i="59"/>
  <c r="I143" i="59" s="1"/>
  <c r="H64" i="59"/>
  <c r="H143" i="59" s="1"/>
  <c r="G64" i="59"/>
  <c r="G143" i="59" s="1"/>
  <c r="F64" i="59"/>
  <c r="F143" i="59" s="1"/>
  <c r="K62" i="59"/>
  <c r="K61" i="59"/>
  <c r="K60" i="59"/>
  <c r="K59" i="59"/>
  <c r="K58" i="59"/>
  <c r="K57" i="59"/>
  <c r="K56" i="59"/>
  <c r="K55" i="59"/>
  <c r="K64" i="59" s="1"/>
  <c r="K143" i="59" s="1"/>
  <c r="K54" i="59"/>
  <c r="K53" i="59"/>
  <c r="J49" i="59"/>
  <c r="J142" i="59" s="1"/>
  <c r="I49" i="59"/>
  <c r="H49" i="59"/>
  <c r="G49" i="59"/>
  <c r="G142" i="59" s="1"/>
  <c r="F49" i="59"/>
  <c r="F142" i="59" s="1"/>
  <c r="K47" i="59"/>
  <c r="K46" i="59"/>
  <c r="K45" i="59"/>
  <c r="K44" i="59"/>
  <c r="K43" i="59"/>
  <c r="K42" i="59"/>
  <c r="K41" i="59"/>
  <c r="K40" i="59"/>
  <c r="K49" i="59" s="1"/>
  <c r="K142" i="59" s="1"/>
  <c r="J36" i="59"/>
  <c r="H36" i="59"/>
  <c r="H141" i="59" s="1"/>
  <c r="G36" i="59"/>
  <c r="F36" i="59"/>
  <c r="I34" i="59"/>
  <c r="K34" i="59" s="1"/>
  <c r="I33" i="59"/>
  <c r="K33" i="59" s="1"/>
  <c r="I32" i="59"/>
  <c r="I36" i="59" s="1"/>
  <c r="I141" i="59" s="1"/>
  <c r="I152" i="59" s="1"/>
  <c r="I31" i="59"/>
  <c r="K31" i="59" s="1"/>
  <c r="K30" i="59"/>
  <c r="K29" i="59"/>
  <c r="K28" i="59"/>
  <c r="K27" i="59"/>
  <c r="K26" i="59"/>
  <c r="K25" i="59"/>
  <c r="K24" i="59"/>
  <c r="K23" i="59"/>
  <c r="K22" i="59"/>
  <c r="K21" i="59"/>
  <c r="K18" i="59"/>
  <c r="M120" i="62" l="1"/>
  <c r="L120" i="62"/>
  <c r="H152" i="59"/>
  <c r="K98" i="59"/>
  <c r="K146" i="59" s="1"/>
  <c r="K36" i="59"/>
  <c r="K141" i="59" s="1"/>
  <c r="G152" i="59"/>
  <c r="J152" i="59"/>
  <c r="K32" i="59"/>
  <c r="K106" i="59"/>
  <c r="K108" i="59" s="1"/>
  <c r="K147" i="59" s="1"/>
  <c r="D124" i="62" l="1"/>
  <c r="G124" i="62"/>
  <c r="D126" i="62"/>
  <c r="G126" i="62"/>
  <c r="K152" i="59"/>
  <c r="F154" i="59" l="1"/>
  <c r="F155" i="59"/>
  <c r="J150" i="58" l="1"/>
  <c r="I150" i="58"/>
  <c r="H150" i="58"/>
  <c r="J149" i="58"/>
  <c r="H149" i="58"/>
  <c r="F149" i="58"/>
  <c r="K148" i="58"/>
  <c r="G146" i="58"/>
  <c r="I145" i="58"/>
  <c r="G145" i="58"/>
  <c r="I144" i="58"/>
  <c r="G144" i="58"/>
  <c r="J137" i="58"/>
  <c r="I137" i="58"/>
  <c r="I149" i="58" s="1"/>
  <c r="H137" i="58"/>
  <c r="G137" i="58"/>
  <c r="G149" i="58" s="1"/>
  <c r="F137" i="58"/>
  <c r="K135" i="58"/>
  <c r="K134" i="58"/>
  <c r="K133" i="58"/>
  <c r="K132" i="58"/>
  <c r="K131" i="58"/>
  <c r="K137" i="58" s="1"/>
  <c r="K149" i="58" s="1"/>
  <c r="F119" i="58"/>
  <c r="J108" i="58"/>
  <c r="J147" i="58" s="1"/>
  <c r="I108" i="58"/>
  <c r="I147" i="58" s="1"/>
  <c r="H108" i="58"/>
  <c r="H147" i="58" s="1"/>
  <c r="G108" i="58"/>
  <c r="G147" i="58" s="1"/>
  <c r="F108" i="58"/>
  <c r="F147" i="58" s="1"/>
  <c r="K106" i="58"/>
  <c r="K105" i="58"/>
  <c r="K104" i="58"/>
  <c r="K103" i="58"/>
  <c r="K102" i="58"/>
  <c r="K108" i="58" s="1"/>
  <c r="K147" i="58" s="1"/>
  <c r="J98" i="58"/>
  <c r="J146" i="58" s="1"/>
  <c r="H98" i="58"/>
  <c r="H146" i="58" s="1"/>
  <c r="G98" i="58"/>
  <c r="F98" i="58"/>
  <c r="F146" i="58" s="1"/>
  <c r="I96" i="58"/>
  <c r="K96" i="58" s="1"/>
  <c r="I95" i="58"/>
  <c r="K95" i="58" s="1"/>
  <c r="I94" i="58"/>
  <c r="K94" i="58" s="1"/>
  <c r="K93" i="58"/>
  <c r="K92" i="58"/>
  <c r="I92" i="58"/>
  <c r="K91" i="58"/>
  <c r="I91" i="58"/>
  <c r="K90" i="58"/>
  <c r="I89" i="58"/>
  <c r="K89" i="58" s="1"/>
  <c r="K88" i="58"/>
  <c r="K87" i="58"/>
  <c r="I86" i="58"/>
  <c r="I98" i="58" s="1"/>
  <c r="I146" i="58" s="1"/>
  <c r="J82" i="58"/>
  <c r="J145" i="58" s="1"/>
  <c r="I82" i="58"/>
  <c r="H82" i="58"/>
  <c r="H145" i="58" s="1"/>
  <c r="G82" i="58"/>
  <c r="F82" i="58"/>
  <c r="F145" i="58" s="1"/>
  <c r="K80" i="58"/>
  <c r="K79" i="58"/>
  <c r="K78" i="58"/>
  <c r="K77" i="58"/>
  <c r="K82" i="58" s="1"/>
  <c r="K145" i="58" s="1"/>
  <c r="J74" i="58"/>
  <c r="J144" i="58" s="1"/>
  <c r="I74" i="58"/>
  <c r="H74" i="58"/>
  <c r="H144" i="58" s="1"/>
  <c r="G74" i="58"/>
  <c r="F74" i="58"/>
  <c r="F144" i="58" s="1"/>
  <c r="K72" i="58"/>
  <c r="K71" i="58"/>
  <c r="K70" i="58"/>
  <c r="K69" i="58"/>
  <c r="K68" i="58"/>
  <c r="K74" i="58" s="1"/>
  <c r="K144" i="58" s="1"/>
  <c r="J64" i="58"/>
  <c r="J143" i="58" s="1"/>
  <c r="I64" i="58"/>
  <c r="I143" i="58" s="1"/>
  <c r="H64" i="58"/>
  <c r="H143" i="58" s="1"/>
  <c r="G64" i="58"/>
  <c r="G143" i="58" s="1"/>
  <c r="F64" i="58"/>
  <c r="F143" i="58" s="1"/>
  <c r="K62" i="58"/>
  <c r="K61" i="58"/>
  <c r="K60" i="58"/>
  <c r="K59" i="58"/>
  <c r="K58" i="58"/>
  <c r="K57" i="58"/>
  <c r="K56" i="58"/>
  <c r="K55" i="58"/>
  <c r="K54" i="58"/>
  <c r="K64" i="58" s="1"/>
  <c r="K143" i="58" s="1"/>
  <c r="K53" i="58"/>
  <c r="J49" i="58"/>
  <c r="J142" i="58" s="1"/>
  <c r="I49" i="58"/>
  <c r="I142" i="58" s="1"/>
  <c r="H49" i="58"/>
  <c r="H142" i="58" s="1"/>
  <c r="G49" i="58"/>
  <c r="G142" i="58" s="1"/>
  <c r="F49" i="58"/>
  <c r="F142" i="58" s="1"/>
  <c r="K47" i="58"/>
  <c r="K46" i="58"/>
  <c r="K45" i="58"/>
  <c r="K44" i="58"/>
  <c r="K43" i="58"/>
  <c r="K42" i="58"/>
  <c r="K41" i="58"/>
  <c r="K49" i="58" s="1"/>
  <c r="K142" i="58" s="1"/>
  <c r="K40" i="58"/>
  <c r="J36" i="58"/>
  <c r="J141" i="58" s="1"/>
  <c r="J152" i="58" s="1"/>
  <c r="I36" i="58"/>
  <c r="I141" i="58" s="1"/>
  <c r="H36" i="58"/>
  <c r="H141" i="58" s="1"/>
  <c r="H152" i="58" s="1"/>
  <c r="G36" i="58"/>
  <c r="G141" i="58" s="1"/>
  <c r="F36" i="58"/>
  <c r="F141" i="58" s="1"/>
  <c r="F152" i="58" s="1"/>
  <c r="K34" i="58"/>
  <c r="K33" i="58"/>
  <c r="K32" i="58"/>
  <c r="K31" i="58"/>
  <c r="K30" i="58"/>
  <c r="K29" i="58"/>
  <c r="K28" i="58"/>
  <c r="I28" i="58"/>
  <c r="K27" i="58"/>
  <c r="K26" i="58"/>
  <c r="K25" i="58"/>
  <c r="K24" i="58"/>
  <c r="K23" i="58"/>
  <c r="K22" i="58"/>
  <c r="K21" i="58"/>
  <c r="K36" i="58" s="1"/>
  <c r="K141" i="58" s="1"/>
  <c r="K18" i="58"/>
  <c r="K150" i="58" s="1"/>
  <c r="I152" i="58" l="1"/>
  <c r="K152" i="58"/>
  <c r="G152" i="58"/>
  <c r="K86" i="58"/>
  <c r="K98" i="58" s="1"/>
  <c r="K146" i="58" s="1"/>
  <c r="F155" i="58" l="1"/>
  <c r="F154" i="58"/>
  <c r="J150" i="57" l="1"/>
  <c r="I150" i="57"/>
  <c r="H150" i="57"/>
  <c r="H149" i="57"/>
  <c r="K148" i="57"/>
  <c r="H147" i="57"/>
  <c r="G147" i="57"/>
  <c r="H145" i="57"/>
  <c r="G145" i="57"/>
  <c r="J144" i="57"/>
  <c r="G144" i="57"/>
  <c r="F144" i="57"/>
  <c r="G143" i="57"/>
  <c r="J142" i="57"/>
  <c r="F142" i="57"/>
  <c r="H141" i="57"/>
  <c r="G141" i="57"/>
  <c r="J137" i="57"/>
  <c r="J149" i="57" s="1"/>
  <c r="I137" i="57"/>
  <c r="I149" i="57" s="1"/>
  <c r="H137" i="57"/>
  <c r="G137" i="57"/>
  <c r="G149" i="57" s="1"/>
  <c r="F137" i="57"/>
  <c r="F149" i="57" s="1"/>
  <c r="K135" i="57"/>
  <c r="K134" i="57"/>
  <c r="K133" i="57"/>
  <c r="K132" i="57"/>
  <c r="K131" i="57"/>
  <c r="K137" i="57" s="1"/>
  <c r="K149" i="57" s="1"/>
  <c r="F119" i="57"/>
  <c r="J108" i="57"/>
  <c r="J147" i="57" s="1"/>
  <c r="I108" i="57"/>
  <c r="I147" i="57" s="1"/>
  <c r="H108" i="57"/>
  <c r="G108" i="57"/>
  <c r="F108" i="57"/>
  <c r="F147" i="57" s="1"/>
  <c r="K106" i="57"/>
  <c r="I106" i="57"/>
  <c r="I105" i="57"/>
  <c r="K105" i="57" s="1"/>
  <c r="K104" i="57"/>
  <c r="I104" i="57"/>
  <c r="I103" i="57"/>
  <c r="K103" i="57" s="1"/>
  <c r="K102" i="57"/>
  <c r="K108" i="57" s="1"/>
  <c r="K147" i="57" s="1"/>
  <c r="I102" i="57"/>
  <c r="J98" i="57"/>
  <c r="J146" i="57" s="1"/>
  <c r="I98" i="57"/>
  <c r="I146" i="57" s="1"/>
  <c r="H98" i="57"/>
  <c r="H146" i="57" s="1"/>
  <c r="G98" i="57"/>
  <c r="G146" i="57" s="1"/>
  <c r="F98" i="57"/>
  <c r="F146" i="57" s="1"/>
  <c r="K96" i="57"/>
  <c r="I96" i="57"/>
  <c r="I95" i="57"/>
  <c r="K95" i="57" s="1"/>
  <c r="K94" i="57"/>
  <c r="I94" i="57"/>
  <c r="I93" i="57"/>
  <c r="K93" i="57" s="1"/>
  <c r="K92" i="57"/>
  <c r="I92" i="57"/>
  <c r="I91" i="57"/>
  <c r="K91" i="57" s="1"/>
  <c r="K90" i="57"/>
  <c r="I90" i="57"/>
  <c r="I89" i="57"/>
  <c r="K89" i="57" s="1"/>
  <c r="K88" i="57"/>
  <c r="I88" i="57"/>
  <c r="I87" i="57"/>
  <c r="K87" i="57" s="1"/>
  <c r="K86" i="57"/>
  <c r="K98" i="57" s="1"/>
  <c r="K146" i="57" s="1"/>
  <c r="I86" i="57"/>
  <c r="J82" i="57"/>
  <c r="J145" i="57" s="1"/>
  <c r="I82" i="57"/>
  <c r="I145" i="57" s="1"/>
  <c r="H82" i="57"/>
  <c r="G82" i="57"/>
  <c r="F82" i="57"/>
  <c r="F145" i="57" s="1"/>
  <c r="K80" i="57"/>
  <c r="I79" i="57"/>
  <c r="K79" i="57" s="1"/>
  <c r="K78" i="57"/>
  <c r="K77" i="57"/>
  <c r="J74" i="57"/>
  <c r="H74" i="57"/>
  <c r="H144" i="57" s="1"/>
  <c r="G74" i="57"/>
  <c r="F74" i="57"/>
  <c r="K72" i="57"/>
  <c r="K71" i="57"/>
  <c r="K70" i="57"/>
  <c r="K69" i="57"/>
  <c r="I68" i="57"/>
  <c r="I74" i="57" s="1"/>
  <c r="I144" i="57" s="1"/>
  <c r="H64" i="57"/>
  <c r="H143" i="57" s="1"/>
  <c r="G64" i="57"/>
  <c r="F64" i="57"/>
  <c r="F143" i="57" s="1"/>
  <c r="I62" i="57"/>
  <c r="K62" i="57" s="1"/>
  <c r="I61" i="57"/>
  <c r="K61" i="57" s="1"/>
  <c r="I60" i="57"/>
  <c r="K60" i="57" s="1"/>
  <c r="I59" i="57"/>
  <c r="K59" i="57" s="1"/>
  <c r="I58" i="57"/>
  <c r="K58" i="57" s="1"/>
  <c r="I57" i="57"/>
  <c r="K57" i="57" s="1"/>
  <c r="I56" i="57"/>
  <c r="K56" i="57" s="1"/>
  <c r="J55" i="57"/>
  <c r="J64" i="57" s="1"/>
  <c r="J143" i="57" s="1"/>
  <c r="I55" i="57"/>
  <c r="K55" i="57" s="1"/>
  <c r="K54" i="57"/>
  <c r="I54" i="57"/>
  <c r="I53" i="57"/>
  <c r="K53" i="57" s="1"/>
  <c r="J49" i="57"/>
  <c r="H49" i="57"/>
  <c r="H142" i="57" s="1"/>
  <c r="G49" i="57"/>
  <c r="G142" i="57" s="1"/>
  <c r="F49" i="57"/>
  <c r="I47" i="57"/>
  <c r="K47" i="57" s="1"/>
  <c r="K46" i="57"/>
  <c r="I46" i="57"/>
  <c r="I45" i="57"/>
  <c r="K45" i="57" s="1"/>
  <c r="K44" i="57"/>
  <c r="I44" i="57"/>
  <c r="I43" i="57"/>
  <c r="K43" i="57" s="1"/>
  <c r="K42" i="57"/>
  <c r="I42" i="57"/>
  <c r="I41" i="57"/>
  <c r="I49" i="57" s="1"/>
  <c r="I142" i="57" s="1"/>
  <c r="K40" i="57"/>
  <c r="I40" i="57"/>
  <c r="J36" i="57"/>
  <c r="J141" i="57" s="1"/>
  <c r="I36" i="57"/>
  <c r="I141" i="57" s="1"/>
  <c r="H36" i="57"/>
  <c r="G36" i="57"/>
  <c r="F36" i="57"/>
  <c r="F141" i="57" s="1"/>
  <c r="K34" i="57"/>
  <c r="I34" i="57"/>
  <c r="I33" i="57"/>
  <c r="K33" i="57" s="1"/>
  <c r="K32" i="57"/>
  <c r="I32" i="57"/>
  <c r="I31" i="57"/>
  <c r="K31" i="57" s="1"/>
  <c r="K30" i="57"/>
  <c r="I30" i="57"/>
  <c r="I29" i="57"/>
  <c r="K29" i="57" s="1"/>
  <c r="K28" i="57"/>
  <c r="I28" i="57"/>
  <c r="I27" i="57"/>
  <c r="K27" i="57" s="1"/>
  <c r="K26" i="57"/>
  <c r="I26" i="57"/>
  <c r="I25" i="57"/>
  <c r="K25" i="57" s="1"/>
  <c r="K24" i="57"/>
  <c r="I24" i="57"/>
  <c r="I23" i="57"/>
  <c r="K23" i="57" s="1"/>
  <c r="K22" i="57"/>
  <c r="I22" i="57"/>
  <c r="I21" i="57"/>
  <c r="K21" i="57" s="1"/>
  <c r="K36" i="57" s="1"/>
  <c r="K141" i="57" s="1"/>
  <c r="K18" i="57"/>
  <c r="K150" i="57" s="1"/>
  <c r="F152" i="57" l="1"/>
  <c r="J152" i="57"/>
  <c r="G152" i="57"/>
  <c r="K64" i="57"/>
  <c r="K143" i="57" s="1"/>
  <c r="K82" i="57"/>
  <c r="K145" i="57" s="1"/>
  <c r="H152" i="57"/>
  <c r="K49" i="57"/>
  <c r="K142" i="57" s="1"/>
  <c r="K152" i="57" s="1"/>
  <c r="I64" i="57"/>
  <c r="I143" i="57" s="1"/>
  <c r="I152" i="57" s="1"/>
  <c r="K68" i="57"/>
  <c r="K74" i="57" s="1"/>
  <c r="K144" i="57" s="1"/>
  <c r="K41" i="57"/>
  <c r="F155" i="57" l="1"/>
  <c r="F154" i="57"/>
  <c r="I150" i="56" l="1"/>
  <c r="I149" i="56"/>
  <c r="G149" i="56"/>
  <c r="K148" i="56"/>
  <c r="J144" i="56"/>
  <c r="H144" i="56"/>
  <c r="F144" i="56"/>
  <c r="J137" i="56"/>
  <c r="J149" i="56" s="1"/>
  <c r="I137" i="56"/>
  <c r="H137" i="56"/>
  <c r="H149" i="56" s="1"/>
  <c r="G137" i="56"/>
  <c r="F137" i="56"/>
  <c r="F149" i="56" s="1"/>
  <c r="K135" i="56"/>
  <c r="K134" i="56"/>
  <c r="K133" i="56"/>
  <c r="K132" i="56"/>
  <c r="K131" i="56"/>
  <c r="K137" i="56" s="1"/>
  <c r="K149" i="56" s="1"/>
  <c r="F118" i="56"/>
  <c r="F117" i="56"/>
  <c r="F119" i="56" s="1"/>
  <c r="F123" i="56" s="1"/>
  <c r="F127" i="56" s="1"/>
  <c r="J108" i="56"/>
  <c r="J147" i="56" s="1"/>
  <c r="H108" i="56"/>
  <c r="H147" i="56" s="1"/>
  <c r="F108" i="56"/>
  <c r="F147" i="56" s="1"/>
  <c r="I106" i="56"/>
  <c r="K106" i="56" s="1"/>
  <c r="I105" i="56"/>
  <c r="K105" i="56" s="1"/>
  <c r="I104" i="56"/>
  <c r="K104" i="56" s="1"/>
  <c r="I103" i="56"/>
  <c r="H103" i="56"/>
  <c r="K103" i="56" s="1"/>
  <c r="G103" i="56"/>
  <c r="F103" i="56"/>
  <c r="K102" i="56"/>
  <c r="I102" i="56"/>
  <c r="I108" i="56" s="1"/>
  <c r="I147" i="56" s="1"/>
  <c r="G102" i="56"/>
  <c r="G108" i="56" s="1"/>
  <c r="G147" i="56" s="1"/>
  <c r="J98" i="56"/>
  <c r="J146" i="56" s="1"/>
  <c r="H98" i="56"/>
  <c r="H146" i="56" s="1"/>
  <c r="G98" i="56"/>
  <c r="G146" i="56" s="1"/>
  <c r="F98" i="56"/>
  <c r="F146" i="56" s="1"/>
  <c r="I96" i="56"/>
  <c r="K96" i="56" s="1"/>
  <c r="I95" i="56"/>
  <c r="K95" i="56" s="1"/>
  <c r="I94" i="56"/>
  <c r="K94" i="56" s="1"/>
  <c r="I93" i="56"/>
  <c r="K93" i="56" s="1"/>
  <c r="I92" i="56"/>
  <c r="K92" i="56" s="1"/>
  <c r="I91" i="56"/>
  <c r="K91" i="56" s="1"/>
  <c r="I90" i="56"/>
  <c r="K90" i="56" s="1"/>
  <c r="I89" i="56"/>
  <c r="K89" i="56" s="1"/>
  <c r="I88" i="56"/>
  <c r="K88" i="56" s="1"/>
  <c r="I87" i="56"/>
  <c r="K87" i="56" s="1"/>
  <c r="I86" i="56"/>
  <c r="I98" i="56" s="1"/>
  <c r="I146" i="56" s="1"/>
  <c r="J82" i="56"/>
  <c r="J145" i="56" s="1"/>
  <c r="I82" i="56"/>
  <c r="I145" i="56" s="1"/>
  <c r="H82" i="56"/>
  <c r="H145" i="56" s="1"/>
  <c r="G82" i="56"/>
  <c r="G145" i="56" s="1"/>
  <c r="F82" i="56"/>
  <c r="F145" i="56" s="1"/>
  <c r="K80" i="56"/>
  <c r="K79" i="56"/>
  <c r="F79" i="56"/>
  <c r="K78" i="56"/>
  <c r="K77" i="56"/>
  <c r="K82" i="56" s="1"/>
  <c r="K145" i="56" s="1"/>
  <c r="J74" i="56"/>
  <c r="I74" i="56"/>
  <c r="I144" i="56" s="1"/>
  <c r="H74" i="56"/>
  <c r="G74" i="56"/>
  <c r="G144" i="56" s="1"/>
  <c r="F74" i="56"/>
  <c r="K72" i="56"/>
  <c r="K71" i="56"/>
  <c r="K70" i="56"/>
  <c r="K74" i="56" s="1"/>
  <c r="K144" i="56" s="1"/>
  <c r="K69" i="56"/>
  <c r="K68" i="56"/>
  <c r="J64" i="56"/>
  <c r="J143" i="56" s="1"/>
  <c r="H64" i="56"/>
  <c r="H143" i="56" s="1"/>
  <c r="G64" i="56"/>
  <c r="G143" i="56" s="1"/>
  <c r="F64" i="56"/>
  <c r="F143" i="56" s="1"/>
  <c r="I62" i="56"/>
  <c r="K62" i="56" s="1"/>
  <c r="I61" i="56"/>
  <c r="K61" i="56" s="1"/>
  <c r="I60" i="56"/>
  <c r="K60" i="56" s="1"/>
  <c r="I59" i="56"/>
  <c r="K59" i="56" s="1"/>
  <c r="I58" i="56"/>
  <c r="K58" i="56" s="1"/>
  <c r="I57" i="56"/>
  <c r="K57" i="56" s="1"/>
  <c r="I56" i="56"/>
  <c r="K56" i="56" s="1"/>
  <c r="I55" i="56"/>
  <c r="K55" i="56" s="1"/>
  <c r="I54" i="56"/>
  <c r="K54" i="56" s="1"/>
  <c r="I53" i="56"/>
  <c r="I64" i="56" s="1"/>
  <c r="I143" i="56" s="1"/>
  <c r="J49" i="56"/>
  <c r="J142" i="56" s="1"/>
  <c r="H49" i="56"/>
  <c r="H142" i="56" s="1"/>
  <c r="G49" i="56"/>
  <c r="G142" i="56" s="1"/>
  <c r="F49" i="56"/>
  <c r="F142" i="56" s="1"/>
  <c r="I47" i="56"/>
  <c r="K47" i="56" s="1"/>
  <c r="I46" i="56"/>
  <c r="K46" i="56" s="1"/>
  <c r="I45" i="56"/>
  <c r="K45" i="56" s="1"/>
  <c r="I44" i="56"/>
  <c r="K44" i="56" s="1"/>
  <c r="I43" i="56"/>
  <c r="K43" i="56" s="1"/>
  <c r="I42" i="56"/>
  <c r="K42" i="56" s="1"/>
  <c r="I41" i="56"/>
  <c r="K41" i="56" s="1"/>
  <c r="I40" i="56"/>
  <c r="K40" i="56" s="1"/>
  <c r="H36" i="56"/>
  <c r="H141" i="56" s="1"/>
  <c r="G36" i="56"/>
  <c r="G141" i="56" s="1"/>
  <c r="F36" i="56"/>
  <c r="F141" i="56" s="1"/>
  <c r="F152" i="56" s="1"/>
  <c r="I34" i="56"/>
  <c r="K34" i="56" s="1"/>
  <c r="I33" i="56"/>
  <c r="K33" i="56" s="1"/>
  <c r="I32" i="56"/>
  <c r="K32" i="56" s="1"/>
  <c r="I31" i="56"/>
  <c r="K31" i="56" s="1"/>
  <c r="I30" i="56"/>
  <c r="K30" i="56" s="1"/>
  <c r="I29" i="56"/>
  <c r="K29" i="56" s="1"/>
  <c r="I28" i="56"/>
  <c r="K28" i="56" s="1"/>
  <c r="I27" i="56"/>
  <c r="K27" i="56" s="1"/>
  <c r="I26" i="56"/>
  <c r="K26" i="56" s="1"/>
  <c r="I25" i="56"/>
  <c r="K25" i="56" s="1"/>
  <c r="I24" i="56"/>
  <c r="K24" i="56" s="1"/>
  <c r="I23" i="56"/>
  <c r="K23" i="56" s="1"/>
  <c r="I22" i="56"/>
  <c r="K22" i="56" s="1"/>
  <c r="J21" i="56"/>
  <c r="J36" i="56" s="1"/>
  <c r="J141" i="56" s="1"/>
  <c r="J152" i="56" s="1"/>
  <c r="I21" i="56"/>
  <c r="I36" i="56" s="1"/>
  <c r="I141" i="56" s="1"/>
  <c r="J18" i="56"/>
  <c r="J150" i="56" s="1"/>
  <c r="H18" i="56"/>
  <c r="K18" i="56" s="1"/>
  <c r="K150" i="56" s="1"/>
  <c r="G152" i="56" l="1"/>
  <c r="H152" i="56"/>
  <c r="K108" i="56"/>
  <c r="K147" i="56" s="1"/>
  <c r="K49" i="56"/>
  <c r="K142" i="56" s="1"/>
  <c r="K21" i="56"/>
  <c r="K36" i="56" s="1"/>
  <c r="K141" i="56" s="1"/>
  <c r="K152" i="56" s="1"/>
  <c r="I49" i="56"/>
  <c r="I142" i="56" s="1"/>
  <c r="I152" i="56" s="1"/>
  <c r="K53" i="56"/>
  <c r="K64" i="56" s="1"/>
  <c r="K143" i="56" s="1"/>
  <c r="K86" i="56"/>
  <c r="K98" i="56" s="1"/>
  <c r="K146" i="56" s="1"/>
  <c r="H150" i="56"/>
  <c r="F154" i="56" l="1"/>
  <c r="F155" i="56"/>
  <c r="K150" i="55" l="1"/>
  <c r="J150" i="55"/>
  <c r="I150" i="55"/>
  <c r="H150" i="55"/>
  <c r="G149" i="55"/>
  <c r="K148" i="55"/>
  <c r="J147" i="55"/>
  <c r="G147" i="55"/>
  <c r="F147" i="55"/>
  <c r="J145" i="55"/>
  <c r="G145" i="55"/>
  <c r="F145" i="55"/>
  <c r="H144" i="55"/>
  <c r="J141" i="55"/>
  <c r="G141" i="55"/>
  <c r="F141" i="55"/>
  <c r="J137" i="55"/>
  <c r="J149" i="55" s="1"/>
  <c r="I137" i="55"/>
  <c r="I149" i="55" s="1"/>
  <c r="H137" i="55"/>
  <c r="H149" i="55" s="1"/>
  <c r="G137" i="55"/>
  <c r="F137" i="55"/>
  <c r="F149" i="55" s="1"/>
  <c r="K135" i="55"/>
  <c r="K134" i="55"/>
  <c r="K133" i="55"/>
  <c r="K132" i="55"/>
  <c r="K131" i="55"/>
  <c r="K137" i="55" s="1"/>
  <c r="K149" i="55" s="1"/>
  <c r="F119" i="55"/>
  <c r="J108" i="55"/>
  <c r="H108" i="55"/>
  <c r="H147" i="55" s="1"/>
  <c r="G108" i="55"/>
  <c r="F108" i="55"/>
  <c r="I106" i="55"/>
  <c r="K106" i="55" s="1"/>
  <c r="I105" i="55"/>
  <c r="K105" i="55" s="1"/>
  <c r="I104" i="55"/>
  <c r="K104" i="55" s="1"/>
  <c r="I103" i="55"/>
  <c r="K103" i="55" s="1"/>
  <c r="I102" i="55"/>
  <c r="I108" i="55" s="1"/>
  <c r="I147" i="55" s="1"/>
  <c r="J98" i="55"/>
  <c r="J146" i="55" s="1"/>
  <c r="H98" i="55"/>
  <c r="H146" i="55" s="1"/>
  <c r="G98" i="55"/>
  <c r="G146" i="55" s="1"/>
  <c r="F98" i="55"/>
  <c r="F146" i="55" s="1"/>
  <c r="I96" i="55"/>
  <c r="K96" i="55" s="1"/>
  <c r="I95" i="55"/>
  <c r="K95" i="55" s="1"/>
  <c r="I94" i="55"/>
  <c r="K94" i="55" s="1"/>
  <c r="I93" i="55"/>
  <c r="K93" i="55" s="1"/>
  <c r="I92" i="55"/>
  <c r="K92" i="55" s="1"/>
  <c r="I91" i="55"/>
  <c r="K91" i="55" s="1"/>
  <c r="I90" i="55"/>
  <c r="K90" i="55" s="1"/>
  <c r="I89" i="55"/>
  <c r="K89" i="55" s="1"/>
  <c r="I88" i="55"/>
  <c r="K88" i="55" s="1"/>
  <c r="I87" i="55"/>
  <c r="K87" i="55" s="1"/>
  <c r="I86" i="55"/>
  <c r="I98" i="55" s="1"/>
  <c r="I146" i="55" s="1"/>
  <c r="J82" i="55"/>
  <c r="I82" i="55"/>
  <c r="I145" i="55" s="1"/>
  <c r="H82" i="55"/>
  <c r="H145" i="55" s="1"/>
  <c r="G82" i="55"/>
  <c r="F82" i="55"/>
  <c r="K80" i="55"/>
  <c r="K79" i="55"/>
  <c r="K78" i="55"/>
  <c r="K77" i="55"/>
  <c r="K82" i="55" s="1"/>
  <c r="K145" i="55" s="1"/>
  <c r="J74" i="55"/>
  <c r="J144" i="55" s="1"/>
  <c r="H74" i="55"/>
  <c r="G74" i="55"/>
  <c r="G144" i="55" s="1"/>
  <c r="F74" i="55"/>
  <c r="F144" i="55" s="1"/>
  <c r="K72" i="55"/>
  <c r="K71" i="55"/>
  <c r="K70" i="55"/>
  <c r="K69" i="55"/>
  <c r="I68" i="55"/>
  <c r="I74" i="55" s="1"/>
  <c r="I144" i="55" s="1"/>
  <c r="J64" i="55"/>
  <c r="J143" i="55" s="1"/>
  <c r="I64" i="55"/>
  <c r="I143" i="55" s="1"/>
  <c r="G64" i="55"/>
  <c r="G143" i="55" s="1"/>
  <c r="F64" i="55"/>
  <c r="F143" i="55" s="1"/>
  <c r="K62" i="55"/>
  <c r="H61" i="55"/>
  <c r="K61" i="55" s="1"/>
  <c r="K60" i="55"/>
  <c r="H59" i="55"/>
  <c r="K59" i="55" s="1"/>
  <c r="K58" i="55"/>
  <c r="K57" i="55"/>
  <c r="K56" i="55"/>
  <c r="K55" i="55"/>
  <c r="K54" i="55"/>
  <c r="K53" i="55"/>
  <c r="K64" i="55" s="1"/>
  <c r="K143" i="55" s="1"/>
  <c r="J49" i="55"/>
  <c r="J142" i="55" s="1"/>
  <c r="H49" i="55"/>
  <c r="H142" i="55" s="1"/>
  <c r="G49" i="55"/>
  <c r="G142" i="55" s="1"/>
  <c r="F49" i="55"/>
  <c r="F142" i="55" s="1"/>
  <c r="K47" i="55"/>
  <c r="K46" i="55"/>
  <c r="K45" i="55"/>
  <c r="K44" i="55"/>
  <c r="K43" i="55"/>
  <c r="K42" i="55"/>
  <c r="I42" i="55"/>
  <c r="I41" i="55"/>
  <c r="K41" i="55" s="1"/>
  <c r="K40" i="55"/>
  <c r="K49" i="55" s="1"/>
  <c r="K142" i="55" s="1"/>
  <c r="I40" i="55"/>
  <c r="J36" i="55"/>
  <c r="I36" i="55"/>
  <c r="I141" i="55" s="1"/>
  <c r="H36" i="55"/>
  <c r="H141" i="55" s="1"/>
  <c r="G36" i="55"/>
  <c r="F36" i="55"/>
  <c r="K34" i="55"/>
  <c r="I34" i="55"/>
  <c r="I33" i="55"/>
  <c r="K33" i="55" s="1"/>
  <c r="K32" i="55"/>
  <c r="I32" i="55"/>
  <c r="I31" i="55"/>
  <c r="K31" i="55" s="1"/>
  <c r="K30" i="55"/>
  <c r="I30" i="55"/>
  <c r="I29" i="55"/>
  <c r="K29" i="55" s="1"/>
  <c r="K28" i="55"/>
  <c r="I28" i="55"/>
  <c r="I27" i="55"/>
  <c r="K27" i="55" s="1"/>
  <c r="K26" i="55"/>
  <c r="I26" i="55"/>
  <c r="I25" i="55"/>
  <c r="K25" i="55" s="1"/>
  <c r="K24" i="55"/>
  <c r="I24" i="55"/>
  <c r="K23" i="55"/>
  <c r="K22" i="55"/>
  <c r="K21" i="55"/>
  <c r="K18" i="55"/>
  <c r="F152" i="55" l="1"/>
  <c r="G152" i="55"/>
  <c r="K36" i="55"/>
  <c r="K141" i="55" s="1"/>
  <c r="K152" i="55" s="1"/>
  <c r="J152" i="55"/>
  <c r="I49" i="55"/>
  <c r="I142" i="55" s="1"/>
  <c r="I152" i="55" s="1"/>
  <c r="H64" i="55"/>
  <c r="H143" i="55" s="1"/>
  <c r="H152" i="55" s="1"/>
  <c r="K86" i="55"/>
  <c r="K98" i="55" s="1"/>
  <c r="K146" i="55" s="1"/>
  <c r="K102" i="55"/>
  <c r="K108" i="55" s="1"/>
  <c r="K147" i="55" s="1"/>
  <c r="K68" i="55"/>
  <c r="K74" i="55" s="1"/>
  <c r="K144" i="55" s="1"/>
  <c r="F154" i="55" l="1"/>
  <c r="F155" i="55"/>
  <c r="I150" i="54" l="1"/>
  <c r="H149" i="54"/>
  <c r="K148" i="54"/>
  <c r="J146" i="54"/>
  <c r="F146" i="54"/>
  <c r="J144" i="54"/>
  <c r="F144" i="54"/>
  <c r="G143" i="54"/>
  <c r="H141" i="54"/>
  <c r="G141" i="54"/>
  <c r="J137" i="54"/>
  <c r="J149" i="54" s="1"/>
  <c r="I137" i="54"/>
  <c r="I149" i="54" s="1"/>
  <c r="H137" i="54"/>
  <c r="G137" i="54"/>
  <c r="G149" i="54" s="1"/>
  <c r="F137" i="54"/>
  <c r="F149" i="54" s="1"/>
  <c r="K135" i="54"/>
  <c r="K134" i="54"/>
  <c r="K133" i="54"/>
  <c r="K132" i="54"/>
  <c r="K131" i="54"/>
  <c r="K137" i="54" s="1"/>
  <c r="K149" i="54" s="1"/>
  <c r="F119" i="54"/>
  <c r="F127" i="54" s="1"/>
  <c r="J108" i="54"/>
  <c r="J147" i="54" s="1"/>
  <c r="H108" i="54"/>
  <c r="H147" i="54" s="1"/>
  <c r="G108" i="54"/>
  <c r="G147" i="54" s="1"/>
  <c r="F108" i="54"/>
  <c r="F147" i="54" s="1"/>
  <c r="I106" i="54"/>
  <c r="K106" i="54" s="1"/>
  <c r="K105" i="54"/>
  <c r="I105" i="54"/>
  <c r="I104" i="54"/>
  <c r="K104" i="54" s="1"/>
  <c r="K103" i="54"/>
  <c r="I103" i="54"/>
  <c r="I102" i="54"/>
  <c r="I108" i="54" s="1"/>
  <c r="I147" i="54" s="1"/>
  <c r="J98" i="54"/>
  <c r="H98" i="54"/>
  <c r="H146" i="54" s="1"/>
  <c r="G98" i="54"/>
  <c r="G146" i="54" s="1"/>
  <c r="F98" i="54"/>
  <c r="I96" i="54"/>
  <c r="K96" i="54" s="1"/>
  <c r="K95" i="54"/>
  <c r="I95" i="54"/>
  <c r="I94" i="54"/>
  <c r="K94" i="54" s="1"/>
  <c r="K93" i="54"/>
  <c r="I93" i="54"/>
  <c r="I92" i="54"/>
  <c r="K92" i="54" s="1"/>
  <c r="K91" i="54"/>
  <c r="I91" i="54"/>
  <c r="I90" i="54"/>
  <c r="K90" i="54" s="1"/>
  <c r="K89" i="54"/>
  <c r="I89" i="54"/>
  <c r="I88" i="54"/>
  <c r="K88" i="54" s="1"/>
  <c r="K87" i="54"/>
  <c r="I87" i="54"/>
  <c r="I86" i="54"/>
  <c r="I98" i="54" s="1"/>
  <c r="I146" i="54" s="1"/>
  <c r="J82" i="54"/>
  <c r="J145" i="54" s="1"/>
  <c r="H82" i="54"/>
  <c r="H145" i="54" s="1"/>
  <c r="G82" i="54"/>
  <c r="G145" i="54" s="1"/>
  <c r="F82" i="54"/>
  <c r="F145" i="54" s="1"/>
  <c r="K80" i="54"/>
  <c r="I79" i="54"/>
  <c r="K79" i="54" s="1"/>
  <c r="K78" i="54"/>
  <c r="I77" i="54"/>
  <c r="I82" i="54" s="1"/>
  <c r="I145" i="54" s="1"/>
  <c r="J74" i="54"/>
  <c r="H74" i="54"/>
  <c r="H144" i="54" s="1"/>
  <c r="G74" i="54"/>
  <c r="G144" i="54" s="1"/>
  <c r="F74" i="54"/>
  <c r="K72" i="54"/>
  <c r="K71" i="54"/>
  <c r="K70" i="54"/>
  <c r="I70" i="54"/>
  <c r="K69" i="54"/>
  <c r="I68" i="54"/>
  <c r="J64" i="54"/>
  <c r="J143" i="54" s="1"/>
  <c r="H64" i="54"/>
  <c r="H143" i="54" s="1"/>
  <c r="G64" i="54"/>
  <c r="F64" i="54"/>
  <c r="F143" i="54" s="1"/>
  <c r="K62" i="54"/>
  <c r="K61" i="54"/>
  <c r="I61" i="54"/>
  <c r="I60" i="54"/>
  <c r="K60" i="54" s="1"/>
  <c r="K59" i="54"/>
  <c r="I59" i="54"/>
  <c r="I58" i="54"/>
  <c r="K58" i="54" s="1"/>
  <c r="K57" i="54"/>
  <c r="I57" i="54"/>
  <c r="I56" i="54"/>
  <c r="K56" i="54" s="1"/>
  <c r="K55" i="54"/>
  <c r="I55" i="54"/>
  <c r="I54" i="54"/>
  <c r="K54" i="54" s="1"/>
  <c r="K53" i="54"/>
  <c r="K64" i="54" s="1"/>
  <c r="K143" i="54" s="1"/>
  <c r="I53" i="54"/>
  <c r="J49" i="54"/>
  <c r="J142" i="54" s="1"/>
  <c r="I49" i="54"/>
  <c r="I142" i="54" s="1"/>
  <c r="H49" i="54"/>
  <c r="H142" i="54" s="1"/>
  <c r="G49" i="54"/>
  <c r="G142" i="54" s="1"/>
  <c r="F49" i="54"/>
  <c r="F142" i="54" s="1"/>
  <c r="K47" i="54"/>
  <c r="K46" i="54"/>
  <c r="K45" i="54"/>
  <c r="K44" i="54"/>
  <c r="K43" i="54"/>
  <c r="I42" i="54"/>
  <c r="K42" i="54" s="1"/>
  <c r="I41" i="54"/>
  <c r="K41" i="54" s="1"/>
  <c r="K40" i="54"/>
  <c r="J36" i="54"/>
  <c r="J141" i="54" s="1"/>
  <c r="I36" i="54"/>
  <c r="I141" i="54" s="1"/>
  <c r="H36" i="54"/>
  <c r="G36" i="54"/>
  <c r="F36" i="54"/>
  <c r="F141" i="54" s="1"/>
  <c r="F152" i="54" s="1"/>
  <c r="K34" i="54"/>
  <c r="I34" i="54"/>
  <c r="I33" i="54"/>
  <c r="K33" i="54" s="1"/>
  <c r="K32" i="54"/>
  <c r="I32" i="54"/>
  <c r="I31" i="54"/>
  <c r="K31" i="54" s="1"/>
  <c r="K30" i="54"/>
  <c r="I30" i="54"/>
  <c r="I29" i="54"/>
  <c r="K29" i="54" s="1"/>
  <c r="K28" i="54"/>
  <c r="I28" i="54"/>
  <c r="I27" i="54"/>
  <c r="K27" i="54" s="1"/>
  <c r="K26" i="54"/>
  <c r="I26" i="54"/>
  <c r="I25" i="54"/>
  <c r="K25" i="54" s="1"/>
  <c r="K24" i="54"/>
  <c r="I24" i="54"/>
  <c r="I23" i="54"/>
  <c r="K23" i="54" s="1"/>
  <c r="K22" i="54"/>
  <c r="I22" i="54"/>
  <c r="I21" i="54"/>
  <c r="K21" i="54" s="1"/>
  <c r="K36" i="54" s="1"/>
  <c r="K141" i="54" s="1"/>
  <c r="J18" i="54"/>
  <c r="H18" i="54"/>
  <c r="H150" i="54" s="1"/>
  <c r="K6" i="61" l="1"/>
  <c r="K6" i="60"/>
  <c r="K118" i="60" s="1"/>
  <c r="K18" i="54"/>
  <c r="I6" i="61"/>
  <c r="I6" i="60"/>
  <c r="I118" i="60" s="1"/>
  <c r="J150" i="54"/>
  <c r="J152" i="54" s="1"/>
  <c r="I74" i="54"/>
  <c r="I144" i="54" s="1"/>
  <c r="K68" i="54"/>
  <c r="K74" i="54" s="1"/>
  <c r="K144" i="54" s="1"/>
  <c r="G152" i="54"/>
  <c r="K49" i="54"/>
  <c r="K142" i="54" s="1"/>
  <c r="H152" i="54"/>
  <c r="I64" i="54"/>
  <c r="I143" i="54" s="1"/>
  <c r="I152" i="54" s="1"/>
  <c r="K77" i="54"/>
  <c r="K82" i="54" s="1"/>
  <c r="K145" i="54" s="1"/>
  <c r="K86" i="54"/>
  <c r="K98" i="54" s="1"/>
  <c r="K146" i="54" s="1"/>
  <c r="K102" i="54"/>
  <c r="K108" i="54" s="1"/>
  <c r="K147" i="54" s="1"/>
  <c r="F123" i="54"/>
  <c r="I118" i="61" l="1"/>
  <c r="I120" i="61" s="1"/>
  <c r="K118" i="61"/>
  <c r="K150" i="54"/>
  <c r="K152" i="54" s="1"/>
  <c r="L6" i="61"/>
  <c r="L6" i="60"/>
  <c r="M6" i="60" s="1"/>
  <c r="M118" i="60"/>
  <c r="L118" i="60"/>
  <c r="D3" i="5" s="1"/>
  <c r="F3" i="5" s="1"/>
  <c r="I120" i="60"/>
  <c r="F45" i="7" l="1"/>
  <c r="G45" i="7" s="1"/>
  <c r="M118" i="61"/>
  <c r="L118" i="61"/>
  <c r="M6" i="61"/>
  <c r="F154" i="54"/>
  <c r="F155" i="54"/>
  <c r="K18" i="53"/>
  <c r="I21" i="53"/>
  <c r="K21" i="53"/>
  <c r="I22" i="53"/>
  <c r="K22" i="53" s="1"/>
  <c r="K36" i="53" s="1"/>
  <c r="K141" i="53" s="1"/>
  <c r="I23" i="53"/>
  <c r="K23" i="53"/>
  <c r="I24" i="53"/>
  <c r="K24" i="53" s="1"/>
  <c r="I25" i="53"/>
  <c r="K25" i="53"/>
  <c r="I26" i="53"/>
  <c r="K26" i="53" s="1"/>
  <c r="I27" i="53"/>
  <c r="K27" i="53"/>
  <c r="I28" i="53"/>
  <c r="K28" i="53" s="1"/>
  <c r="I29" i="53"/>
  <c r="K29" i="53"/>
  <c r="I30" i="53"/>
  <c r="K30" i="53" s="1"/>
  <c r="I31" i="53"/>
  <c r="K31" i="53"/>
  <c r="I32" i="53"/>
  <c r="K32" i="53" s="1"/>
  <c r="I33" i="53"/>
  <c r="K33" i="53"/>
  <c r="I34" i="53"/>
  <c r="K34" i="53" s="1"/>
  <c r="F36" i="53"/>
  <c r="G36" i="53"/>
  <c r="G141" i="53" s="1"/>
  <c r="G152" i="53" s="1"/>
  <c r="H36" i="53"/>
  <c r="H141" i="53" s="1"/>
  <c r="J36" i="53"/>
  <c r="K40" i="53"/>
  <c r="K49" i="53" s="1"/>
  <c r="K142" i="53" s="1"/>
  <c r="K41" i="53"/>
  <c r="K42" i="53"/>
  <c r="K43" i="53"/>
  <c r="K44" i="53"/>
  <c r="K45" i="53"/>
  <c r="K46" i="53"/>
  <c r="K47" i="53"/>
  <c r="F49" i="53"/>
  <c r="F142" i="53" s="1"/>
  <c r="F152" i="53" s="1"/>
  <c r="G49" i="53"/>
  <c r="H49" i="53"/>
  <c r="I49" i="53"/>
  <c r="I142" i="53" s="1"/>
  <c r="J49" i="53"/>
  <c r="J142" i="53" s="1"/>
  <c r="J152" i="53" s="1"/>
  <c r="K53" i="53"/>
  <c r="K54" i="53"/>
  <c r="K64" i="53" s="1"/>
  <c r="K143" i="53" s="1"/>
  <c r="K55" i="53"/>
  <c r="K56" i="53"/>
  <c r="K57" i="53"/>
  <c r="K58" i="53"/>
  <c r="K59" i="53"/>
  <c r="K60" i="53"/>
  <c r="K61" i="53"/>
  <c r="K62" i="53"/>
  <c r="F64" i="53"/>
  <c r="F143" i="53" s="1"/>
  <c r="G64" i="53"/>
  <c r="H64" i="53"/>
  <c r="I64" i="53"/>
  <c r="J64" i="53"/>
  <c r="J143" i="53" s="1"/>
  <c r="K68" i="53"/>
  <c r="K69" i="53"/>
  <c r="K70" i="53"/>
  <c r="K71" i="53"/>
  <c r="K72" i="53"/>
  <c r="F74" i="53"/>
  <c r="G74" i="53"/>
  <c r="H74" i="53"/>
  <c r="I74" i="53"/>
  <c r="J74" i="53"/>
  <c r="K74" i="53"/>
  <c r="K77" i="53"/>
  <c r="K82" i="53" s="1"/>
  <c r="K145" i="53" s="1"/>
  <c r="K78" i="53"/>
  <c r="K79" i="53"/>
  <c r="K80" i="53"/>
  <c r="F82" i="53"/>
  <c r="G82" i="53"/>
  <c r="H82" i="53"/>
  <c r="I82" i="53"/>
  <c r="J82" i="53"/>
  <c r="I86" i="53"/>
  <c r="K86" i="53"/>
  <c r="I87" i="53"/>
  <c r="K87" i="53" s="1"/>
  <c r="I88" i="53"/>
  <c r="K88" i="53"/>
  <c r="I89" i="53"/>
  <c r="K89" i="53" s="1"/>
  <c r="I90" i="53"/>
  <c r="K90" i="53"/>
  <c r="I91" i="53"/>
  <c r="K91" i="53" s="1"/>
  <c r="I92" i="53"/>
  <c r="K92" i="53"/>
  <c r="I93" i="53"/>
  <c r="K93" i="53" s="1"/>
  <c r="I94" i="53"/>
  <c r="K94" i="53"/>
  <c r="I95" i="53"/>
  <c r="K95" i="53" s="1"/>
  <c r="I96" i="53"/>
  <c r="K96" i="53"/>
  <c r="F98" i="53"/>
  <c r="G98" i="53"/>
  <c r="H98" i="53"/>
  <c r="H146" i="53" s="1"/>
  <c r="I98" i="53"/>
  <c r="I146" i="53" s="1"/>
  <c r="J98" i="53"/>
  <c r="I102" i="53"/>
  <c r="K102" i="53"/>
  <c r="I103" i="53"/>
  <c r="K103" i="53" s="1"/>
  <c r="I104" i="53"/>
  <c r="K104" i="53"/>
  <c r="I105" i="53"/>
  <c r="K105" i="53" s="1"/>
  <c r="I106" i="53"/>
  <c r="K106" i="53"/>
  <c r="F108" i="53"/>
  <c r="G108" i="53"/>
  <c r="H108" i="53"/>
  <c r="I108" i="53"/>
  <c r="J108" i="53"/>
  <c r="F119" i="53"/>
  <c r="F123" i="53"/>
  <c r="F127" i="53" s="1"/>
  <c r="K131" i="53"/>
  <c r="K132" i="53"/>
  <c r="K133" i="53"/>
  <c r="K137" i="53" s="1"/>
  <c r="K149" i="53" s="1"/>
  <c r="K134" i="53"/>
  <c r="K135" i="53"/>
  <c r="F137" i="53"/>
  <c r="G137" i="53"/>
  <c r="G149" i="53" s="1"/>
  <c r="H137" i="53"/>
  <c r="I137" i="53"/>
  <c r="J137" i="53"/>
  <c r="F141" i="53"/>
  <c r="J141" i="53"/>
  <c r="G142" i="53"/>
  <c r="H142" i="53"/>
  <c r="G143" i="53"/>
  <c r="H143" i="53"/>
  <c r="I143" i="53"/>
  <c r="F144" i="53"/>
  <c r="G144" i="53"/>
  <c r="H144" i="53"/>
  <c r="I144" i="53"/>
  <c r="J144" i="53"/>
  <c r="K144" i="53"/>
  <c r="F145" i="53"/>
  <c r="G145" i="53"/>
  <c r="H145" i="53"/>
  <c r="I145" i="53"/>
  <c r="J145" i="53"/>
  <c r="F146" i="53"/>
  <c r="G146" i="53"/>
  <c r="J146" i="53"/>
  <c r="F147" i="53"/>
  <c r="G147" i="53"/>
  <c r="H147" i="53"/>
  <c r="I147" i="53"/>
  <c r="J147" i="53"/>
  <c r="K148" i="53"/>
  <c r="F149" i="53"/>
  <c r="H149" i="53"/>
  <c r="I149" i="53"/>
  <c r="J149" i="53"/>
  <c r="H150" i="53"/>
  <c r="I150" i="53"/>
  <c r="J150" i="53"/>
  <c r="K150" i="53"/>
  <c r="I45" i="7" l="1"/>
  <c r="K98" i="53"/>
  <c r="K146" i="53" s="1"/>
  <c r="K152" i="53" s="1"/>
  <c r="K108" i="53"/>
  <c r="K147" i="53" s="1"/>
  <c r="H152" i="53"/>
  <c r="I36" i="53"/>
  <c r="I141" i="53" s="1"/>
  <c r="I152" i="53" s="1"/>
  <c r="J150" i="52"/>
  <c r="I150" i="52"/>
  <c r="H150" i="52"/>
  <c r="H149" i="52"/>
  <c r="K148" i="52"/>
  <c r="H147" i="52"/>
  <c r="G147" i="52"/>
  <c r="H145" i="52"/>
  <c r="G145" i="52"/>
  <c r="J144" i="52"/>
  <c r="F144" i="52"/>
  <c r="J142" i="52"/>
  <c r="F142" i="52"/>
  <c r="G141" i="52"/>
  <c r="J137" i="52"/>
  <c r="J149" i="52" s="1"/>
  <c r="I137" i="52"/>
  <c r="I149" i="52" s="1"/>
  <c r="H137" i="52"/>
  <c r="G137" i="52"/>
  <c r="G149" i="52" s="1"/>
  <c r="F137" i="52"/>
  <c r="F149" i="52" s="1"/>
  <c r="K135" i="52"/>
  <c r="K134" i="52"/>
  <c r="K133" i="52"/>
  <c r="K132" i="52"/>
  <c r="K131" i="52"/>
  <c r="K137" i="52" s="1"/>
  <c r="K149" i="52" s="1"/>
  <c r="F119" i="52"/>
  <c r="J108" i="52"/>
  <c r="J147" i="52" s="1"/>
  <c r="I108" i="52"/>
  <c r="I147" i="52" s="1"/>
  <c r="H108" i="52"/>
  <c r="G108" i="52"/>
  <c r="F108" i="52"/>
  <c r="F147" i="52" s="1"/>
  <c r="K106" i="52"/>
  <c r="I106" i="52"/>
  <c r="I105" i="52"/>
  <c r="K105" i="52" s="1"/>
  <c r="K104" i="52"/>
  <c r="I104" i="52"/>
  <c r="I103" i="52"/>
  <c r="K103" i="52" s="1"/>
  <c r="K102" i="52"/>
  <c r="I102" i="52"/>
  <c r="J98" i="52"/>
  <c r="J146" i="52" s="1"/>
  <c r="I98" i="52"/>
  <c r="I146" i="52" s="1"/>
  <c r="H98" i="52"/>
  <c r="H146" i="52" s="1"/>
  <c r="G98" i="52"/>
  <c r="G146" i="52" s="1"/>
  <c r="F98" i="52"/>
  <c r="F146" i="52" s="1"/>
  <c r="K96" i="52"/>
  <c r="I96" i="52"/>
  <c r="I95" i="52"/>
  <c r="K95" i="52" s="1"/>
  <c r="K94" i="52"/>
  <c r="I94" i="52"/>
  <c r="I93" i="52"/>
  <c r="K93" i="52" s="1"/>
  <c r="K92" i="52"/>
  <c r="I92" i="52"/>
  <c r="I91" i="52"/>
  <c r="K91" i="52" s="1"/>
  <c r="K90" i="52"/>
  <c r="I90" i="52"/>
  <c r="I89" i="52"/>
  <c r="K89" i="52" s="1"/>
  <c r="K88" i="52"/>
  <c r="I88" i="52"/>
  <c r="I87" i="52"/>
  <c r="K87" i="52" s="1"/>
  <c r="K86" i="52"/>
  <c r="I86" i="52"/>
  <c r="J82" i="52"/>
  <c r="J145" i="52" s="1"/>
  <c r="I82" i="52"/>
  <c r="I145" i="52" s="1"/>
  <c r="H82" i="52"/>
  <c r="G82" i="52"/>
  <c r="F82" i="52"/>
  <c r="F145" i="52" s="1"/>
  <c r="K80" i="52"/>
  <c r="K79" i="52"/>
  <c r="K78" i="52"/>
  <c r="K77" i="52"/>
  <c r="K82" i="52" s="1"/>
  <c r="K145" i="52" s="1"/>
  <c r="J74" i="52"/>
  <c r="H74" i="52"/>
  <c r="H144" i="52" s="1"/>
  <c r="G74" i="52"/>
  <c r="G144" i="52" s="1"/>
  <c r="F74" i="52"/>
  <c r="K72" i="52"/>
  <c r="K71" i="52"/>
  <c r="K70" i="52"/>
  <c r="K69" i="52"/>
  <c r="I68" i="52"/>
  <c r="I74" i="52" s="1"/>
  <c r="I144" i="52" s="1"/>
  <c r="J64" i="52"/>
  <c r="J143" i="52" s="1"/>
  <c r="I64" i="52"/>
  <c r="I143" i="52" s="1"/>
  <c r="H64" i="52"/>
  <c r="H143" i="52" s="1"/>
  <c r="G64" i="52"/>
  <c r="G143" i="52" s="1"/>
  <c r="F64" i="52"/>
  <c r="F143" i="52" s="1"/>
  <c r="K62" i="52"/>
  <c r="K61" i="52"/>
  <c r="K60" i="52"/>
  <c r="K59" i="52"/>
  <c r="K58" i="52"/>
  <c r="K57" i="52"/>
  <c r="K56" i="52"/>
  <c r="K64" i="52" s="1"/>
  <c r="K143" i="52" s="1"/>
  <c r="K55" i="52"/>
  <c r="K54" i="52"/>
  <c r="K53" i="52"/>
  <c r="J49" i="52"/>
  <c r="H49" i="52"/>
  <c r="H142" i="52" s="1"/>
  <c r="G49" i="52"/>
  <c r="G142" i="52" s="1"/>
  <c r="F49" i="52"/>
  <c r="K47" i="52"/>
  <c r="K46" i="52"/>
  <c r="K45" i="52"/>
  <c r="K44" i="52"/>
  <c r="K43" i="52"/>
  <c r="I42" i="52"/>
  <c r="K42" i="52" s="1"/>
  <c r="K41" i="52"/>
  <c r="I41" i="52"/>
  <c r="I40" i="52"/>
  <c r="I49" i="52" s="1"/>
  <c r="I142" i="52" s="1"/>
  <c r="J36" i="52"/>
  <c r="J141" i="52" s="1"/>
  <c r="J152" i="52" s="1"/>
  <c r="H36" i="52"/>
  <c r="H141" i="52" s="1"/>
  <c r="H152" i="52" s="1"/>
  <c r="G36" i="52"/>
  <c r="F36" i="52"/>
  <c r="F141" i="52" s="1"/>
  <c r="F152" i="52" s="1"/>
  <c r="I34" i="52"/>
  <c r="K34" i="52" s="1"/>
  <c r="K33" i="52"/>
  <c r="I33" i="52"/>
  <c r="I32" i="52"/>
  <c r="K32" i="52" s="1"/>
  <c r="K31" i="52"/>
  <c r="I31" i="52"/>
  <c r="I30" i="52"/>
  <c r="K30" i="52" s="1"/>
  <c r="K29" i="52"/>
  <c r="I29" i="52"/>
  <c r="I28" i="52"/>
  <c r="K28" i="52" s="1"/>
  <c r="K27" i="52"/>
  <c r="I27" i="52"/>
  <c r="I26" i="52"/>
  <c r="K26" i="52" s="1"/>
  <c r="K25" i="52"/>
  <c r="I25" i="52"/>
  <c r="I24" i="52"/>
  <c r="I36" i="52" s="1"/>
  <c r="I141" i="52" s="1"/>
  <c r="K23" i="52"/>
  <c r="K22" i="52"/>
  <c r="K21" i="52"/>
  <c r="K18" i="52"/>
  <c r="K150" i="52" s="1"/>
  <c r="J45" i="7" l="1"/>
  <c r="J33" i="61"/>
  <c r="J33" i="60"/>
  <c r="F155" i="53"/>
  <c r="F154" i="53"/>
  <c r="K98" i="52"/>
  <c r="K146" i="52" s="1"/>
  <c r="I152" i="52"/>
  <c r="G152" i="52"/>
  <c r="K36" i="52"/>
  <c r="K141" i="52" s="1"/>
  <c r="K108" i="52"/>
  <c r="K147" i="52" s="1"/>
  <c r="K24" i="52"/>
  <c r="K40" i="52"/>
  <c r="K49" i="52" s="1"/>
  <c r="K142" i="52" s="1"/>
  <c r="K68" i="52"/>
  <c r="K74" i="52" s="1"/>
  <c r="K144" i="52" s="1"/>
  <c r="M33" i="61" l="1"/>
  <c r="J38" i="61"/>
  <c r="K33" i="61"/>
  <c r="K33" i="60"/>
  <c r="K38" i="60" s="1"/>
  <c r="K110" i="60" s="1"/>
  <c r="J38" i="60"/>
  <c r="M33" i="60"/>
  <c r="K152" i="52"/>
  <c r="M38" i="60" l="1"/>
  <c r="J110" i="60"/>
  <c r="M38" i="61"/>
  <c r="M110" i="60"/>
  <c r="M120" i="60" s="1"/>
  <c r="G126" i="60" s="1"/>
  <c r="K120" i="60"/>
  <c r="K38" i="61"/>
  <c r="J110" i="61"/>
  <c r="F155" i="52"/>
  <c r="F154" i="52"/>
  <c r="J120" i="61" l="1"/>
  <c r="L110" i="60"/>
  <c r="J120" i="60"/>
  <c r="K110" i="61"/>
  <c r="M110" i="61" s="1"/>
  <c r="J150" i="51"/>
  <c r="I150" i="51"/>
  <c r="H150" i="51"/>
  <c r="G149" i="51"/>
  <c r="K148" i="51"/>
  <c r="H146" i="51"/>
  <c r="J145" i="51"/>
  <c r="F145" i="51"/>
  <c r="H144" i="51"/>
  <c r="J143" i="51"/>
  <c r="F143" i="51"/>
  <c r="J137" i="51"/>
  <c r="J149" i="51" s="1"/>
  <c r="I137" i="51"/>
  <c r="I149" i="51" s="1"/>
  <c r="H137" i="51"/>
  <c r="H149" i="51" s="1"/>
  <c r="G137" i="51"/>
  <c r="F137" i="51"/>
  <c r="F149" i="51" s="1"/>
  <c r="K135" i="51"/>
  <c r="K134" i="51"/>
  <c r="K133" i="51"/>
  <c r="K132" i="51"/>
  <c r="K131" i="51"/>
  <c r="K137" i="51" s="1"/>
  <c r="K149" i="51" s="1"/>
  <c r="F119" i="51"/>
  <c r="F123" i="51" s="1"/>
  <c r="F127" i="51" s="1"/>
  <c r="J108" i="51"/>
  <c r="J147" i="51" s="1"/>
  <c r="H108" i="51"/>
  <c r="H147" i="51" s="1"/>
  <c r="G108" i="51"/>
  <c r="G147" i="51" s="1"/>
  <c r="F108" i="51"/>
  <c r="F147" i="51" s="1"/>
  <c r="I106" i="51"/>
  <c r="K106" i="51" s="1"/>
  <c r="I105" i="51"/>
  <c r="I108" i="51" s="1"/>
  <c r="I147" i="51" s="1"/>
  <c r="K104" i="51"/>
  <c r="K103" i="51"/>
  <c r="K102" i="51"/>
  <c r="J98" i="51"/>
  <c r="J146" i="51" s="1"/>
  <c r="H98" i="51"/>
  <c r="G98" i="51"/>
  <c r="G146" i="51" s="1"/>
  <c r="F98" i="51"/>
  <c r="F146" i="51" s="1"/>
  <c r="K96" i="51"/>
  <c r="I96" i="51"/>
  <c r="K95" i="51"/>
  <c r="I95" i="51"/>
  <c r="K94" i="51"/>
  <c r="I94" i="51"/>
  <c r="K93" i="51"/>
  <c r="I92" i="51"/>
  <c r="K92" i="51" s="1"/>
  <c r="K91" i="51"/>
  <c r="K90" i="51"/>
  <c r="I90" i="51"/>
  <c r="K89" i="51"/>
  <c r="I89" i="51"/>
  <c r="K88" i="51"/>
  <c r="K87" i="51"/>
  <c r="K86" i="51"/>
  <c r="I86" i="51"/>
  <c r="I98" i="51" s="1"/>
  <c r="I146" i="51" s="1"/>
  <c r="J82" i="51"/>
  <c r="I82" i="51"/>
  <c r="I145" i="51" s="1"/>
  <c r="H82" i="51"/>
  <c r="H145" i="51" s="1"/>
  <c r="G82" i="51"/>
  <c r="G145" i="51" s="1"/>
  <c r="F82" i="51"/>
  <c r="K80" i="51"/>
  <c r="K79" i="51"/>
  <c r="K78" i="51"/>
  <c r="K82" i="51" s="1"/>
  <c r="K145" i="51" s="1"/>
  <c r="K77" i="51"/>
  <c r="J74" i="51"/>
  <c r="J144" i="51" s="1"/>
  <c r="I74" i="51"/>
  <c r="I144" i="51" s="1"/>
  <c r="H74" i="51"/>
  <c r="G74" i="51"/>
  <c r="G144" i="51" s="1"/>
  <c r="F74" i="51"/>
  <c r="F144" i="51" s="1"/>
  <c r="K72" i="51"/>
  <c r="K71" i="51"/>
  <c r="K70" i="51"/>
  <c r="K69" i="51"/>
  <c r="K68" i="51"/>
  <c r="K74" i="51" s="1"/>
  <c r="K144" i="51" s="1"/>
  <c r="J64" i="51"/>
  <c r="I64" i="51"/>
  <c r="I143" i="51" s="1"/>
  <c r="H64" i="51"/>
  <c r="H143" i="51" s="1"/>
  <c r="G64" i="51"/>
  <c r="G143" i="51" s="1"/>
  <c r="F64" i="51"/>
  <c r="K62" i="51"/>
  <c r="K61" i="51"/>
  <c r="K60" i="51"/>
  <c r="K59" i="51"/>
  <c r="K58" i="51"/>
  <c r="K57" i="51"/>
  <c r="K56" i="51"/>
  <c r="K55" i="51"/>
  <c r="K54" i="51"/>
  <c r="K53" i="51"/>
  <c r="K64" i="51" s="1"/>
  <c r="K143" i="51" s="1"/>
  <c r="J49" i="51"/>
  <c r="J142" i="51" s="1"/>
  <c r="I49" i="51"/>
  <c r="I142" i="51" s="1"/>
  <c r="H49" i="51"/>
  <c r="H142" i="51" s="1"/>
  <c r="G49" i="51"/>
  <c r="G142" i="51" s="1"/>
  <c r="F49" i="51"/>
  <c r="F142" i="51" s="1"/>
  <c r="K47" i="51"/>
  <c r="K46" i="51"/>
  <c r="K45" i="51"/>
  <c r="K44" i="51"/>
  <c r="K43" i="51"/>
  <c r="K42" i="51"/>
  <c r="K41" i="51"/>
  <c r="K40" i="51"/>
  <c r="K49" i="51" s="1"/>
  <c r="K142" i="51" s="1"/>
  <c r="J36" i="51"/>
  <c r="J141" i="51" s="1"/>
  <c r="H36" i="51"/>
  <c r="H141" i="51" s="1"/>
  <c r="G36" i="51"/>
  <c r="G141" i="51" s="1"/>
  <c r="F36" i="51"/>
  <c r="F141" i="51" s="1"/>
  <c r="F152" i="51" s="1"/>
  <c r="I34" i="51"/>
  <c r="K34" i="51" s="1"/>
  <c r="I33" i="51"/>
  <c r="K33" i="51" s="1"/>
  <c r="I32" i="51"/>
  <c r="K32" i="51" s="1"/>
  <c r="I31" i="51"/>
  <c r="K31" i="51" s="1"/>
  <c r="K30" i="51"/>
  <c r="K29" i="51"/>
  <c r="I28" i="51"/>
  <c r="K28" i="51" s="1"/>
  <c r="I27" i="51"/>
  <c r="K27" i="51" s="1"/>
  <c r="I26" i="51"/>
  <c r="K26" i="51" s="1"/>
  <c r="I25" i="51"/>
  <c r="K25" i="51" s="1"/>
  <c r="K24" i="51"/>
  <c r="K23" i="51"/>
  <c r="I23" i="51"/>
  <c r="I36" i="51" s="1"/>
  <c r="I141" i="51" s="1"/>
  <c r="I152" i="51" s="1"/>
  <c r="K22" i="51"/>
  <c r="K21" i="51"/>
  <c r="K18" i="51"/>
  <c r="K150" i="51" s="1"/>
  <c r="L110" i="61" l="1"/>
  <c r="K120" i="61"/>
  <c r="M120" i="61"/>
  <c r="D5" i="5"/>
  <c r="F5" i="5" s="1"/>
  <c r="L120" i="60"/>
  <c r="J152" i="51"/>
  <c r="K36" i="51"/>
  <c r="K141" i="51" s="1"/>
  <c r="G152" i="51"/>
  <c r="H152" i="51"/>
  <c r="K98" i="51"/>
  <c r="K146" i="51" s="1"/>
  <c r="K105" i="51"/>
  <c r="K108" i="51" s="1"/>
  <c r="K147" i="51" s="1"/>
  <c r="F13" i="5" l="1"/>
  <c r="G124" i="60"/>
  <c r="L120" i="61"/>
  <c r="D13" i="5"/>
  <c r="E5" i="5" s="1"/>
  <c r="G126" i="61"/>
  <c r="K152" i="51"/>
  <c r="G12" i="5" l="1"/>
  <c r="G6" i="5"/>
  <c r="G7" i="5"/>
  <c r="G10" i="5"/>
  <c r="G8" i="5"/>
  <c r="G9" i="5"/>
  <c r="G4" i="5"/>
  <c r="G11" i="5"/>
  <c r="G3" i="5"/>
  <c r="G5" i="5"/>
  <c r="G124" i="61"/>
  <c r="E12" i="5"/>
  <c r="E11" i="5"/>
  <c r="E7" i="5"/>
  <c r="E9" i="5"/>
  <c r="E10" i="5"/>
  <c r="E4" i="5"/>
  <c r="E6" i="5"/>
  <c r="E8" i="5"/>
  <c r="E3" i="5"/>
  <c r="F154" i="51"/>
  <c r="F155" i="51"/>
  <c r="G13" i="5" l="1"/>
  <c r="E13" i="5"/>
  <c r="J150" i="50"/>
  <c r="I150" i="50"/>
  <c r="H150" i="50"/>
  <c r="J149" i="50"/>
  <c r="F149" i="50"/>
  <c r="K148" i="50"/>
  <c r="J147" i="50"/>
  <c r="F147" i="50"/>
  <c r="G146" i="50"/>
  <c r="I145" i="50"/>
  <c r="G145" i="50"/>
  <c r="I144" i="50"/>
  <c r="G144" i="50"/>
  <c r="H142" i="50"/>
  <c r="G142" i="50"/>
  <c r="J141" i="50"/>
  <c r="F141" i="50"/>
  <c r="J137" i="50"/>
  <c r="I137" i="50"/>
  <c r="I149" i="50" s="1"/>
  <c r="H137" i="50"/>
  <c r="H149" i="50" s="1"/>
  <c r="G137" i="50"/>
  <c r="G149" i="50" s="1"/>
  <c r="F137" i="50"/>
  <c r="K135" i="50"/>
  <c r="K134" i="50"/>
  <c r="K133" i="50"/>
  <c r="K137" i="50" s="1"/>
  <c r="K149" i="50" s="1"/>
  <c r="K132" i="50"/>
  <c r="K131" i="50"/>
  <c r="F119" i="50"/>
  <c r="J108" i="50"/>
  <c r="H108" i="50"/>
  <c r="H147" i="50" s="1"/>
  <c r="G108" i="50"/>
  <c r="G147" i="50" s="1"/>
  <c r="F108" i="50"/>
  <c r="I106" i="50"/>
  <c r="K106" i="50" s="1"/>
  <c r="K105" i="50"/>
  <c r="I105" i="50"/>
  <c r="K104" i="50"/>
  <c r="I103" i="50"/>
  <c r="K103" i="50" s="1"/>
  <c r="I102" i="50"/>
  <c r="K102" i="50" s="1"/>
  <c r="K108" i="50" s="1"/>
  <c r="K147" i="50" s="1"/>
  <c r="J98" i="50"/>
  <c r="J146" i="50" s="1"/>
  <c r="H98" i="50"/>
  <c r="H146" i="50" s="1"/>
  <c r="G98" i="50"/>
  <c r="F98" i="50"/>
  <c r="F146" i="50" s="1"/>
  <c r="I96" i="50"/>
  <c r="K96" i="50" s="1"/>
  <c r="I95" i="50"/>
  <c r="K95" i="50" s="1"/>
  <c r="I94" i="50"/>
  <c r="K94" i="50" s="1"/>
  <c r="I93" i="50"/>
  <c r="K93" i="50" s="1"/>
  <c r="I92" i="50"/>
  <c r="K92" i="50" s="1"/>
  <c r="I91" i="50"/>
  <c r="K91" i="50" s="1"/>
  <c r="I90" i="50"/>
  <c r="K90" i="50" s="1"/>
  <c r="I89" i="50"/>
  <c r="K89" i="50" s="1"/>
  <c r="K88" i="50"/>
  <c r="K87" i="50"/>
  <c r="I86" i="50"/>
  <c r="K86" i="50" s="1"/>
  <c r="J82" i="50"/>
  <c r="J145" i="50" s="1"/>
  <c r="I82" i="50"/>
  <c r="H82" i="50"/>
  <c r="H145" i="50" s="1"/>
  <c r="G82" i="50"/>
  <c r="F82" i="50"/>
  <c r="F145" i="50" s="1"/>
  <c r="K80" i="50"/>
  <c r="K79" i="50"/>
  <c r="K78" i="50"/>
  <c r="K77" i="50"/>
  <c r="K82" i="50" s="1"/>
  <c r="K145" i="50" s="1"/>
  <c r="J74" i="50"/>
  <c r="J144" i="50" s="1"/>
  <c r="I74" i="50"/>
  <c r="H74" i="50"/>
  <c r="H144" i="50" s="1"/>
  <c r="G74" i="50"/>
  <c r="F74" i="50"/>
  <c r="F144" i="50" s="1"/>
  <c r="K72" i="50"/>
  <c r="K71" i="50"/>
  <c r="K70" i="50"/>
  <c r="K69" i="50"/>
  <c r="K74" i="50" s="1"/>
  <c r="K144" i="50" s="1"/>
  <c r="K68" i="50"/>
  <c r="J64" i="50"/>
  <c r="J143" i="50" s="1"/>
  <c r="I64" i="50"/>
  <c r="I143" i="50" s="1"/>
  <c r="H64" i="50"/>
  <c r="H143" i="50" s="1"/>
  <c r="G64" i="50"/>
  <c r="G143" i="50" s="1"/>
  <c r="F64" i="50"/>
  <c r="F143" i="50" s="1"/>
  <c r="K62" i="50"/>
  <c r="K61" i="50"/>
  <c r="K60" i="50"/>
  <c r="K59" i="50"/>
  <c r="K58" i="50"/>
  <c r="K57" i="50"/>
  <c r="K56" i="50"/>
  <c r="K55" i="50"/>
  <c r="K54" i="50"/>
  <c r="K64" i="50" s="1"/>
  <c r="K143" i="50" s="1"/>
  <c r="K53" i="50"/>
  <c r="J49" i="50"/>
  <c r="J142" i="50" s="1"/>
  <c r="I49" i="50"/>
  <c r="I142" i="50" s="1"/>
  <c r="H49" i="50"/>
  <c r="G49" i="50"/>
  <c r="F49" i="50"/>
  <c r="F142" i="50" s="1"/>
  <c r="K47" i="50"/>
  <c r="K46" i="50"/>
  <c r="K45" i="50"/>
  <c r="K44" i="50"/>
  <c r="K43" i="50"/>
  <c r="K42" i="50"/>
  <c r="K41" i="50"/>
  <c r="K40" i="50"/>
  <c r="K49" i="50" s="1"/>
  <c r="K142" i="50" s="1"/>
  <c r="J36" i="50"/>
  <c r="H36" i="50"/>
  <c r="H141" i="50" s="1"/>
  <c r="G36" i="50"/>
  <c r="G141" i="50" s="1"/>
  <c r="G152" i="50" s="1"/>
  <c r="F36" i="50"/>
  <c r="I34" i="50"/>
  <c r="K34" i="50" s="1"/>
  <c r="K33" i="50"/>
  <c r="I33" i="50"/>
  <c r="I32" i="50"/>
  <c r="K32" i="50" s="1"/>
  <c r="K31" i="50"/>
  <c r="I31" i="50"/>
  <c r="I30" i="50"/>
  <c r="K30" i="50" s="1"/>
  <c r="K29" i="50"/>
  <c r="I28" i="50"/>
  <c r="K28" i="50" s="1"/>
  <c r="I27" i="50"/>
  <c r="K27" i="50" s="1"/>
  <c r="K26" i="50"/>
  <c r="K25" i="50"/>
  <c r="K24" i="50"/>
  <c r="K23" i="50"/>
  <c r="K22" i="50"/>
  <c r="K21" i="50"/>
  <c r="K18" i="50"/>
  <c r="K150" i="50" s="1"/>
  <c r="K36" i="50" l="1"/>
  <c r="K141" i="50" s="1"/>
  <c r="H152" i="50"/>
  <c r="J152" i="50"/>
  <c r="K98" i="50"/>
  <c r="K146" i="50" s="1"/>
  <c r="F152" i="50"/>
  <c r="I36" i="50"/>
  <c r="I141" i="50" s="1"/>
  <c r="I152" i="50" s="1"/>
  <c r="I108" i="50"/>
  <c r="I147" i="50" s="1"/>
  <c r="I98" i="50"/>
  <c r="I146" i="50" s="1"/>
  <c r="K152" i="50" l="1"/>
  <c r="F155" i="50" l="1"/>
  <c r="F154" i="50"/>
  <c r="J152" i="49" l="1"/>
  <c r="F152" i="49"/>
  <c r="K150" i="49"/>
  <c r="J150" i="49"/>
  <c r="I150" i="49"/>
  <c r="H150" i="49"/>
  <c r="K149" i="49"/>
  <c r="J149" i="49"/>
  <c r="I149" i="49"/>
  <c r="H149" i="49"/>
  <c r="G149" i="49"/>
  <c r="F149" i="49"/>
  <c r="K148" i="49"/>
  <c r="K147" i="49"/>
  <c r="J147" i="49"/>
  <c r="I147" i="49"/>
  <c r="H147" i="49"/>
  <c r="G147" i="49"/>
  <c r="F147" i="49"/>
  <c r="K146" i="49"/>
  <c r="J146" i="49"/>
  <c r="I146" i="49"/>
  <c r="H146" i="49"/>
  <c r="G146" i="49"/>
  <c r="F146" i="49"/>
  <c r="K145" i="49"/>
  <c r="J145" i="49"/>
  <c r="I145" i="49"/>
  <c r="H145" i="49"/>
  <c r="G145" i="49"/>
  <c r="F145" i="49"/>
  <c r="K144" i="49"/>
  <c r="J144" i="49"/>
  <c r="I144" i="49"/>
  <c r="H144" i="49"/>
  <c r="G144" i="49"/>
  <c r="F144" i="49"/>
  <c r="K143" i="49"/>
  <c r="J143" i="49"/>
  <c r="I143" i="49"/>
  <c r="H143" i="49"/>
  <c r="G143" i="49"/>
  <c r="F143" i="49"/>
  <c r="K142" i="49"/>
  <c r="J142" i="49"/>
  <c r="I142" i="49"/>
  <c r="H142" i="49"/>
  <c r="G142" i="49"/>
  <c r="F142" i="49"/>
  <c r="K141" i="49"/>
  <c r="K152" i="49" s="1"/>
  <c r="F20" i="7" s="1"/>
  <c r="G20" i="7" s="1"/>
  <c r="J141" i="49"/>
  <c r="I141" i="49"/>
  <c r="I152" i="49" s="1"/>
  <c r="H141" i="49"/>
  <c r="H152" i="49" s="1"/>
  <c r="G141" i="49"/>
  <c r="G152" i="49" s="1"/>
  <c r="F141" i="49"/>
  <c r="F127" i="49"/>
  <c r="F119" i="49"/>
  <c r="I20" i="7" l="1"/>
  <c r="J20" i="7" s="1"/>
  <c r="F55" i="7"/>
  <c r="F155" i="49"/>
  <c r="F154" i="49"/>
  <c r="K150" i="48"/>
  <c r="J150" i="48"/>
  <c r="I150" i="48"/>
  <c r="H150" i="48"/>
  <c r="G149" i="48"/>
  <c r="K148" i="48"/>
  <c r="J147" i="48"/>
  <c r="G147" i="48"/>
  <c r="F147" i="48"/>
  <c r="J145" i="48"/>
  <c r="G145" i="48"/>
  <c r="F145" i="48"/>
  <c r="H144" i="48"/>
  <c r="F141" i="48"/>
  <c r="J137" i="48"/>
  <c r="J149" i="48" s="1"/>
  <c r="I137" i="48"/>
  <c r="I149" i="48" s="1"/>
  <c r="H137" i="48"/>
  <c r="H149" i="48" s="1"/>
  <c r="G137" i="48"/>
  <c r="F137" i="48"/>
  <c r="F149" i="48" s="1"/>
  <c r="K135" i="48"/>
  <c r="K134" i="48"/>
  <c r="K133" i="48"/>
  <c r="K132" i="48"/>
  <c r="K131" i="48"/>
  <c r="K137" i="48" s="1"/>
  <c r="K149" i="48" s="1"/>
  <c r="F125" i="48"/>
  <c r="F118" i="48"/>
  <c r="F119" i="48" s="1"/>
  <c r="F123" i="48" s="1"/>
  <c r="F127" i="48" s="1"/>
  <c r="J108" i="48"/>
  <c r="H108" i="48"/>
  <c r="H147" i="48" s="1"/>
  <c r="G108" i="48"/>
  <c r="F108" i="48"/>
  <c r="I106" i="48"/>
  <c r="K106" i="48" s="1"/>
  <c r="I105" i="48"/>
  <c r="K105" i="48" s="1"/>
  <c r="I104" i="48"/>
  <c r="K104" i="48" s="1"/>
  <c r="I103" i="48"/>
  <c r="K103" i="48" s="1"/>
  <c r="I102" i="48"/>
  <c r="I108" i="48" s="1"/>
  <c r="I147" i="48" s="1"/>
  <c r="J98" i="48"/>
  <c r="J146" i="48" s="1"/>
  <c r="H98" i="48"/>
  <c r="H146" i="48" s="1"/>
  <c r="G98" i="48"/>
  <c r="G146" i="48" s="1"/>
  <c r="F98" i="48"/>
  <c r="F146" i="48" s="1"/>
  <c r="I96" i="48"/>
  <c r="K96" i="48" s="1"/>
  <c r="I95" i="48"/>
  <c r="K95" i="48" s="1"/>
  <c r="I94" i="48"/>
  <c r="K94" i="48" s="1"/>
  <c r="I93" i="48"/>
  <c r="K93" i="48" s="1"/>
  <c r="I92" i="48"/>
  <c r="K92" i="48" s="1"/>
  <c r="I91" i="48"/>
  <c r="K91" i="48" s="1"/>
  <c r="I90" i="48"/>
  <c r="K90" i="48" s="1"/>
  <c r="I89" i="48"/>
  <c r="K89" i="48" s="1"/>
  <c r="I88" i="48"/>
  <c r="K88" i="48" s="1"/>
  <c r="I87" i="48"/>
  <c r="K87" i="48" s="1"/>
  <c r="I86" i="48"/>
  <c r="I98" i="48" s="1"/>
  <c r="I146" i="48" s="1"/>
  <c r="J82" i="48"/>
  <c r="I82" i="48"/>
  <c r="I145" i="48" s="1"/>
  <c r="H82" i="48"/>
  <c r="H145" i="48" s="1"/>
  <c r="G82" i="48"/>
  <c r="F82" i="48"/>
  <c r="K80" i="48"/>
  <c r="K79" i="48"/>
  <c r="K78" i="48"/>
  <c r="K77" i="48"/>
  <c r="K82" i="48" s="1"/>
  <c r="K145" i="48" s="1"/>
  <c r="J74" i="48"/>
  <c r="J144" i="48" s="1"/>
  <c r="H74" i="48"/>
  <c r="G74" i="48"/>
  <c r="G144" i="48" s="1"/>
  <c r="F74" i="48"/>
  <c r="F144" i="48" s="1"/>
  <c r="I72" i="48"/>
  <c r="K72" i="48" s="1"/>
  <c r="I71" i="48"/>
  <c r="K71" i="48" s="1"/>
  <c r="I70" i="48"/>
  <c r="K70" i="48" s="1"/>
  <c r="I69" i="48"/>
  <c r="K69" i="48" s="1"/>
  <c r="I68" i="48"/>
  <c r="I74" i="48" s="1"/>
  <c r="I144" i="48" s="1"/>
  <c r="J64" i="48"/>
  <c r="J143" i="48" s="1"/>
  <c r="G64" i="48"/>
  <c r="G143" i="48" s="1"/>
  <c r="F64" i="48"/>
  <c r="F143" i="48" s="1"/>
  <c r="I62" i="48"/>
  <c r="K62" i="48" s="1"/>
  <c r="I61" i="48"/>
  <c r="K61" i="48" s="1"/>
  <c r="I60" i="48"/>
  <c r="K60" i="48" s="1"/>
  <c r="I59" i="48"/>
  <c r="K59" i="48" s="1"/>
  <c r="I58" i="48"/>
  <c r="K58" i="48" s="1"/>
  <c r="I57" i="48"/>
  <c r="K57" i="48" s="1"/>
  <c r="I56" i="48"/>
  <c r="K56" i="48" s="1"/>
  <c r="I55" i="48"/>
  <c r="K55" i="48" s="1"/>
  <c r="H54" i="48"/>
  <c r="K53" i="48"/>
  <c r="I53" i="48"/>
  <c r="J49" i="48"/>
  <c r="J142" i="48" s="1"/>
  <c r="G49" i="48"/>
  <c r="G142" i="48" s="1"/>
  <c r="F49" i="48"/>
  <c r="F142" i="48" s="1"/>
  <c r="K47" i="48"/>
  <c r="I47" i="48"/>
  <c r="I46" i="48"/>
  <c r="K46" i="48" s="1"/>
  <c r="K45" i="48"/>
  <c r="I45" i="48"/>
  <c r="I44" i="48"/>
  <c r="K44" i="48" s="1"/>
  <c r="K43" i="48"/>
  <c r="I43" i="48"/>
  <c r="H42" i="48"/>
  <c r="H49" i="48" s="1"/>
  <c r="H142" i="48" s="1"/>
  <c r="I41" i="48"/>
  <c r="K41" i="48" s="1"/>
  <c r="I40" i="48"/>
  <c r="K40" i="48" s="1"/>
  <c r="F36" i="48"/>
  <c r="I34" i="48"/>
  <c r="K34" i="48" s="1"/>
  <c r="I33" i="48"/>
  <c r="K33" i="48" s="1"/>
  <c r="I32" i="48"/>
  <c r="K32" i="48" s="1"/>
  <c r="I31" i="48"/>
  <c r="K31" i="48" s="1"/>
  <c r="I30" i="48"/>
  <c r="K30" i="48" s="1"/>
  <c r="I29" i="48"/>
  <c r="K29" i="48" s="1"/>
  <c r="I28" i="48"/>
  <c r="K28" i="48" s="1"/>
  <c r="I27" i="48"/>
  <c r="K27" i="48" s="1"/>
  <c r="I26" i="48"/>
  <c r="K26" i="48" s="1"/>
  <c r="I25" i="48"/>
  <c r="K25" i="48" s="1"/>
  <c r="I24" i="48"/>
  <c r="K24" i="48" s="1"/>
  <c r="I23" i="48"/>
  <c r="K23" i="48" s="1"/>
  <c r="I22" i="48"/>
  <c r="K22" i="48" s="1"/>
  <c r="J21" i="48"/>
  <c r="J36" i="48" s="1"/>
  <c r="J141" i="48" s="1"/>
  <c r="J152" i="48" s="1"/>
  <c r="H21" i="48"/>
  <c r="G21" i="48"/>
  <c r="G36" i="48" s="1"/>
  <c r="G141" i="48" s="1"/>
  <c r="K18" i="48"/>
  <c r="I64" i="48" l="1"/>
  <c r="I143" i="48" s="1"/>
  <c r="F152" i="48"/>
  <c r="G152" i="48"/>
  <c r="H36" i="48"/>
  <c r="H141" i="48" s="1"/>
  <c r="I21" i="48"/>
  <c r="I36" i="48" s="1"/>
  <c r="I141" i="48" s="1"/>
  <c r="K102" i="48"/>
  <c r="K108" i="48" s="1"/>
  <c r="K147" i="48" s="1"/>
  <c r="K42" i="48"/>
  <c r="K49" i="48" s="1"/>
  <c r="K142" i="48" s="1"/>
  <c r="I54" i="48"/>
  <c r="K54" i="48" s="1"/>
  <c r="K64" i="48" s="1"/>
  <c r="K143" i="48" s="1"/>
  <c r="H64" i="48"/>
  <c r="H143" i="48" s="1"/>
  <c r="I42" i="48"/>
  <c r="I49" i="48" s="1"/>
  <c r="I142" i="48" s="1"/>
  <c r="K86" i="48"/>
  <c r="K98" i="48" s="1"/>
  <c r="K146" i="48" s="1"/>
  <c r="K68" i="48"/>
  <c r="K74" i="48" s="1"/>
  <c r="K144" i="48" s="1"/>
  <c r="H152" i="48" l="1"/>
  <c r="I152" i="48"/>
  <c r="K21" i="48"/>
  <c r="K36" i="48" s="1"/>
  <c r="K141" i="48" s="1"/>
  <c r="K152" i="48" s="1"/>
  <c r="F154" i="48" l="1"/>
  <c r="F155" i="48"/>
  <c r="J160" i="47" l="1"/>
  <c r="I160" i="47"/>
  <c r="H160" i="47"/>
  <c r="G160" i="47"/>
  <c r="F160" i="47"/>
  <c r="B158" i="47"/>
  <c r="K150" i="47"/>
  <c r="J150" i="47"/>
  <c r="I150" i="47"/>
  <c r="H150" i="47"/>
  <c r="G149" i="47"/>
  <c r="K148" i="47"/>
  <c r="K161" i="47" s="1"/>
  <c r="H146" i="47"/>
  <c r="J143" i="47"/>
  <c r="F143" i="47"/>
  <c r="J142" i="47"/>
  <c r="I142" i="47"/>
  <c r="H142" i="47"/>
  <c r="F142" i="47"/>
  <c r="J141" i="47"/>
  <c r="H141" i="47"/>
  <c r="G141" i="47"/>
  <c r="F141" i="47"/>
  <c r="J137" i="47"/>
  <c r="J149" i="47" s="1"/>
  <c r="I137" i="47"/>
  <c r="I149" i="47" s="1"/>
  <c r="H137" i="47"/>
  <c r="H149" i="47" s="1"/>
  <c r="G137" i="47"/>
  <c r="F137" i="47"/>
  <c r="F149" i="47" s="1"/>
  <c r="K135" i="47"/>
  <c r="K134" i="47"/>
  <c r="K133" i="47"/>
  <c r="K132" i="47"/>
  <c r="K131" i="47"/>
  <c r="K137" i="47" s="1"/>
  <c r="K149" i="47" s="1"/>
  <c r="F119" i="47"/>
  <c r="F123" i="47" s="1"/>
  <c r="F127" i="47" s="1"/>
  <c r="J108" i="47"/>
  <c r="J147" i="47" s="1"/>
  <c r="I108" i="47"/>
  <c r="I147" i="47" s="1"/>
  <c r="H108" i="47"/>
  <c r="H147" i="47" s="1"/>
  <c r="G108" i="47"/>
  <c r="G147" i="47" s="1"/>
  <c r="F108" i="47"/>
  <c r="F147" i="47" s="1"/>
  <c r="K106" i="47"/>
  <c r="K105" i="47"/>
  <c r="K104" i="47"/>
  <c r="K103" i="47"/>
  <c r="K108" i="47" s="1"/>
  <c r="K147" i="47" s="1"/>
  <c r="K102" i="47"/>
  <c r="J98" i="47"/>
  <c r="J146" i="47" s="1"/>
  <c r="I98" i="47"/>
  <c r="I146" i="47" s="1"/>
  <c r="H98" i="47"/>
  <c r="G98" i="47"/>
  <c r="G146" i="47" s="1"/>
  <c r="F98" i="47"/>
  <c r="F146" i="47" s="1"/>
  <c r="K96" i="47"/>
  <c r="K95" i="47"/>
  <c r="K94" i="47"/>
  <c r="K93" i="47"/>
  <c r="K92" i="47"/>
  <c r="K91" i="47"/>
  <c r="K90" i="47"/>
  <c r="K89" i="47"/>
  <c r="K88" i="47"/>
  <c r="K87" i="47"/>
  <c r="K86" i="47"/>
  <c r="K98" i="47" s="1"/>
  <c r="K146" i="47" s="1"/>
  <c r="J82" i="47"/>
  <c r="J145" i="47" s="1"/>
  <c r="I82" i="47"/>
  <c r="I145" i="47" s="1"/>
  <c r="H82" i="47"/>
  <c r="H145" i="47" s="1"/>
  <c r="G82" i="47"/>
  <c r="G145" i="47" s="1"/>
  <c r="F82" i="47"/>
  <c r="F145" i="47" s="1"/>
  <c r="K80" i="47"/>
  <c r="K79" i="47"/>
  <c r="K78" i="47"/>
  <c r="K77" i="47"/>
  <c r="K82" i="47" s="1"/>
  <c r="K145" i="47" s="1"/>
  <c r="J74" i="47"/>
  <c r="J144" i="47" s="1"/>
  <c r="I74" i="47"/>
  <c r="I144" i="47" s="1"/>
  <c r="H74" i="47"/>
  <c r="H144" i="47" s="1"/>
  <c r="G74" i="47"/>
  <c r="G144" i="47" s="1"/>
  <c r="F74" i="47"/>
  <c r="F144" i="47" s="1"/>
  <c r="K72" i="47"/>
  <c r="K71" i="47"/>
  <c r="K70" i="47"/>
  <c r="K69" i="47"/>
  <c r="K68" i="47"/>
  <c r="K74" i="47" s="1"/>
  <c r="K144" i="47" s="1"/>
  <c r="J64" i="47"/>
  <c r="I64" i="47"/>
  <c r="I143" i="47" s="1"/>
  <c r="H64" i="47"/>
  <c r="H143" i="47" s="1"/>
  <c r="G64" i="47"/>
  <c r="G143" i="47" s="1"/>
  <c r="F64" i="47"/>
  <c r="K62" i="47"/>
  <c r="K61" i="47"/>
  <c r="K60" i="47"/>
  <c r="K59" i="47"/>
  <c r="K58" i="47"/>
  <c r="K57" i="47"/>
  <c r="K56" i="47"/>
  <c r="K64" i="47" s="1"/>
  <c r="K143" i="47" s="1"/>
  <c r="K55" i="47"/>
  <c r="K54" i="47"/>
  <c r="K53" i="47"/>
  <c r="J49" i="47"/>
  <c r="I49" i="47"/>
  <c r="H49" i="47"/>
  <c r="G49" i="47"/>
  <c r="G142" i="47" s="1"/>
  <c r="F49" i="47"/>
  <c r="K47" i="47"/>
  <c r="K46" i="47"/>
  <c r="K45" i="47"/>
  <c r="K44" i="47"/>
  <c r="K43" i="47"/>
  <c r="K42" i="47"/>
  <c r="K41" i="47"/>
  <c r="K49" i="47" s="1"/>
  <c r="K142" i="47" s="1"/>
  <c r="K40" i="47"/>
  <c r="J36" i="47"/>
  <c r="I36" i="47"/>
  <c r="I141" i="47" s="1"/>
  <c r="H36" i="47"/>
  <c r="G36" i="47"/>
  <c r="F36" i="47"/>
  <c r="K34" i="47"/>
  <c r="I34" i="47"/>
  <c r="K33" i="47"/>
  <c r="K32" i="47"/>
  <c r="K31" i="47"/>
  <c r="K30" i="47"/>
  <c r="K29" i="47"/>
  <c r="K28" i="47"/>
  <c r="K27" i="47"/>
  <c r="K26" i="47"/>
  <c r="K25" i="47"/>
  <c r="K24" i="47"/>
  <c r="K23" i="47"/>
  <c r="K22" i="47"/>
  <c r="K21" i="47"/>
  <c r="K36" i="47" s="1"/>
  <c r="K141" i="47" s="1"/>
  <c r="K18" i="47"/>
  <c r="K160" i="47" s="1"/>
  <c r="K160" i="46"/>
  <c r="J160" i="46"/>
  <c r="I160" i="46"/>
  <c r="H160" i="46"/>
  <c r="G160" i="46"/>
  <c r="F160" i="46"/>
  <c r="B158" i="46"/>
  <c r="K150" i="46"/>
  <c r="J150" i="46"/>
  <c r="I150" i="46"/>
  <c r="H150" i="46"/>
  <c r="G149" i="46"/>
  <c r="K148" i="46"/>
  <c r="K161" i="46" s="1"/>
  <c r="H146" i="46"/>
  <c r="J143" i="46"/>
  <c r="F143" i="46"/>
  <c r="J142" i="46"/>
  <c r="I142" i="46"/>
  <c r="H142" i="46"/>
  <c r="F142" i="46"/>
  <c r="J141" i="46"/>
  <c r="H141" i="46"/>
  <c r="G141" i="46"/>
  <c r="F141" i="46"/>
  <c r="J137" i="46"/>
  <c r="J149" i="46" s="1"/>
  <c r="I137" i="46"/>
  <c r="I149" i="46" s="1"/>
  <c r="H137" i="46"/>
  <c r="H149" i="46" s="1"/>
  <c r="G137" i="46"/>
  <c r="F137" i="46"/>
  <c r="F149" i="46" s="1"/>
  <c r="K135" i="46"/>
  <c r="K134" i="46"/>
  <c r="K133" i="46"/>
  <c r="K132" i="46"/>
  <c r="K131" i="46"/>
  <c r="K137" i="46" s="1"/>
  <c r="K149" i="46" s="1"/>
  <c r="F119" i="46"/>
  <c r="F123" i="46" s="1"/>
  <c r="F127" i="46" s="1"/>
  <c r="J108" i="46"/>
  <c r="J147" i="46" s="1"/>
  <c r="I108" i="46"/>
  <c r="I147" i="46" s="1"/>
  <c r="H108" i="46"/>
  <c r="H147" i="46" s="1"/>
  <c r="G108" i="46"/>
  <c r="G147" i="46" s="1"/>
  <c r="F108" i="46"/>
  <c r="F147" i="46" s="1"/>
  <c r="K106" i="46"/>
  <c r="K105" i="46"/>
  <c r="K104" i="46"/>
  <c r="K103" i="46"/>
  <c r="K108" i="46" s="1"/>
  <c r="K147" i="46" s="1"/>
  <c r="K102" i="46"/>
  <c r="J98" i="46"/>
  <c r="J146" i="46" s="1"/>
  <c r="I98" i="46"/>
  <c r="I146" i="46" s="1"/>
  <c r="H98" i="46"/>
  <c r="G98" i="46"/>
  <c r="G146" i="46" s="1"/>
  <c r="F98" i="46"/>
  <c r="F146" i="46" s="1"/>
  <c r="K96" i="46"/>
  <c r="K95" i="46"/>
  <c r="K94" i="46"/>
  <c r="K93" i="46"/>
  <c r="K92" i="46"/>
  <c r="K91" i="46"/>
  <c r="K90" i="46"/>
  <c r="K89" i="46"/>
  <c r="K88" i="46"/>
  <c r="K87" i="46"/>
  <c r="K86" i="46"/>
  <c r="K98" i="46" s="1"/>
  <c r="K146" i="46" s="1"/>
  <c r="J82" i="46"/>
  <c r="J145" i="46" s="1"/>
  <c r="I82" i="46"/>
  <c r="I145" i="46" s="1"/>
  <c r="H82" i="46"/>
  <c r="H145" i="46" s="1"/>
  <c r="G82" i="46"/>
  <c r="G145" i="46" s="1"/>
  <c r="F82" i="46"/>
  <c r="F145" i="46" s="1"/>
  <c r="K80" i="46"/>
  <c r="K79" i="46"/>
  <c r="K78" i="46"/>
  <c r="K77" i="46"/>
  <c r="K82" i="46" s="1"/>
  <c r="K145" i="46" s="1"/>
  <c r="J74" i="46"/>
  <c r="J144" i="46" s="1"/>
  <c r="I74" i="46"/>
  <c r="I144" i="46" s="1"/>
  <c r="H74" i="46"/>
  <c r="H144" i="46" s="1"/>
  <c r="G74" i="46"/>
  <c r="G144" i="46" s="1"/>
  <c r="F74" i="46"/>
  <c r="F144" i="46" s="1"/>
  <c r="K72" i="46"/>
  <c r="K71" i="46"/>
  <c r="K70" i="46"/>
  <c r="K69" i="46"/>
  <c r="K68" i="46"/>
  <c r="K74" i="46" s="1"/>
  <c r="K144" i="46" s="1"/>
  <c r="J64" i="46"/>
  <c r="I64" i="46"/>
  <c r="I143" i="46" s="1"/>
  <c r="H64" i="46"/>
  <c r="H143" i="46" s="1"/>
  <c r="G64" i="46"/>
  <c r="G143" i="46" s="1"/>
  <c r="F64" i="46"/>
  <c r="K62" i="46"/>
  <c r="K61" i="46"/>
  <c r="K60" i="46"/>
  <c r="K59" i="46"/>
  <c r="K58" i="46"/>
  <c r="K57" i="46"/>
  <c r="K56" i="46"/>
  <c r="K64" i="46" s="1"/>
  <c r="K143" i="46" s="1"/>
  <c r="K55" i="46"/>
  <c r="K54" i="46"/>
  <c r="K53" i="46"/>
  <c r="J49" i="46"/>
  <c r="I49" i="46"/>
  <c r="H49" i="46"/>
  <c r="G49" i="46"/>
  <c r="G142" i="46" s="1"/>
  <c r="F49" i="46"/>
  <c r="K47" i="46"/>
  <c r="K46" i="46"/>
  <c r="K45" i="46"/>
  <c r="K44" i="46"/>
  <c r="K43" i="46"/>
  <c r="K42" i="46"/>
  <c r="K41" i="46"/>
  <c r="K49" i="46" s="1"/>
  <c r="K142" i="46" s="1"/>
  <c r="K40" i="46"/>
  <c r="J36" i="46"/>
  <c r="H36" i="46"/>
  <c r="G36" i="46"/>
  <c r="F36" i="46"/>
  <c r="K34" i="46"/>
  <c r="I34" i="46"/>
  <c r="I33" i="46"/>
  <c r="K33" i="46" s="1"/>
  <c r="K32" i="46"/>
  <c r="I32" i="46"/>
  <c r="I31" i="46"/>
  <c r="K31" i="46" s="1"/>
  <c r="K30" i="46"/>
  <c r="I30" i="46"/>
  <c r="K29" i="46"/>
  <c r="I28" i="46"/>
  <c r="K28" i="46" s="1"/>
  <c r="I27" i="46"/>
  <c r="K27" i="46" s="1"/>
  <c r="I26" i="46"/>
  <c r="K26" i="46" s="1"/>
  <c r="K25" i="46"/>
  <c r="I24" i="46"/>
  <c r="K24" i="46" s="1"/>
  <c r="K23" i="46"/>
  <c r="I23" i="46"/>
  <c r="I22" i="46"/>
  <c r="K22" i="46" s="1"/>
  <c r="K21" i="46"/>
  <c r="K18" i="46"/>
  <c r="J160" i="45"/>
  <c r="I160" i="45"/>
  <c r="H160" i="45"/>
  <c r="G160" i="45"/>
  <c r="F160" i="45"/>
  <c r="B158" i="45"/>
  <c r="K150" i="45"/>
  <c r="J150" i="45"/>
  <c r="I150" i="45"/>
  <c r="H150" i="45"/>
  <c r="G149" i="45"/>
  <c r="K148" i="45"/>
  <c r="K161" i="45" s="1"/>
  <c r="H146" i="45"/>
  <c r="J145" i="45"/>
  <c r="F145" i="45"/>
  <c r="H144" i="45"/>
  <c r="J143" i="45"/>
  <c r="G143" i="45"/>
  <c r="F143" i="45"/>
  <c r="J137" i="45"/>
  <c r="J149" i="45" s="1"/>
  <c r="I137" i="45"/>
  <c r="I149" i="45" s="1"/>
  <c r="H137" i="45"/>
  <c r="H149" i="45" s="1"/>
  <c r="G137" i="45"/>
  <c r="F137" i="45"/>
  <c r="F149" i="45" s="1"/>
  <c r="K135" i="45"/>
  <c r="K134" i="45"/>
  <c r="K133" i="45"/>
  <c r="K132" i="45"/>
  <c r="K131" i="45"/>
  <c r="K137" i="45" s="1"/>
  <c r="K149" i="45" s="1"/>
  <c r="F119" i="45"/>
  <c r="F123" i="45" s="1"/>
  <c r="F127" i="45" s="1"/>
  <c r="J108" i="45"/>
  <c r="J147" i="45" s="1"/>
  <c r="I108" i="45"/>
  <c r="I147" i="45" s="1"/>
  <c r="H108" i="45"/>
  <c r="H147" i="45" s="1"/>
  <c r="G108" i="45"/>
  <c r="G147" i="45" s="1"/>
  <c r="F108" i="45"/>
  <c r="F147" i="45" s="1"/>
  <c r="K106" i="45"/>
  <c r="K105" i="45"/>
  <c r="K104" i="45"/>
  <c r="K103" i="45"/>
  <c r="K108" i="45" s="1"/>
  <c r="K147" i="45" s="1"/>
  <c r="K102" i="45"/>
  <c r="J98" i="45"/>
  <c r="J146" i="45" s="1"/>
  <c r="I98" i="45"/>
  <c r="I146" i="45" s="1"/>
  <c r="H98" i="45"/>
  <c r="G98" i="45"/>
  <c r="G146" i="45" s="1"/>
  <c r="F98" i="45"/>
  <c r="F146" i="45" s="1"/>
  <c r="K96" i="45"/>
  <c r="K95" i="45"/>
  <c r="K94" i="45"/>
  <c r="K93" i="45"/>
  <c r="K92" i="45"/>
  <c r="K91" i="45"/>
  <c r="K90" i="45"/>
  <c r="K89" i="45"/>
  <c r="K88" i="45"/>
  <c r="K87" i="45"/>
  <c r="I86" i="45"/>
  <c r="K86" i="45" s="1"/>
  <c r="K98" i="45" s="1"/>
  <c r="K146" i="45" s="1"/>
  <c r="J82" i="45"/>
  <c r="I82" i="45"/>
  <c r="I145" i="45" s="1"/>
  <c r="H82" i="45"/>
  <c r="H145" i="45" s="1"/>
  <c r="G82" i="45"/>
  <c r="G145" i="45" s="1"/>
  <c r="F82" i="45"/>
  <c r="K80" i="45"/>
  <c r="K79" i="45"/>
  <c r="K78" i="45"/>
  <c r="K82" i="45" s="1"/>
  <c r="K145" i="45" s="1"/>
  <c r="K77" i="45"/>
  <c r="J74" i="45"/>
  <c r="J144" i="45" s="1"/>
  <c r="I74" i="45"/>
  <c r="I144" i="45" s="1"/>
  <c r="H74" i="45"/>
  <c r="G74" i="45"/>
  <c r="G144" i="45" s="1"/>
  <c r="F74" i="45"/>
  <c r="F144" i="45" s="1"/>
  <c r="K72" i="45"/>
  <c r="K71" i="45"/>
  <c r="K70" i="45"/>
  <c r="K69" i="45"/>
  <c r="K68" i="45"/>
  <c r="K74" i="45" s="1"/>
  <c r="K144" i="45" s="1"/>
  <c r="J64" i="45"/>
  <c r="I64" i="45"/>
  <c r="I143" i="45" s="1"/>
  <c r="H64" i="45"/>
  <c r="H143" i="45" s="1"/>
  <c r="G64" i="45"/>
  <c r="F64" i="45"/>
  <c r="K62" i="45"/>
  <c r="K61" i="45"/>
  <c r="K60" i="45"/>
  <c r="K59" i="45"/>
  <c r="K58" i="45"/>
  <c r="K57" i="45"/>
  <c r="K56" i="45"/>
  <c r="K55" i="45"/>
  <c r="K54" i="45"/>
  <c r="K53" i="45"/>
  <c r="K64" i="45" s="1"/>
  <c r="K143" i="45" s="1"/>
  <c r="J49" i="45"/>
  <c r="J142" i="45" s="1"/>
  <c r="I49" i="45"/>
  <c r="I142" i="45" s="1"/>
  <c r="H49" i="45"/>
  <c r="H142" i="45" s="1"/>
  <c r="G49" i="45"/>
  <c r="G142" i="45" s="1"/>
  <c r="F49" i="45"/>
  <c r="F142" i="45" s="1"/>
  <c r="K47" i="45"/>
  <c r="K46" i="45"/>
  <c r="K45" i="45"/>
  <c r="K44" i="45"/>
  <c r="K43" i="45"/>
  <c r="K42" i="45"/>
  <c r="K41" i="45"/>
  <c r="K40" i="45"/>
  <c r="K49" i="45" s="1"/>
  <c r="K142" i="45" s="1"/>
  <c r="J36" i="45"/>
  <c r="J141" i="45" s="1"/>
  <c r="J152" i="45" s="1"/>
  <c r="I36" i="45"/>
  <c r="I141" i="45" s="1"/>
  <c r="H36" i="45"/>
  <c r="H141" i="45" s="1"/>
  <c r="G36" i="45"/>
  <c r="G141" i="45" s="1"/>
  <c r="F36" i="45"/>
  <c r="F141" i="45" s="1"/>
  <c r="F152" i="45" s="1"/>
  <c r="K34" i="45"/>
  <c r="K33" i="45"/>
  <c r="K32" i="45"/>
  <c r="K31" i="45"/>
  <c r="K30" i="45"/>
  <c r="K29" i="45"/>
  <c r="K28" i="45"/>
  <c r="K27" i="45"/>
  <c r="K26" i="45"/>
  <c r="K25" i="45"/>
  <c r="K24" i="45"/>
  <c r="K23" i="45"/>
  <c r="K36" i="45" s="1"/>
  <c r="K141" i="45" s="1"/>
  <c r="K152" i="45" s="1"/>
  <c r="K22" i="45"/>
  <c r="K21" i="45"/>
  <c r="K18" i="45"/>
  <c r="K160" i="45" s="1"/>
  <c r="C7" i="45"/>
  <c r="J152" i="47" l="1"/>
  <c r="K152" i="47"/>
  <c r="F152" i="47"/>
  <c r="G152" i="47"/>
  <c r="I152" i="47"/>
  <c r="H152" i="47"/>
  <c r="G152" i="46"/>
  <c r="J152" i="46"/>
  <c r="F152" i="46"/>
  <c r="K36" i="46"/>
  <c r="K141" i="46" s="1"/>
  <c r="K152" i="46" s="1"/>
  <c r="H152" i="46"/>
  <c r="I36" i="46"/>
  <c r="I141" i="46" s="1"/>
  <c r="I152" i="46" s="1"/>
  <c r="K158" i="45"/>
  <c r="F154" i="45"/>
  <c r="K163" i="45"/>
  <c r="F155" i="45"/>
  <c r="F163" i="45"/>
  <c r="F158" i="45"/>
  <c r="J163" i="45"/>
  <c r="J158" i="45"/>
  <c r="G152" i="45"/>
  <c r="H152" i="45"/>
  <c r="I152" i="45"/>
  <c r="G158" i="47" l="1"/>
  <c r="G163" i="47"/>
  <c r="F163" i="47"/>
  <c r="F158" i="47"/>
  <c r="H163" i="47"/>
  <c r="H158" i="47"/>
  <c r="K158" i="47"/>
  <c r="F154" i="47"/>
  <c r="K163" i="47"/>
  <c r="F155" i="47"/>
  <c r="I163" i="47"/>
  <c r="I158" i="47"/>
  <c r="J163" i="47"/>
  <c r="J158" i="47"/>
  <c r="H163" i="46"/>
  <c r="H158" i="46"/>
  <c r="F163" i="46"/>
  <c r="F158" i="46"/>
  <c r="G158" i="46"/>
  <c r="G163" i="46"/>
  <c r="K158" i="46"/>
  <c r="F154" i="46"/>
  <c r="K163" i="46"/>
  <c r="F155" i="46"/>
  <c r="I163" i="46"/>
  <c r="I158" i="46"/>
  <c r="J163" i="46"/>
  <c r="J158" i="46"/>
  <c r="H163" i="45"/>
  <c r="H158" i="45"/>
  <c r="G158" i="45"/>
  <c r="G163" i="45"/>
  <c r="I163" i="45"/>
  <c r="I158" i="45"/>
  <c r="J166" i="45"/>
  <c r="J165" i="45"/>
  <c r="K166" i="45"/>
  <c r="K165" i="45"/>
  <c r="I166" i="47" l="1"/>
  <c r="I165" i="47"/>
  <c r="J166" i="47"/>
  <c r="J165" i="47"/>
  <c r="K166" i="47"/>
  <c r="K165" i="47"/>
  <c r="H166" i="47"/>
  <c r="H165" i="47"/>
  <c r="J166" i="46"/>
  <c r="J165" i="46"/>
  <c r="I166" i="46"/>
  <c r="I165" i="46"/>
  <c r="K166" i="46"/>
  <c r="K165" i="46"/>
  <c r="H166" i="46"/>
  <c r="H165" i="46"/>
  <c r="I166" i="45"/>
  <c r="I165" i="45"/>
  <c r="H166" i="45"/>
  <c r="H165" i="45"/>
  <c r="J150" i="44" l="1"/>
  <c r="I150" i="44"/>
  <c r="H150" i="44"/>
  <c r="H149" i="44"/>
  <c r="K148" i="44"/>
  <c r="H147" i="44"/>
  <c r="G147" i="44"/>
  <c r="H145" i="44"/>
  <c r="G145" i="44"/>
  <c r="I144" i="44"/>
  <c r="H143" i="44"/>
  <c r="G143" i="44"/>
  <c r="G141" i="44"/>
  <c r="J137" i="44"/>
  <c r="J149" i="44" s="1"/>
  <c r="I137" i="44"/>
  <c r="I149" i="44" s="1"/>
  <c r="H137" i="44"/>
  <c r="G137" i="44"/>
  <c r="G149" i="44" s="1"/>
  <c r="F137" i="44"/>
  <c r="F149" i="44" s="1"/>
  <c r="K135" i="44"/>
  <c r="K134" i="44"/>
  <c r="K133" i="44"/>
  <c r="K132" i="44"/>
  <c r="K131" i="44"/>
  <c r="K137" i="44" s="1"/>
  <c r="K149" i="44" s="1"/>
  <c r="F119" i="44"/>
  <c r="J108" i="44"/>
  <c r="J147" i="44" s="1"/>
  <c r="I108" i="44"/>
  <c r="I147" i="44" s="1"/>
  <c r="H108" i="44"/>
  <c r="G108" i="44"/>
  <c r="F108" i="44"/>
  <c r="F147" i="44" s="1"/>
  <c r="K106" i="44"/>
  <c r="I106" i="44"/>
  <c r="I105" i="44"/>
  <c r="K105" i="44" s="1"/>
  <c r="K104" i="44"/>
  <c r="I104" i="44"/>
  <c r="I103" i="44"/>
  <c r="K103" i="44" s="1"/>
  <c r="K102" i="44"/>
  <c r="K108" i="44" s="1"/>
  <c r="K147" i="44" s="1"/>
  <c r="I102" i="44"/>
  <c r="J98" i="44"/>
  <c r="J146" i="44" s="1"/>
  <c r="I98" i="44"/>
  <c r="I146" i="44" s="1"/>
  <c r="H98" i="44"/>
  <c r="H146" i="44" s="1"/>
  <c r="G98" i="44"/>
  <c r="G146" i="44" s="1"/>
  <c r="F98" i="44"/>
  <c r="F146" i="44" s="1"/>
  <c r="K96" i="44"/>
  <c r="I96" i="44"/>
  <c r="I95" i="44"/>
  <c r="K95" i="44" s="1"/>
  <c r="K94" i="44"/>
  <c r="I94" i="44"/>
  <c r="I93" i="44"/>
  <c r="K93" i="44" s="1"/>
  <c r="K92" i="44"/>
  <c r="I92" i="44"/>
  <c r="I91" i="44"/>
  <c r="K91" i="44" s="1"/>
  <c r="K90" i="44"/>
  <c r="I90" i="44"/>
  <c r="I89" i="44"/>
  <c r="K89" i="44" s="1"/>
  <c r="K88" i="44"/>
  <c r="I88" i="44"/>
  <c r="I87" i="44"/>
  <c r="K87" i="44" s="1"/>
  <c r="K86" i="44"/>
  <c r="I86" i="44"/>
  <c r="J82" i="44"/>
  <c r="J145" i="44" s="1"/>
  <c r="I82" i="44"/>
  <c r="I145" i="44" s="1"/>
  <c r="H82" i="44"/>
  <c r="G82" i="44"/>
  <c r="F82" i="44"/>
  <c r="F145" i="44" s="1"/>
  <c r="K80" i="44"/>
  <c r="I80" i="44"/>
  <c r="I79" i="44"/>
  <c r="K79" i="44" s="1"/>
  <c r="K78" i="44"/>
  <c r="K77" i="44"/>
  <c r="I77" i="44"/>
  <c r="J74" i="44"/>
  <c r="J144" i="44" s="1"/>
  <c r="I74" i="44"/>
  <c r="H74" i="44"/>
  <c r="H144" i="44" s="1"/>
  <c r="G74" i="44"/>
  <c r="G144" i="44" s="1"/>
  <c r="F74" i="44"/>
  <c r="F144" i="44" s="1"/>
  <c r="K72" i="44"/>
  <c r="K71" i="44"/>
  <c r="K70" i="44"/>
  <c r="K69" i="44"/>
  <c r="K74" i="44" s="1"/>
  <c r="K144" i="44" s="1"/>
  <c r="K68" i="44"/>
  <c r="J64" i="44"/>
  <c r="J143" i="44" s="1"/>
  <c r="H64" i="44"/>
  <c r="G64" i="44"/>
  <c r="F64" i="44"/>
  <c r="F143" i="44" s="1"/>
  <c r="K62" i="44"/>
  <c r="K61" i="44"/>
  <c r="K60" i="44"/>
  <c r="K59" i="44"/>
  <c r="K58" i="44"/>
  <c r="K57" i="44"/>
  <c r="I57" i="44"/>
  <c r="I56" i="44"/>
  <c r="K56" i="44" s="1"/>
  <c r="K55" i="44"/>
  <c r="I55" i="44"/>
  <c r="I54" i="44"/>
  <c r="K54" i="44" s="1"/>
  <c r="K53" i="44"/>
  <c r="K64" i="44" s="1"/>
  <c r="K143" i="44" s="1"/>
  <c r="J49" i="44"/>
  <c r="J142" i="44" s="1"/>
  <c r="H49" i="44"/>
  <c r="H142" i="44" s="1"/>
  <c r="G49" i="44"/>
  <c r="G142" i="44" s="1"/>
  <c r="F49" i="44"/>
  <c r="F142" i="44" s="1"/>
  <c r="K47" i="44"/>
  <c r="K46" i="44"/>
  <c r="K45" i="44"/>
  <c r="I44" i="44"/>
  <c r="K44" i="44" s="1"/>
  <c r="K43" i="44"/>
  <c r="I43" i="44"/>
  <c r="I42" i="44"/>
  <c r="K42" i="44" s="1"/>
  <c r="K41" i="44"/>
  <c r="I41" i="44"/>
  <c r="I40" i="44"/>
  <c r="K40" i="44" s="1"/>
  <c r="J36" i="44"/>
  <c r="J141" i="44" s="1"/>
  <c r="H36" i="44"/>
  <c r="H141" i="44" s="1"/>
  <c r="H152" i="44" s="1"/>
  <c r="G36" i="44"/>
  <c r="F36" i="44"/>
  <c r="F141" i="44" s="1"/>
  <c r="I34" i="44"/>
  <c r="K34" i="44" s="1"/>
  <c r="K33" i="44"/>
  <c r="I33" i="44"/>
  <c r="I32" i="44"/>
  <c r="K32" i="44" s="1"/>
  <c r="K31" i="44"/>
  <c r="I31" i="44"/>
  <c r="I30" i="44"/>
  <c r="K30" i="44" s="1"/>
  <c r="K29" i="44"/>
  <c r="I29" i="44"/>
  <c r="I28" i="44"/>
  <c r="K28" i="44" s="1"/>
  <c r="K27" i="44"/>
  <c r="I27" i="44"/>
  <c r="I26" i="44"/>
  <c r="K26" i="44" s="1"/>
  <c r="K25" i="44"/>
  <c r="I25" i="44"/>
  <c r="I24" i="44"/>
  <c r="K24" i="44" s="1"/>
  <c r="K23" i="44"/>
  <c r="I23" i="44"/>
  <c r="I22" i="44"/>
  <c r="K22" i="44" s="1"/>
  <c r="K21" i="44"/>
  <c r="I21" i="44"/>
  <c r="K18" i="44"/>
  <c r="K150" i="44" s="1"/>
  <c r="J152" i="44" l="1"/>
  <c r="K36" i="44"/>
  <c r="K141" i="44" s="1"/>
  <c r="K152" i="44" s="1"/>
  <c r="F152" i="44"/>
  <c r="K49" i="44"/>
  <c r="K142" i="44" s="1"/>
  <c r="K98" i="44"/>
  <c r="K146" i="44" s="1"/>
  <c r="K82" i="44"/>
  <c r="K145" i="44" s="1"/>
  <c r="G152" i="44"/>
  <c r="I64" i="44"/>
  <c r="I143" i="44" s="1"/>
  <c r="I36" i="44"/>
  <c r="I141" i="44" s="1"/>
  <c r="I49" i="44"/>
  <c r="I142" i="44" s="1"/>
  <c r="F155" i="44" l="1"/>
  <c r="F154" i="44"/>
  <c r="I152" i="44"/>
  <c r="J150" i="43" l="1"/>
  <c r="I150" i="43"/>
  <c r="H150" i="43"/>
  <c r="I149" i="43"/>
  <c r="K148" i="43"/>
  <c r="H147" i="43"/>
  <c r="H145" i="43"/>
  <c r="J144" i="43"/>
  <c r="F144" i="43"/>
  <c r="H143" i="43"/>
  <c r="J142" i="43"/>
  <c r="F142" i="43"/>
  <c r="H141" i="43"/>
  <c r="J137" i="43"/>
  <c r="J149" i="43" s="1"/>
  <c r="I137" i="43"/>
  <c r="H137" i="43"/>
  <c r="H149" i="43" s="1"/>
  <c r="G137" i="43"/>
  <c r="G149" i="43" s="1"/>
  <c r="F137" i="43"/>
  <c r="F149" i="43" s="1"/>
  <c r="K135" i="43"/>
  <c r="K134" i="43"/>
  <c r="K133" i="43"/>
  <c r="K132" i="43"/>
  <c r="K137" i="43" s="1"/>
  <c r="K149" i="43" s="1"/>
  <c r="K131" i="43"/>
  <c r="F119" i="43"/>
  <c r="J108" i="43"/>
  <c r="J147" i="43" s="1"/>
  <c r="H108" i="43"/>
  <c r="G108" i="43"/>
  <c r="G147" i="43" s="1"/>
  <c r="F108" i="43"/>
  <c r="F147" i="43" s="1"/>
  <c r="I106" i="43"/>
  <c r="K106" i="43" s="1"/>
  <c r="I105" i="43"/>
  <c r="K105" i="43" s="1"/>
  <c r="I104" i="43"/>
  <c r="K104" i="43" s="1"/>
  <c r="I103" i="43"/>
  <c r="K103" i="43" s="1"/>
  <c r="I102" i="43"/>
  <c r="I108" i="43" s="1"/>
  <c r="I147" i="43" s="1"/>
  <c r="J98" i="43"/>
  <c r="J146" i="43" s="1"/>
  <c r="H98" i="43"/>
  <c r="H146" i="43" s="1"/>
  <c r="G98" i="43"/>
  <c r="G146" i="43" s="1"/>
  <c r="F98" i="43"/>
  <c r="F146" i="43" s="1"/>
  <c r="I96" i="43"/>
  <c r="K96" i="43" s="1"/>
  <c r="I95" i="43"/>
  <c r="K95" i="43" s="1"/>
  <c r="I94" i="43"/>
  <c r="K94" i="43" s="1"/>
  <c r="I93" i="43"/>
  <c r="K93" i="43" s="1"/>
  <c r="I92" i="43"/>
  <c r="K92" i="43" s="1"/>
  <c r="I91" i="43"/>
  <c r="K91" i="43" s="1"/>
  <c r="I90" i="43"/>
  <c r="K90" i="43" s="1"/>
  <c r="I89" i="43"/>
  <c r="K89" i="43" s="1"/>
  <c r="I88" i="43"/>
  <c r="K88" i="43" s="1"/>
  <c r="I87" i="43"/>
  <c r="K87" i="43" s="1"/>
  <c r="K98" i="43" s="1"/>
  <c r="K146" i="43" s="1"/>
  <c r="K86" i="43"/>
  <c r="J82" i="43"/>
  <c r="J145" i="43" s="1"/>
  <c r="I82" i="43"/>
  <c r="I145" i="43" s="1"/>
  <c r="H82" i="43"/>
  <c r="G82" i="43"/>
  <c r="G145" i="43" s="1"/>
  <c r="F82" i="43"/>
  <c r="F145" i="43" s="1"/>
  <c r="K80" i="43"/>
  <c r="K79" i="43"/>
  <c r="K78" i="43"/>
  <c r="K77" i="43"/>
  <c r="K82" i="43" s="1"/>
  <c r="K145" i="43" s="1"/>
  <c r="J74" i="43"/>
  <c r="H74" i="43"/>
  <c r="H144" i="43" s="1"/>
  <c r="G74" i="43"/>
  <c r="G144" i="43" s="1"/>
  <c r="F74" i="43"/>
  <c r="K72" i="43"/>
  <c r="K71" i="43"/>
  <c r="K70" i="43"/>
  <c r="K69" i="43"/>
  <c r="I68" i="43"/>
  <c r="I74" i="43" s="1"/>
  <c r="I144" i="43" s="1"/>
  <c r="J64" i="43"/>
  <c r="J143" i="43" s="1"/>
  <c r="H64" i="43"/>
  <c r="G64" i="43"/>
  <c r="G143" i="43" s="1"/>
  <c r="F64" i="43"/>
  <c r="F143" i="43" s="1"/>
  <c r="K62" i="43"/>
  <c r="K61" i="43"/>
  <c r="K60" i="43"/>
  <c r="K59" i="43"/>
  <c r="K58" i="43"/>
  <c r="I57" i="43"/>
  <c r="K57" i="43" s="1"/>
  <c r="K56" i="43"/>
  <c r="I56" i="43"/>
  <c r="I55" i="43"/>
  <c r="K55" i="43" s="1"/>
  <c r="K54" i="43"/>
  <c r="I53" i="43"/>
  <c r="I64" i="43" s="1"/>
  <c r="I143" i="43" s="1"/>
  <c r="J49" i="43"/>
  <c r="I49" i="43"/>
  <c r="I142" i="43" s="1"/>
  <c r="H49" i="43"/>
  <c r="H142" i="43" s="1"/>
  <c r="G49" i="43"/>
  <c r="G142" i="43" s="1"/>
  <c r="F49" i="43"/>
  <c r="K47" i="43"/>
  <c r="K46" i="43"/>
  <c r="K45" i="43"/>
  <c r="K44" i="43"/>
  <c r="K43" i="43"/>
  <c r="K42" i="43"/>
  <c r="K41" i="43"/>
  <c r="K49" i="43" s="1"/>
  <c r="K142" i="43" s="1"/>
  <c r="K40" i="43"/>
  <c r="J36" i="43"/>
  <c r="J141" i="43" s="1"/>
  <c r="J152" i="43" s="1"/>
  <c r="I36" i="43"/>
  <c r="I141" i="43" s="1"/>
  <c r="H36" i="43"/>
  <c r="G36" i="43"/>
  <c r="G141" i="43" s="1"/>
  <c r="F36" i="43"/>
  <c r="F141" i="43" s="1"/>
  <c r="F152" i="43" s="1"/>
  <c r="K34" i="43"/>
  <c r="I34" i="43"/>
  <c r="I33" i="43"/>
  <c r="K33" i="43" s="1"/>
  <c r="K32" i="43"/>
  <c r="I32" i="43"/>
  <c r="I31" i="43"/>
  <c r="K31" i="43" s="1"/>
  <c r="K30" i="43"/>
  <c r="I30" i="43"/>
  <c r="I29" i="43"/>
  <c r="K29" i="43" s="1"/>
  <c r="K28" i="43"/>
  <c r="I28" i="43"/>
  <c r="I27" i="43"/>
  <c r="K27" i="43" s="1"/>
  <c r="K26" i="43"/>
  <c r="I26" i="43"/>
  <c r="I25" i="43"/>
  <c r="K25" i="43" s="1"/>
  <c r="K24" i="43"/>
  <c r="I24" i="43"/>
  <c r="I23" i="43"/>
  <c r="K23" i="43" s="1"/>
  <c r="K22" i="43"/>
  <c r="I22" i="43"/>
  <c r="I21" i="43"/>
  <c r="K21" i="43" s="1"/>
  <c r="K18" i="43"/>
  <c r="K150" i="43" s="1"/>
  <c r="G152" i="43" l="1"/>
  <c r="K36" i="43"/>
  <c r="K141" i="43" s="1"/>
  <c r="I152" i="43"/>
  <c r="H152" i="43"/>
  <c r="I98" i="43"/>
  <c r="I146" i="43" s="1"/>
  <c r="K102" i="43"/>
  <c r="K108" i="43" s="1"/>
  <c r="K147" i="43" s="1"/>
  <c r="K53" i="43"/>
  <c r="K64" i="43" s="1"/>
  <c r="K143" i="43" s="1"/>
  <c r="K68" i="43"/>
  <c r="K74" i="43" s="1"/>
  <c r="K144" i="43" s="1"/>
  <c r="K152" i="43" l="1"/>
  <c r="F155" i="43" l="1"/>
  <c r="F154" i="43"/>
  <c r="J150" i="42" l="1"/>
  <c r="I150" i="42"/>
  <c r="H150" i="42"/>
  <c r="H149" i="42"/>
  <c r="G149" i="42"/>
  <c r="K148" i="42"/>
  <c r="G147" i="42"/>
  <c r="H146" i="42"/>
  <c r="H145" i="42"/>
  <c r="G145" i="42"/>
  <c r="I144" i="42"/>
  <c r="G141" i="42"/>
  <c r="G152" i="42" s="1"/>
  <c r="J137" i="42"/>
  <c r="J149" i="42" s="1"/>
  <c r="I137" i="42"/>
  <c r="I149" i="42" s="1"/>
  <c r="H137" i="42"/>
  <c r="G137" i="42"/>
  <c r="F137" i="42"/>
  <c r="F149" i="42" s="1"/>
  <c r="K135" i="42"/>
  <c r="K134" i="42"/>
  <c r="K133" i="42"/>
  <c r="K132" i="42"/>
  <c r="K131" i="42"/>
  <c r="K137" i="42" s="1"/>
  <c r="K149" i="42" s="1"/>
  <c r="F119" i="42"/>
  <c r="J108" i="42"/>
  <c r="J147" i="42" s="1"/>
  <c r="I108" i="42"/>
  <c r="I147" i="42" s="1"/>
  <c r="H108" i="42"/>
  <c r="H147" i="42" s="1"/>
  <c r="G108" i="42"/>
  <c r="F108" i="42"/>
  <c r="F147" i="42" s="1"/>
  <c r="K106" i="42"/>
  <c r="I106" i="42"/>
  <c r="I105" i="42"/>
  <c r="K105" i="42" s="1"/>
  <c r="K104" i="42"/>
  <c r="I104" i="42"/>
  <c r="I103" i="42"/>
  <c r="K103" i="42" s="1"/>
  <c r="K102" i="42"/>
  <c r="K108" i="42" s="1"/>
  <c r="K147" i="42" s="1"/>
  <c r="I102" i="42"/>
  <c r="H102" i="42"/>
  <c r="J98" i="42"/>
  <c r="J146" i="42" s="1"/>
  <c r="H98" i="42"/>
  <c r="G98" i="42"/>
  <c r="G146" i="42" s="1"/>
  <c r="F98" i="42"/>
  <c r="F146" i="42" s="1"/>
  <c r="K96" i="42"/>
  <c r="I96" i="42"/>
  <c r="I95" i="42"/>
  <c r="K95" i="42" s="1"/>
  <c r="K94" i="42"/>
  <c r="I94" i="42"/>
  <c r="I93" i="42"/>
  <c r="K93" i="42" s="1"/>
  <c r="K92" i="42"/>
  <c r="I92" i="42"/>
  <c r="I91" i="42"/>
  <c r="K91" i="42" s="1"/>
  <c r="K90" i="42"/>
  <c r="I90" i="42"/>
  <c r="I89" i="42"/>
  <c r="K89" i="42" s="1"/>
  <c r="K88" i="42"/>
  <c r="I88" i="42"/>
  <c r="I87" i="42"/>
  <c r="I98" i="42" s="1"/>
  <c r="I146" i="42" s="1"/>
  <c r="K86" i="42"/>
  <c r="I86" i="42"/>
  <c r="J82" i="42"/>
  <c r="J145" i="42" s="1"/>
  <c r="I82" i="42"/>
  <c r="I145" i="42" s="1"/>
  <c r="H82" i="42"/>
  <c r="G82" i="42"/>
  <c r="F82" i="42"/>
  <c r="F145" i="42" s="1"/>
  <c r="K80" i="42"/>
  <c r="K79" i="42"/>
  <c r="K78" i="42"/>
  <c r="K77" i="42"/>
  <c r="K82" i="42" s="1"/>
  <c r="K145" i="42" s="1"/>
  <c r="J74" i="42"/>
  <c r="J144" i="42" s="1"/>
  <c r="I74" i="42"/>
  <c r="H74" i="42"/>
  <c r="H144" i="42" s="1"/>
  <c r="G74" i="42"/>
  <c r="G144" i="42" s="1"/>
  <c r="F74" i="42"/>
  <c r="F144" i="42" s="1"/>
  <c r="K72" i="42"/>
  <c r="K71" i="42"/>
  <c r="K70" i="42"/>
  <c r="K74" i="42" s="1"/>
  <c r="K144" i="42" s="1"/>
  <c r="K69" i="42"/>
  <c r="K68" i="42"/>
  <c r="J64" i="42"/>
  <c r="J143" i="42" s="1"/>
  <c r="G64" i="42"/>
  <c r="G143" i="42" s="1"/>
  <c r="F64" i="42"/>
  <c r="F143" i="42" s="1"/>
  <c r="I62" i="42"/>
  <c r="K62" i="42" s="1"/>
  <c r="K61" i="42"/>
  <c r="I61" i="42"/>
  <c r="I60" i="42"/>
  <c r="K60" i="42" s="1"/>
  <c r="K59" i="42"/>
  <c r="I59" i="42"/>
  <c r="H58" i="42"/>
  <c r="K57" i="42"/>
  <c r="I57" i="42"/>
  <c r="I56" i="42"/>
  <c r="K56" i="42" s="1"/>
  <c r="K55" i="42"/>
  <c r="I55" i="42"/>
  <c r="I54" i="42"/>
  <c r="K54" i="42" s="1"/>
  <c r="K53" i="42"/>
  <c r="I53" i="42"/>
  <c r="J49" i="42"/>
  <c r="J142" i="42" s="1"/>
  <c r="H49" i="42"/>
  <c r="H142" i="42" s="1"/>
  <c r="G49" i="42"/>
  <c r="G142" i="42" s="1"/>
  <c r="F49" i="42"/>
  <c r="F142" i="42" s="1"/>
  <c r="K47" i="42"/>
  <c r="K46" i="42"/>
  <c r="K45" i="42"/>
  <c r="K44" i="42"/>
  <c r="K43" i="42"/>
  <c r="K42" i="42"/>
  <c r="I41" i="42"/>
  <c r="I49" i="42" s="1"/>
  <c r="I142" i="42" s="1"/>
  <c r="K40" i="42"/>
  <c r="I40" i="42"/>
  <c r="J36" i="42"/>
  <c r="J141" i="42" s="1"/>
  <c r="H36" i="42"/>
  <c r="H141" i="42" s="1"/>
  <c r="G36" i="42"/>
  <c r="F36" i="42"/>
  <c r="F141" i="42" s="1"/>
  <c r="F152" i="42" s="1"/>
  <c r="K34" i="42"/>
  <c r="I34" i="42"/>
  <c r="I33" i="42"/>
  <c r="K33" i="42" s="1"/>
  <c r="K32" i="42"/>
  <c r="I32" i="42"/>
  <c r="I31" i="42"/>
  <c r="K31" i="42" s="1"/>
  <c r="K30" i="42"/>
  <c r="I30" i="42"/>
  <c r="I29" i="42"/>
  <c r="K29" i="42" s="1"/>
  <c r="K28" i="42"/>
  <c r="I28" i="42"/>
  <c r="I27" i="42"/>
  <c r="K27" i="42" s="1"/>
  <c r="K26" i="42"/>
  <c r="I26" i="42"/>
  <c r="I25" i="42"/>
  <c r="K25" i="42" s="1"/>
  <c r="K24" i="42"/>
  <c r="I24" i="42"/>
  <c r="I23" i="42"/>
  <c r="K23" i="42" s="1"/>
  <c r="K22" i="42"/>
  <c r="I22" i="42"/>
  <c r="I21" i="42"/>
  <c r="I36" i="42" s="1"/>
  <c r="I141" i="42" s="1"/>
  <c r="K18" i="42"/>
  <c r="K150" i="42" s="1"/>
  <c r="H152" i="42" l="1"/>
  <c r="J152" i="42"/>
  <c r="K41" i="42"/>
  <c r="K49" i="42" s="1"/>
  <c r="K142" i="42" s="1"/>
  <c r="I58" i="42"/>
  <c r="I64" i="42" s="1"/>
  <c r="I143" i="42" s="1"/>
  <c r="I152" i="42" s="1"/>
  <c r="H64" i="42"/>
  <c r="H143" i="42" s="1"/>
  <c r="K87" i="42"/>
  <c r="K98" i="42" s="1"/>
  <c r="K146" i="42" s="1"/>
  <c r="K21" i="42"/>
  <c r="K36" i="42" s="1"/>
  <c r="K141" i="42" s="1"/>
  <c r="J150" i="40"/>
  <c r="I150" i="40"/>
  <c r="H150" i="40"/>
  <c r="I149" i="40"/>
  <c r="K148" i="40"/>
  <c r="J146" i="40"/>
  <c r="G146" i="40"/>
  <c r="F146" i="40"/>
  <c r="H143" i="40"/>
  <c r="J142" i="40"/>
  <c r="G142" i="40"/>
  <c r="F142" i="40"/>
  <c r="H141" i="40"/>
  <c r="J137" i="40"/>
  <c r="J149" i="40" s="1"/>
  <c r="I137" i="40"/>
  <c r="H137" i="40"/>
  <c r="H149" i="40" s="1"/>
  <c r="G137" i="40"/>
  <c r="G149" i="40" s="1"/>
  <c r="F137" i="40"/>
  <c r="F149" i="40" s="1"/>
  <c r="K135" i="40"/>
  <c r="K134" i="40"/>
  <c r="K133" i="40"/>
  <c r="K132" i="40"/>
  <c r="K137" i="40" s="1"/>
  <c r="K149" i="40" s="1"/>
  <c r="K131" i="40"/>
  <c r="F119" i="40"/>
  <c r="F123" i="40" s="1"/>
  <c r="F127" i="40" s="1"/>
  <c r="J108" i="40"/>
  <c r="J147" i="40" s="1"/>
  <c r="H108" i="40"/>
  <c r="H147" i="40" s="1"/>
  <c r="G108" i="40"/>
  <c r="G147" i="40" s="1"/>
  <c r="F108" i="40"/>
  <c r="F147" i="40" s="1"/>
  <c r="I106" i="40"/>
  <c r="K106" i="40" s="1"/>
  <c r="K105" i="40"/>
  <c r="I105" i="40"/>
  <c r="I104" i="40"/>
  <c r="K104" i="40" s="1"/>
  <c r="K103" i="40"/>
  <c r="I103" i="40"/>
  <c r="I102" i="40"/>
  <c r="I108" i="40" s="1"/>
  <c r="I147" i="40" s="1"/>
  <c r="J98" i="40"/>
  <c r="H98" i="40"/>
  <c r="H146" i="40" s="1"/>
  <c r="G98" i="40"/>
  <c r="F98" i="40"/>
  <c r="I96" i="40"/>
  <c r="K96" i="40" s="1"/>
  <c r="K95" i="40"/>
  <c r="I95" i="40"/>
  <c r="I94" i="40"/>
  <c r="K94" i="40" s="1"/>
  <c r="K93" i="40"/>
  <c r="I93" i="40"/>
  <c r="I92" i="40"/>
  <c r="K92" i="40" s="1"/>
  <c r="K91" i="40"/>
  <c r="I91" i="40"/>
  <c r="I90" i="40"/>
  <c r="K90" i="40" s="1"/>
  <c r="K89" i="40"/>
  <c r="I89" i="40"/>
  <c r="I88" i="40"/>
  <c r="K88" i="40" s="1"/>
  <c r="K87" i="40"/>
  <c r="I87" i="40"/>
  <c r="I86" i="40"/>
  <c r="I98" i="40" s="1"/>
  <c r="I146" i="40" s="1"/>
  <c r="J82" i="40"/>
  <c r="J145" i="40" s="1"/>
  <c r="I82" i="40"/>
  <c r="I145" i="40" s="1"/>
  <c r="H82" i="40"/>
  <c r="H145" i="40" s="1"/>
  <c r="G82" i="40"/>
  <c r="G145" i="40" s="1"/>
  <c r="F82" i="40"/>
  <c r="F145" i="40" s="1"/>
  <c r="K80" i="40"/>
  <c r="K79" i="40"/>
  <c r="K78" i="40"/>
  <c r="K82" i="40" s="1"/>
  <c r="K145" i="40" s="1"/>
  <c r="K77" i="40"/>
  <c r="J74" i="40"/>
  <c r="J144" i="40" s="1"/>
  <c r="I74" i="40"/>
  <c r="I144" i="40" s="1"/>
  <c r="H74" i="40"/>
  <c r="H144" i="40" s="1"/>
  <c r="G74" i="40"/>
  <c r="G144" i="40" s="1"/>
  <c r="F74" i="40"/>
  <c r="F144" i="40" s="1"/>
  <c r="K72" i="40"/>
  <c r="K71" i="40"/>
  <c r="K70" i="40"/>
  <c r="K69" i="40"/>
  <c r="K74" i="40" s="1"/>
  <c r="K144" i="40" s="1"/>
  <c r="K68" i="40"/>
  <c r="I68" i="40"/>
  <c r="J64" i="40"/>
  <c r="J143" i="40" s="1"/>
  <c r="H64" i="40"/>
  <c r="G64" i="40"/>
  <c r="G143" i="40" s="1"/>
  <c r="F64" i="40"/>
  <c r="F143" i="40" s="1"/>
  <c r="K62" i="40"/>
  <c r="I62" i="40"/>
  <c r="I61" i="40"/>
  <c r="K61" i="40" s="1"/>
  <c r="K60" i="40"/>
  <c r="I60" i="40"/>
  <c r="I59" i="40"/>
  <c r="K59" i="40" s="1"/>
  <c r="K58" i="40"/>
  <c r="I58" i="40"/>
  <c r="I57" i="40"/>
  <c r="K57" i="40" s="1"/>
  <c r="K56" i="40"/>
  <c r="I56" i="40"/>
  <c r="I55" i="40"/>
  <c r="K55" i="40" s="1"/>
  <c r="K54" i="40"/>
  <c r="I54" i="40"/>
  <c r="I53" i="40"/>
  <c r="I64" i="40" s="1"/>
  <c r="I143" i="40" s="1"/>
  <c r="J49" i="40"/>
  <c r="H49" i="40"/>
  <c r="H142" i="40" s="1"/>
  <c r="G49" i="40"/>
  <c r="F49" i="40"/>
  <c r="I47" i="40"/>
  <c r="K47" i="40" s="1"/>
  <c r="K46" i="40"/>
  <c r="I46" i="40"/>
  <c r="I45" i="40"/>
  <c r="K45" i="40" s="1"/>
  <c r="K44" i="40"/>
  <c r="I44" i="40"/>
  <c r="I43" i="40"/>
  <c r="K43" i="40" s="1"/>
  <c r="K42" i="40"/>
  <c r="I42" i="40"/>
  <c r="I41" i="40"/>
  <c r="I49" i="40" s="1"/>
  <c r="I142" i="40" s="1"/>
  <c r="K40" i="40"/>
  <c r="I40" i="40"/>
  <c r="J36" i="40"/>
  <c r="J141" i="40" s="1"/>
  <c r="H36" i="40"/>
  <c r="G36" i="40"/>
  <c r="G141" i="40" s="1"/>
  <c r="F36" i="40"/>
  <c r="F141" i="40" s="1"/>
  <c r="K34" i="40"/>
  <c r="I34" i="40"/>
  <c r="I33" i="40"/>
  <c r="K33" i="40" s="1"/>
  <c r="K32" i="40"/>
  <c r="I32" i="40"/>
  <c r="I31" i="40"/>
  <c r="K31" i="40" s="1"/>
  <c r="K30" i="40"/>
  <c r="I30" i="40"/>
  <c r="I29" i="40"/>
  <c r="K29" i="40" s="1"/>
  <c r="K28" i="40"/>
  <c r="I28" i="40"/>
  <c r="I27" i="40"/>
  <c r="K27" i="40" s="1"/>
  <c r="K26" i="40"/>
  <c r="I26" i="40"/>
  <c r="I25" i="40"/>
  <c r="K25" i="40" s="1"/>
  <c r="K24" i="40"/>
  <c r="I24" i="40"/>
  <c r="I23" i="40"/>
  <c r="K23" i="40" s="1"/>
  <c r="K22" i="40"/>
  <c r="I22" i="40"/>
  <c r="I21" i="40"/>
  <c r="K21" i="40" s="1"/>
  <c r="K18" i="40"/>
  <c r="K150" i="40" s="1"/>
  <c r="K58" i="42" l="1"/>
  <c r="K64" i="42" s="1"/>
  <c r="K143" i="42" s="1"/>
  <c r="K152" i="42" s="1"/>
  <c r="K36" i="40"/>
  <c r="K141" i="40" s="1"/>
  <c r="J152" i="40"/>
  <c r="F152" i="40"/>
  <c r="G152" i="40"/>
  <c r="H152" i="40"/>
  <c r="K53" i="40"/>
  <c r="K64" i="40" s="1"/>
  <c r="K143" i="40" s="1"/>
  <c r="K86" i="40"/>
  <c r="K98" i="40" s="1"/>
  <c r="K146" i="40" s="1"/>
  <c r="I36" i="40"/>
  <c r="I141" i="40" s="1"/>
  <c r="I152" i="40" s="1"/>
  <c r="K41" i="40"/>
  <c r="K49" i="40" s="1"/>
  <c r="K142" i="40" s="1"/>
  <c r="K102" i="40"/>
  <c r="K108" i="40" s="1"/>
  <c r="K147" i="40" s="1"/>
  <c r="F155" i="42" l="1"/>
  <c r="F154" i="42"/>
  <c r="K152" i="40"/>
  <c r="F155" i="40" l="1"/>
  <c r="F154" i="40"/>
  <c r="F155" i="39" l="1"/>
  <c r="F154" i="39"/>
  <c r="K150" i="38" l="1"/>
  <c r="J150" i="38"/>
  <c r="I150" i="38"/>
  <c r="H150" i="38"/>
  <c r="J149" i="38"/>
  <c r="G149" i="38"/>
  <c r="F149" i="38"/>
  <c r="K148" i="38"/>
  <c r="J147" i="38"/>
  <c r="F147" i="38"/>
  <c r="J145" i="38"/>
  <c r="F145" i="38"/>
  <c r="H144" i="38"/>
  <c r="H142" i="38"/>
  <c r="J141" i="38"/>
  <c r="F141" i="38"/>
  <c r="J137" i="38"/>
  <c r="I137" i="38"/>
  <c r="I149" i="38" s="1"/>
  <c r="H137" i="38"/>
  <c r="H149" i="38" s="1"/>
  <c r="G137" i="38"/>
  <c r="F137" i="38"/>
  <c r="K135" i="38"/>
  <c r="K134" i="38"/>
  <c r="K133" i="38"/>
  <c r="K137" i="38" s="1"/>
  <c r="K149" i="38" s="1"/>
  <c r="K132" i="38"/>
  <c r="K131" i="38"/>
  <c r="F125" i="38"/>
  <c r="F118" i="38"/>
  <c r="F119" i="38" s="1"/>
  <c r="F123" i="38" s="1"/>
  <c r="F127" i="38" s="1"/>
  <c r="J108" i="38"/>
  <c r="H108" i="38"/>
  <c r="H147" i="38" s="1"/>
  <c r="G108" i="38"/>
  <c r="G147" i="38" s="1"/>
  <c r="F108" i="38"/>
  <c r="I106" i="38"/>
  <c r="K106" i="38" s="1"/>
  <c r="K105" i="38"/>
  <c r="I105" i="38"/>
  <c r="I104" i="38"/>
  <c r="K104" i="38" s="1"/>
  <c r="K103" i="38"/>
  <c r="I103" i="38"/>
  <c r="I102" i="38"/>
  <c r="I108" i="38" s="1"/>
  <c r="I147" i="38" s="1"/>
  <c r="J98" i="38"/>
  <c r="J146" i="38" s="1"/>
  <c r="H98" i="38"/>
  <c r="H146" i="38" s="1"/>
  <c r="G98" i="38"/>
  <c r="G146" i="38" s="1"/>
  <c r="F98" i="38"/>
  <c r="F146" i="38" s="1"/>
  <c r="I96" i="38"/>
  <c r="K96" i="38" s="1"/>
  <c r="K95" i="38"/>
  <c r="I95" i="38"/>
  <c r="I94" i="38"/>
  <c r="K94" i="38" s="1"/>
  <c r="K93" i="38"/>
  <c r="I93" i="38"/>
  <c r="I92" i="38"/>
  <c r="K92" i="38" s="1"/>
  <c r="K91" i="38"/>
  <c r="I91" i="38"/>
  <c r="I90" i="38"/>
  <c r="K90" i="38" s="1"/>
  <c r="K89" i="38"/>
  <c r="I89" i="38"/>
  <c r="I88" i="38"/>
  <c r="K88" i="38" s="1"/>
  <c r="K87" i="38"/>
  <c r="I87" i="38"/>
  <c r="I86" i="38"/>
  <c r="I98" i="38" s="1"/>
  <c r="I146" i="38" s="1"/>
  <c r="J82" i="38"/>
  <c r="I82" i="38"/>
  <c r="I145" i="38" s="1"/>
  <c r="H82" i="38"/>
  <c r="H145" i="38" s="1"/>
  <c r="G82" i="38"/>
  <c r="G145" i="38" s="1"/>
  <c r="F82" i="38"/>
  <c r="K80" i="38"/>
  <c r="K79" i="38"/>
  <c r="K78" i="38"/>
  <c r="K82" i="38" s="1"/>
  <c r="K145" i="38" s="1"/>
  <c r="K77" i="38"/>
  <c r="J74" i="38"/>
  <c r="J144" i="38" s="1"/>
  <c r="I74" i="38"/>
  <c r="I144" i="38" s="1"/>
  <c r="H74" i="38"/>
  <c r="G74" i="38"/>
  <c r="G144" i="38" s="1"/>
  <c r="F74" i="38"/>
  <c r="F144" i="38" s="1"/>
  <c r="K72" i="38"/>
  <c r="K71" i="38"/>
  <c r="K70" i="38"/>
  <c r="K69" i="38"/>
  <c r="K68" i="38"/>
  <c r="K74" i="38" s="1"/>
  <c r="K144" i="38" s="1"/>
  <c r="I68" i="38"/>
  <c r="J64" i="38"/>
  <c r="J143" i="38" s="1"/>
  <c r="H64" i="38"/>
  <c r="H143" i="38" s="1"/>
  <c r="G64" i="38"/>
  <c r="G143" i="38" s="1"/>
  <c r="F64" i="38"/>
  <c r="F143" i="38" s="1"/>
  <c r="K62" i="38"/>
  <c r="K61" i="38"/>
  <c r="K60" i="38"/>
  <c r="K59" i="38"/>
  <c r="K58" i="38"/>
  <c r="I57" i="38"/>
  <c r="K57" i="38" s="1"/>
  <c r="K56" i="38"/>
  <c r="K55" i="38"/>
  <c r="I55" i="38"/>
  <c r="I54" i="38"/>
  <c r="I64" i="38" s="1"/>
  <c r="I143" i="38" s="1"/>
  <c r="K53" i="38"/>
  <c r="I53" i="38"/>
  <c r="J49" i="38"/>
  <c r="J142" i="38" s="1"/>
  <c r="I49" i="38"/>
  <c r="I142" i="38" s="1"/>
  <c r="H49" i="38"/>
  <c r="G49" i="38"/>
  <c r="G142" i="38" s="1"/>
  <c r="F49" i="38"/>
  <c r="F142" i="38" s="1"/>
  <c r="K47" i="38"/>
  <c r="K46" i="38"/>
  <c r="K45" i="38"/>
  <c r="K44" i="38"/>
  <c r="K43" i="38"/>
  <c r="K42" i="38"/>
  <c r="K41" i="38"/>
  <c r="K40" i="38"/>
  <c r="K49" i="38" s="1"/>
  <c r="K142" i="38" s="1"/>
  <c r="J36" i="38"/>
  <c r="H36" i="38"/>
  <c r="H141" i="38" s="1"/>
  <c r="G36" i="38"/>
  <c r="G141" i="38" s="1"/>
  <c r="F36" i="38"/>
  <c r="I34" i="38"/>
  <c r="K34" i="38" s="1"/>
  <c r="K33" i="38"/>
  <c r="I33" i="38"/>
  <c r="I32" i="38"/>
  <c r="K32" i="38" s="1"/>
  <c r="K31" i="38"/>
  <c r="I31" i="38"/>
  <c r="I30" i="38"/>
  <c r="K30" i="38" s="1"/>
  <c r="K29" i="38"/>
  <c r="I29" i="38"/>
  <c r="I28" i="38"/>
  <c r="K28" i="38" s="1"/>
  <c r="K27" i="38"/>
  <c r="I27" i="38"/>
  <c r="I26" i="38"/>
  <c r="K26" i="38" s="1"/>
  <c r="K25" i="38"/>
  <c r="I25" i="38"/>
  <c r="I24" i="38"/>
  <c r="K24" i="38" s="1"/>
  <c r="K23" i="38"/>
  <c r="I23" i="38"/>
  <c r="I22" i="38"/>
  <c r="I36" i="38" s="1"/>
  <c r="I141" i="38" s="1"/>
  <c r="K21" i="38"/>
  <c r="I21" i="38"/>
  <c r="K18" i="38"/>
  <c r="G152" i="38" l="1"/>
  <c r="K36" i="38"/>
  <c r="K141" i="38" s="1"/>
  <c r="F152" i="38"/>
  <c r="I152" i="38"/>
  <c r="J152" i="38"/>
  <c r="H152" i="38"/>
  <c r="K22" i="38"/>
  <c r="K54" i="38"/>
  <c r="K64" i="38" s="1"/>
  <c r="K143" i="38" s="1"/>
  <c r="K86" i="38"/>
  <c r="K98" i="38" s="1"/>
  <c r="K146" i="38" s="1"/>
  <c r="K102" i="38"/>
  <c r="K108" i="38" s="1"/>
  <c r="K147" i="38" s="1"/>
  <c r="K152" i="38" l="1"/>
  <c r="F154" i="38" l="1"/>
  <c r="F155" i="38"/>
  <c r="J150" i="37" l="1"/>
  <c r="I150" i="37"/>
  <c r="H150" i="37"/>
  <c r="I149" i="37"/>
  <c r="K148" i="37"/>
  <c r="H147" i="37"/>
  <c r="J146" i="37"/>
  <c r="F146" i="37"/>
  <c r="H145" i="37"/>
  <c r="H143" i="37"/>
  <c r="J142" i="37"/>
  <c r="F142" i="37"/>
  <c r="H141" i="37"/>
  <c r="J137" i="37"/>
  <c r="J149" i="37" s="1"/>
  <c r="I137" i="37"/>
  <c r="H137" i="37"/>
  <c r="H149" i="37" s="1"/>
  <c r="G137" i="37"/>
  <c r="G149" i="37" s="1"/>
  <c r="F137" i="37"/>
  <c r="F149" i="37" s="1"/>
  <c r="K135" i="37"/>
  <c r="K134" i="37"/>
  <c r="K133" i="37"/>
  <c r="K132" i="37"/>
  <c r="K137" i="37" s="1"/>
  <c r="K149" i="37" s="1"/>
  <c r="K131" i="37"/>
  <c r="F127" i="37"/>
  <c r="F119" i="37"/>
  <c r="J108" i="37"/>
  <c r="J147" i="37" s="1"/>
  <c r="H108" i="37"/>
  <c r="G108" i="37"/>
  <c r="G147" i="37" s="1"/>
  <c r="F108" i="37"/>
  <c r="F147" i="37" s="1"/>
  <c r="I106" i="37"/>
  <c r="K106" i="37" s="1"/>
  <c r="K105" i="37"/>
  <c r="I105" i="37"/>
  <c r="I104" i="37"/>
  <c r="K104" i="37" s="1"/>
  <c r="K103" i="37"/>
  <c r="I103" i="37"/>
  <c r="I102" i="37"/>
  <c r="I108" i="37" s="1"/>
  <c r="I147" i="37" s="1"/>
  <c r="J98" i="37"/>
  <c r="H98" i="37"/>
  <c r="H146" i="37" s="1"/>
  <c r="G98" i="37"/>
  <c r="G146" i="37" s="1"/>
  <c r="F98" i="37"/>
  <c r="I96" i="37"/>
  <c r="K96" i="37" s="1"/>
  <c r="K95" i="37"/>
  <c r="I95" i="37"/>
  <c r="I94" i="37"/>
  <c r="K94" i="37" s="1"/>
  <c r="K93" i="37"/>
  <c r="I93" i="37"/>
  <c r="I92" i="37"/>
  <c r="K92" i="37" s="1"/>
  <c r="K91" i="37"/>
  <c r="I91" i="37"/>
  <c r="I90" i="37"/>
  <c r="K90" i="37" s="1"/>
  <c r="K89" i="37"/>
  <c r="I89" i="37"/>
  <c r="I88" i="37"/>
  <c r="K88" i="37" s="1"/>
  <c r="K87" i="37"/>
  <c r="I87" i="37"/>
  <c r="I86" i="37"/>
  <c r="I98" i="37" s="1"/>
  <c r="I146" i="37" s="1"/>
  <c r="J82" i="37"/>
  <c r="J145" i="37" s="1"/>
  <c r="H82" i="37"/>
  <c r="G82" i="37"/>
  <c r="G145" i="37" s="1"/>
  <c r="F82" i="37"/>
  <c r="F145" i="37" s="1"/>
  <c r="K80" i="37"/>
  <c r="I79" i="37"/>
  <c r="I82" i="37" s="1"/>
  <c r="I145" i="37" s="1"/>
  <c r="K78" i="37"/>
  <c r="K77" i="37"/>
  <c r="J74" i="37"/>
  <c r="J144" i="37" s="1"/>
  <c r="H74" i="37"/>
  <c r="H144" i="37" s="1"/>
  <c r="G74" i="37"/>
  <c r="G144" i="37" s="1"/>
  <c r="F74" i="37"/>
  <c r="F144" i="37" s="1"/>
  <c r="I72" i="37"/>
  <c r="K72" i="37" s="1"/>
  <c r="I71" i="37"/>
  <c r="K71" i="37" s="1"/>
  <c r="I70" i="37"/>
  <c r="K70" i="37" s="1"/>
  <c r="I69" i="37"/>
  <c r="K69" i="37" s="1"/>
  <c r="I68" i="37"/>
  <c r="I74" i="37" s="1"/>
  <c r="I144" i="37" s="1"/>
  <c r="J64" i="37"/>
  <c r="J143" i="37" s="1"/>
  <c r="H64" i="37"/>
  <c r="F64" i="37"/>
  <c r="F143" i="37" s="1"/>
  <c r="I62" i="37"/>
  <c r="K62" i="37" s="1"/>
  <c r="I61" i="37"/>
  <c r="K61" i="37" s="1"/>
  <c r="I60" i="37"/>
  <c r="K60" i="37" s="1"/>
  <c r="I59" i="37"/>
  <c r="K59" i="37" s="1"/>
  <c r="I58" i="37"/>
  <c r="K58" i="37" s="1"/>
  <c r="I57" i="37"/>
  <c r="K57" i="37" s="1"/>
  <c r="I56" i="37"/>
  <c r="K56" i="37" s="1"/>
  <c r="G56" i="37"/>
  <c r="K55" i="37"/>
  <c r="I55" i="37"/>
  <c r="I54" i="37"/>
  <c r="K54" i="37" s="1"/>
  <c r="G54" i="37"/>
  <c r="I53" i="37"/>
  <c r="I64" i="37" s="1"/>
  <c r="I143" i="37" s="1"/>
  <c r="G53" i="37"/>
  <c r="G64" i="37" s="1"/>
  <c r="G143" i="37" s="1"/>
  <c r="J49" i="37"/>
  <c r="H49" i="37"/>
  <c r="H142" i="37" s="1"/>
  <c r="G49" i="37"/>
  <c r="G142" i="37" s="1"/>
  <c r="F49" i="37"/>
  <c r="I47" i="37"/>
  <c r="K47" i="37" s="1"/>
  <c r="K46" i="37"/>
  <c r="I46" i="37"/>
  <c r="I45" i="37"/>
  <c r="K45" i="37" s="1"/>
  <c r="K44" i="37"/>
  <c r="I44" i="37"/>
  <c r="I43" i="37"/>
  <c r="K43" i="37" s="1"/>
  <c r="K42" i="37"/>
  <c r="I42" i="37"/>
  <c r="I41" i="37"/>
  <c r="K41" i="37" s="1"/>
  <c r="K40" i="37"/>
  <c r="I40" i="37"/>
  <c r="I49" i="37" s="1"/>
  <c r="I142" i="37" s="1"/>
  <c r="J36" i="37"/>
  <c r="J141" i="37" s="1"/>
  <c r="I36" i="37"/>
  <c r="I141" i="37" s="1"/>
  <c r="H36" i="37"/>
  <c r="G36" i="37"/>
  <c r="G141" i="37" s="1"/>
  <c r="G152" i="37" s="1"/>
  <c r="F36" i="37"/>
  <c r="F141" i="37" s="1"/>
  <c r="K34" i="37"/>
  <c r="I34" i="37"/>
  <c r="I33" i="37"/>
  <c r="K33" i="37" s="1"/>
  <c r="K32" i="37"/>
  <c r="I32" i="37"/>
  <c r="I31" i="37"/>
  <c r="K31" i="37" s="1"/>
  <c r="K30" i="37"/>
  <c r="I30" i="37"/>
  <c r="I29" i="37"/>
  <c r="K29" i="37" s="1"/>
  <c r="K28" i="37"/>
  <c r="I28" i="37"/>
  <c r="I27" i="37"/>
  <c r="K27" i="37" s="1"/>
  <c r="K26" i="37"/>
  <c r="I26" i="37"/>
  <c r="I25" i="37"/>
  <c r="K25" i="37" s="1"/>
  <c r="K24" i="37"/>
  <c r="I24" i="37"/>
  <c r="I23" i="37"/>
  <c r="K23" i="37" s="1"/>
  <c r="K22" i="37"/>
  <c r="I22" i="37"/>
  <c r="I21" i="37"/>
  <c r="K21" i="37" s="1"/>
  <c r="K18" i="37"/>
  <c r="K150" i="37" s="1"/>
  <c r="K36" i="37" l="1"/>
  <c r="K141" i="37" s="1"/>
  <c r="I152" i="37"/>
  <c r="F152" i="37"/>
  <c r="J152" i="37"/>
  <c r="K49" i="37"/>
  <c r="K142" i="37" s="1"/>
  <c r="H152" i="37"/>
  <c r="K79" i="37"/>
  <c r="K82" i="37" s="1"/>
  <c r="K145" i="37" s="1"/>
  <c r="K53" i="37"/>
  <c r="K64" i="37" s="1"/>
  <c r="K143" i="37" s="1"/>
  <c r="K68" i="37"/>
  <c r="K74" i="37" s="1"/>
  <c r="K144" i="37" s="1"/>
  <c r="K86" i="37"/>
  <c r="K98" i="37" s="1"/>
  <c r="K146" i="37" s="1"/>
  <c r="K102" i="37"/>
  <c r="K108" i="37" s="1"/>
  <c r="K147" i="37" s="1"/>
  <c r="K152" i="37" l="1"/>
  <c r="F155" i="37" l="1"/>
  <c r="F154" i="37"/>
  <c r="J150" i="29" l="1"/>
  <c r="I150" i="29"/>
  <c r="H150" i="29"/>
  <c r="J149" i="29"/>
  <c r="F149" i="29"/>
  <c r="K148" i="29"/>
  <c r="J147" i="29"/>
  <c r="F147" i="29"/>
  <c r="I145" i="29"/>
  <c r="G144" i="29"/>
  <c r="I143" i="29"/>
  <c r="G142" i="29"/>
  <c r="J137" i="29"/>
  <c r="I137" i="29"/>
  <c r="I149" i="29" s="1"/>
  <c r="H137" i="29"/>
  <c r="H149" i="29" s="1"/>
  <c r="G137" i="29"/>
  <c r="G149" i="29" s="1"/>
  <c r="F137" i="29"/>
  <c r="K135" i="29"/>
  <c r="K134" i="29"/>
  <c r="K133" i="29"/>
  <c r="K137" i="29" s="1"/>
  <c r="K149" i="29" s="1"/>
  <c r="K132" i="29"/>
  <c r="K131" i="29"/>
  <c r="F119" i="29"/>
  <c r="J108" i="29"/>
  <c r="H108" i="29"/>
  <c r="H147" i="29" s="1"/>
  <c r="G108" i="29"/>
  <c r="G147" i="29" s="1"/>
  <c r="F108" i="29"/>
  <c r="I106" i="29"/>
  <c r="K106" i="29" s="1"/>
  <c r="K105" i="29"/>
  <c r="I105" i="29"/>
  <c r="I104" i="29"/>
  <c r="K104" i="29" s="1"/>
  <c r="K103" i="29"/>
  <c r="I103" i="29"/>
  <c r="I102" i="29"/>
  <c r="I108" i="29" s="1"/>
  <c r="I147" i="29" s="1"/>
  <c r="J98" i="29"/>
  <c r="J146" i="29" s="1"/>
  <c r="H98" i="29"/>
  <c r="H146" i="29" s="1"/>
  <c r="G98" i="29"/>
  <c r="G146" i="29" s="1"/>
  <c r="F98" i="29"/>
  <c r="F146" i="29" s="1"/>
  <c r="I96" i="29"/>
  <c r="K96" i="29" s="1"/>
  <c r="K95" i="29"/>
  <c r="I95" i="29"/>
  <c r="I94" i="29"/>
  <c r="K94" i="29" s="1"/>
  <c r="K93" i="29"/>
  <c r="I93" i="29"/>
  <c r="I92" i="29"/>
  <c r="K92" i="29" s="1"/>
  <c r="K91" i="29"/>
  <c r="I91" i="29"/>
  <c r="I90" i="29"/>
  <c r="K90" i="29" s="1"/>
  <c r="K89" i="29"/>
  <c r="I89" i="29"/>
  <c r="I88" i="29"/>
  <c r="K88" i="29" s="1"/>
  <c r="K87" i="29"/>
  <c r="I87" i="29"/>
  <c r="I86" i="29"/>
  <c r="I98" i="29" s="1"/>
  <c r="I146" i="29" s="1"/>
  <c r="J82" i="29"/>
  <c r="J145" i="29" s="1"/>
  <c r="I82" i="29"/>
  <c r="H82" i="29"/>
  <c r="H145" i="29" s="1"/>
  <c r="G82" i="29"/>
  <c r="G145" i="29" s="1"/>
  <c r="F82" i="29"/>
  <c r="F145" i="29" s="1"/>
  <c r="K80" i="29"/>
  <c r="K79" i="29"/>
  <c r="K78" i="29"/>
  <c r="K82" i="29" s="1"/>
  <c r="K145" i="29" s="1"/>
  <c r="K77" i="29"/>
  <c r="J74" i="29"/>
  <c r="J144" i="29" s="1"/>
  <c r="I74" i="29"/>
  <c r="I144" i="29" s="1"/>
  <c r="H74" i="29"/>
  <c r="H144" i="29" s="1"/>
  <c r="G74" i="29"/>
  <c r="F74" i="29"/>
  <c r="F144" i="29" s="1"/>
  <c r="K72" i="29"/>
  <c r="K71" i="29"/>
  <c r="K70" i="29"/>
  <c r="K69" i="29"/>
  <c r="K68" i="29"/>
  <c r="K74" i="29" s="1"/>
  <c r="K144" i="29" s="1"/>
  <c r="J64" i="29"/>
  <c r="J143" i="29" s="1"/>
  <c r="I64" i="29"/>
  <c r="H64" i="29"/>
  <c r="H143" i="29" s="1"/>
  <c r="G64" i="29"/>
  <c r="G143" i="29" s="1"/>
  <c r="F64" i="29"/>
  <c r="F143" i="29" s="1"/>
  <c r="K62" i="29"/>
  <c r="K61" i="29"/>
  <c r="K60" i="29"/>
  <c r="K59" i="29"/>
  <c r="K58" i="29"/>
  <c r="K57" i="29"/>
  <c r="K56" i="29"/>
  <c r="K55" i="29"/>
  <c r="K54" i="29"/>
  <c r="K53" i="29"/>
  <c r="K64" i="29" s="1"/>
  <c r="K143" i="29" s="1"/>
  <c r="J49" i="29"/>
  <c r="J142" i="29" s="1"/>
  <c r="I49" i="29"/>
  <c r="I142" i="29" s="1"/>
  <c r="H49" i="29"/>
  <c r="H142" i="29" s="1"/>
  <c r="G49" i="29"/>
  <c r="F49" i="29"/>
  <c r="F142" i="29" s="1"/>
  <c r="K47" i="29"/>
  <c r="K46" i="29"/>
  <c r="K45" i="29"/>
  <c r="K44" i="29"/>
  <c r="K43" i="29"/>
  <c r="K42" i="29"/>
  <c r="K41" i="29"/>
  <c r="K40" i="29"/>
  <c r="K49" i="29" s="1"/>
  <c r="K142" i="29" s="1"/>
  <c r="J36" i="29"/>
  <c r="J141" i="29" s="1"/>
  <c r="J152" i="29" s="1"/>
  <c r="H36" i="29"/>
  <c r="H141" i="29" s="1"/>
  <c r="G36" i="29"/>
  <c r="G141" i="29" s="1"/>
  <c r="F36" i="29"/>
  <c r="F141" i="29" s="1"/>
  <c r="I34" i="29"/>
  <c r="K34" i="29" s="1"/>
  <c r="I33" i="29"/>
  <c r="K33" i="29" s="1"/>
  <c r="I32" i="29"/>
  <c r="K32" i="29" s="1"/>
  <c r="I31" i="29"/>
  <c r="K31" i="29" s="1"/>
  <c r="I30" i="29"/>
  <c r="K30" i="29" s="1"/>
  <c r="I29" i="29"/>
  <c r="K29" i="29" s="1"/>
  <c r="I28" i="29"/>
  <c r="K28" i="29" s="1"/>
  <c r="I27" i="29"/>
  <c r="K27" i="29" s="1"/>
  <c r="I26" i="29"/>
  <c r="K26" i="29" s="1"/>
  <c r="I25" i="29"/>
  <c r="K25" i="29" s="1"/>
  <c r="I24" i="29"/>
  <c r="K24" i="29" s="1"/>
  <c r="I23" i="29"/>
  <c r="K23" i="29" s="1"/>
  <c r="I22" i="29"/>
  <c r="K22" i="29" s="1"/>
  <c r="I21" i="29"/>
  <c r="I36" i="29" s="1"/>
  <c r="I141" i="29" s="1"/>
  <c r="K18" i="29"/>
  <c r="K150" i="29" s="1"/>
  <c r="G152" i="29" l="1"/>
  <c r="F152" i="29"/>
  <c r="I152" i="29"/>
  <c r="H152" i="29"/>
  <c r="K86" i="29"/>
  <c r="K98" i="29" s="1"/>
  <c r="K146" i="29" s="1"/>
  <c r="K102" i="29"/>
  <c r="K108" i="29" s="1"/>
  <c r="K147" i="29" s="1"/>
  <c r="K21" i="29"/>
  <c r="K36" i="29" s="1"/>
  <c r="K141" i="29" s="1"/>
  <c r="K152" i="29" l="1"/>
  <c r="F155" i="29" l="1"/>
  <c r="F154" i="29"/>
  <c r="K150" i="28" l="1"/>
  <c r="J150" i="28"/>
  <c r="I150" i="28"/>
  <c r="H150" i="28"/>
  <c r="J149" i="28"/>
  <c r="F149" i="28"/>
  <c r="K148" i="28"/>
  <c r="J147" i="28"/>
  <c r="F147" i="28"/>
  <c r="G144" i="28"/>
  <c r="J143" i="28"/>
  <c r="I143" i="28"/>
  <c r="F143" i="28"/>
  <c r="H142" i="28"/>
  <c r="G142" i="28"/>
  <c r="J141" i="28"/>
  <c r="J137" i="28"/>
  <c r="I137" i="28"/>
  <c r="I149" i="28" s="1"/>
  <c r="H137" i="28"/>
  <c r="H149" i="28" s="1"/>
  <c r="G137" i="28"/>
  <c r="G149" i="28" s="1"/>
  <c r="F137" i="28"/>
  <c r="K135" i="28"/>
  <c r="K134" i="28"/>
  <c r="K133" i="28"/>
  <c r="K137" i="28" s="1"/>
  <c r="K149" i="28" s="1"/>
  <c r="K132" i="28"/>
  <c r="K131" i="28"/>
  <c r="F123" i="28"/>
  <c r="F127" i="28" s="1"/>
  <c r="F121" i="28"/>
  <c r="F117" i="28"/>
  <c r="F119" i="28" s="1"/>
  <c r="J108" i="28"/>
  <c r="H108" i="28"/>
  <c r="H147" i="28" s="1"/>
  <c r="G108" i="28"/>
  <c r="G147" i="28" s="1"/>
  <c r="F108" i="28"/>
  <c r="I106" i="28"/>
  <c r="K106" i="28" s="1"/>
  <c r="K105" i="28"/>
  <c r="I105" i="28"/>
  <c r="I104" i="28"/>
  <c r="K104" i="28" s="1"/>
  <c r="K103" i="28"/>
  <c r="I103" i="28"/>
  <c r="I102" i="28"/>
  <c r="I108" i="28" s="1"/>
  <c r="I147" i="28" s="1"/>
  <c r="J98" i="28"/>
  <c r="J146" i="28" s="1"/>
  <c r="H98" i="28"/>
  <c r="H146" i="28" s="1"/>
  <c r="G98" i="28"/>
  <c r="G146" i="28" s="1"/>
  <c r="I96" i="28"/>
  <c r="K96" i="28" s="1"/>
  <c r="K95" i="28"/>
  <c r="I95" i="28"/>
  <c r="I94" i="28"/>
  <c r="K94" i="28" s="1"/>
  <c r="H93" i="28"/>
  <c r="I93" i="28" s="1"/>
  <c r="K93" i="28" s="1"/>
  <c r="F93" i="28"/>
  <c r="F98" i="28" s="1"/>
  <c r="F146" i="28" s="1"/>
  <c r="K92" i="28"/>
  <c r="I92" i="28"/>
  <c r="I91" i="28"/>
  <c r="K91" i="28" s="1"/>
  <c r="K90" i="28"/>
  <c r="I90" i="28"/>
  <c r="I89" i="28"/>
  <c r="K89" i="28" s="1"/>
  <c r="K88" i="28"/>
  <c r="I88" i="28"/>
  <c r="I87" i="28"/>
  <c r="K86" i="28"/>
  <c r="I86" i="28"/>
  <c r="J82" i="28"/>
  <c r="J145" i="28" s="1"/>
  <c r="I82" i="28"/>
  <c r="I145" i="28" s="1"/>
  <c r="H82" i="28"/>
  <c r="H145" i="28" s="1"/>
  <c r="G82" i="28"/>
  <c r="G145" i="28" s="1"/>
  <c r="F82" i="28"/>
  <c r="F145" i="28" s="1"/>
  <c r="K80" i="28"/>
  <c r="I79" i="28"/>
  <c r="K79" i="28" s="1"/>
  <c r="K78" i="28"/>
  <c r="K77" i="28"/>
  <c r="J74" i="28"/>
  <c r="J144" i="28" s="1"/>
  <c r="I74" i="28"/>
  <c r="I144" i="28" s="1"/>
  <c r="H74" i="28"/>
  <c r="H144" i="28" s="1"/>
  <c r="G74" i="28"/>
  <c r="F74" i="28"/>
  <c r="F144" i="28" s="1"/>
  <c r="K72" i="28"/>
  <c r="K71" i="28"/>
  <c r="K70" i="28"/>
  <c r="K69" i="28"/>
  <c r="K68" i="28"/>
  <c r="J64" i="28"/>
  <c r="H64" i="28"/>
  <c r="H143" i="28" s="1"/>
  <c r="G64" i="28"/>
  <c r="G143" i="28" s="1"/>
  <c r="F64" i="28"/>
  <c r="I62" i="28"/>
  <c r="K62" i="28" s="1"/>
  <c r="K61" i="28"/>
  <c r="I61" i="28"/>
  <c r="I60" i="28"/>
  <c r="K60" i="28" s="1"/>
  <c r="K59" i="28"/>
  <c r="I59" i="28"/>
  <c r="I58" i="28"/>
  <c r="K58" i="28" s="1"/>
  <c r="K57" i="28"/>
  <c r="I57" i="28"/>
  <c r="I56" i="28"/>
  <c r="K56" i="28" s="1"/>
  <c r="K55" i="28"/>
  <c r="I55" i="28"/>
  <c r="I54" i="28"/>
  <c r="I64" i="28" s="1"/>
  <c r="K53" i="28"/>
  <c r="I53" i="28"/>
  <c r="J49" i="28"/>
  <c r="J142" i="28" s="1"/>
  <c r="I49" i="28"/>
  <c r="I142" i="28" s="1"/>
  <c r="H49" i="28"/>
  <c r="G49" i="28"/>
  <c r="F49" i="28"/>
  <c r="F142" i="28" s="1"/>
  <c r="K47" i="28"/>
  <c r="I47" i="28"/>
  <c r="I46" i="28"/>
  <c r="K46" i="28" s="1"/>
  <c r="K45" i="28"/>
  <c r="I45" i="28"/>
  <c r="I44" i="28"/>
  <c r="K44" i="28" s="1"/>
  <c r="K43" i="28"/>
  <c r="I43" i="28"/>
  <c r="I42" i="28"/>
  <c r="K42" i="28" s="1"/>
  <c r="K41" i="28"/>
  <c r="I41" i="28"/>
  <c r="I40" i="28"/>
  <c r="K40" i="28" s="1"/>
  <c r="K49" i="28" s="1"/>
  <c r="K142" i="28" s="1"/>
  <c r="J36" i="28"/>
  <c r="G36" i="28"/>
  <c r="G141" i="28" s="1"/>
  <c r="I34" i="28"/>
  <c r="K34" i="28" s="1"/>
  <c r="K33" i="28"/>
  <c r="I33" i="28"/>
  <c r="I32" i="28"/>
  <c r="K32" i="28" s="1"/>
  <c r="K31" i="28"/>
  <c r="I31" i="28"/>
  <c r="I30" i="28"/>
  <c r="K30" i="28" s="1"/>
  <c r="H29" i="28"/>
  <c r="I29" i="28" s="1"/>
  <c r="K29" i="28" s="1"/>
  <c r="I28" i="28"/>
  <c r="K28" i="28" s="1"/>
  <c r="I27" i="28"/>
  <c r="K27" i="28" s="1"/>
  <c r="I26" i="28"/>
  <c r="K26" i="28" s="1"/>
  <c r="I25" i="28"/>
  <c r="K25" i="28" s="1"/>
  <c r="I24" i="28"/>
  <c r="K24" i="28" s="1"/>
  <c r="I23" i="28"/>
  <c r="K23" i="28" s="1"/>
  <c r="I22" i="28"/>
  <c r="K22" i="28" s="1"/>
  <c r="H21" i="28"/>
  <c r="G21" i="28"/>
  <c r="F21" i="28"/>
  <c r="F36" i="28" s="1"/>
  <c r="F141" i="28" s="1"/>
  <c r="K18" i="28"/>
  <c r="G152" i="28" l="1"/>
  <c r="K74" i="28"/>
  <c r="K144" i="28" s="1"/>
  <c r="J152" i="28"/>
  <c r="F152" i="28"/>
  <c r="I98" i="28"/>
  <c r="I146" i="28" s="1"/>
  <c r="K82" i="28"/>
  <c r="K145" i="28" s="1"/>
  <c r="H36" i="28"/>
  <c r="H141" i="28" s="1"/>
  <c r="H152" i="28" s="1"/>
  <c r="I21" i="28"/>
  <c r="I36" i="28" s="1"/>
  <c r="I141" i="28" s="1"/>
  <c r="K54" i="28"/>
  <c r="K64" i="28" s="1"/>
  <c r="K143" i="28" s="1"/>
  <c r="K87" i="28"/>
  <c r="K98" i="28" s="1"/>
  <c r="K146" i="28" s="1"/>
  <c r="K102" i="28"/>
  <c r="K108" i="28" s="1"/>
  <c r="K147" i="28" s="1"/>
  <c r="I152" i="28" l="1"/>
  <c r="K21" i="28"/>
  <c r="K36" i="28" s="1"/>
  <c r="K141" i="28" s="1"/>
  <c r="K152" i="28" s="1"/>
  <c r="F155" i="28" l="1"/>
  <c r="F154" i="28"/>
  <c r="J150" i="27" l="1"/>
  <c r="I150" i="27"/>
  <c r="H150" i="27"/>
  <c r="I149" i="27"/>
  <c r="K148" i="27"/>
  <c r="H147" i="27"/>
  <c r="I145" i="27"/>
  <c r="H145" i="27"/>
  <c r="J144" i="27"/>
  <c r="G144" i="27"/>
  <c r="F144" i="27"/>
  <c r="H143" i="27"/>
  <c r="H141" i="27"/>
  <c r="J137" i="27"/>
  <c r="J149" i="27" s="1"/>
  <c r="I137" i="27"/>
  <c r="H137" i="27"/>
  <c r="H149" i="27" s="1"/>
  <c r="G137" i="27"/>
  <c r="G149" i="27" s="1"/>
  <c r="F137" i="27"/>
  <c r="F149" i="27" s="1"/>
  <c r="K135" i="27"/>
  <c r="K134" i="27"/>
  <c r="K133" i="27"/>
  <c r="K132" i="27"/>
  <c r="K137" i="27" s="1"/>
  <c r="K149" i="27" s="1"/>
  <c r="K131" i="27"/>
  <c r="F119" i="27"/>
  <c r="J108" i="27"/>
  <c r="J147" i="27" s="1"/>
  <c r="H108" i="27"/>
  <c r="G108" i="27"/>
  <c r="G147" i="27" s="1"/>
  <c r="F108" i="27"/>
  <c r="F147" i="27" s="1"/>
  <c r="K106" i="27"/>
  <c r="I106" i="27"/>
  <c r="I105" i="27"/>
  <c r="K105" i="27" s="1"/>
  <c r="K104" i="27"/>
  <c r="I104" i="27"/>
  <c r="I103" i="27"/>
  <c r="K103" i="27" s="1"/>
  <c r="K102" i="27"/>
  <c r="I102" i="27"/>
  <c r="I108" i="27" s="1"/>
  <c r="I147" i="27" s="1"/>
  <c r="J98" i="27"/>
  <c r="J146" i="27" s="1"/>
  <c r="H98" i="27"/>
  <c r="H146" i="27" s="1"/>
  <c r="G98" i="27"/>
  <c r="G146" i="27" s="1"/>
  <c r="F98" i="27"/>
  <c r="F146" i="27" s="1"/>
  <c r="K96" i="27"/>
  <c r="I96" i="27"/>
  <c r="I95" i="27"/>
  <c r="K95" i="27" s="1"/>
  <c r="K94" i="27"/>
  <c r="I94" i="27"/>
  <c r="I93" i="27"/>
  <c r="K93" i="27" s="1"/>
  <c r="K92" i="27"/>
  <c r="I92" i="27"/>
  <c r="I91" i="27"/>
  <c r="K91" i="27" s="1"/>
  <c r="K90" i="27"/>
  <c r="I90" i="27"/>
  <c r="I89" i="27"/>
  <c r="K89" i="27" s="1"/>
  <c r="K88" i="27"/>
  <c r="I88" i="27"/>
  <c r="I87" i="27"/>
  <c r="K87" i="27" s="1"/>
  <c r="K86" i="27"/>
  <c r="I86" i="27"/>
  <c r="I98" i="27" s="1"/>
  <c r="I146" i="27" s="1"/>
  <c r="J82" i="27"/>
  <c r="J145" i="27" s="1"/>
  <c r="I82" i="27"/>
  <c r="H82" i="27"/>
  <c r="G82" i="27"/>
  <c r="G145" i="27" s="1"/>
  <c r="F82" i="27"/>
  <c r="F145" i="27" s="1"/>
  <c r="K80" i="27"/>
  <c r="K79" i="27"/>
  <c r="K78" i="27"/>
  <c r="K77" i="27"/>
  <c r="K82" i="27" s="1"/>
  <c r="K145" i="27" s="1"/>
  <c r="J74" i="27"/>
  <c r="I74" i="27"/>
  <c r="I144" i="27" s="1"/>
  <c r="H74" i="27"/>
  <c r="H144" i="27" s="1"/>
  <c r="G74" i="27"/>
  <c r="F74" i="27"/>
  <c r="K72" i="27"/>
  <c r="K71" i="27"/>
  <c r="K70" i="27"/>
  <c r="K69" i="27"/>
  <c r="K68" i="27"/>
  <c r="K74" i="27" s="1"/>
  <c r="K144" i="27" s="1"/>
  <c r="J64" i="27"/>
  <c r="J143" i="27" s="1"/>
  <c r="H64" i="27"/>
  <c r="G64" i="27"/>
  <c r="G143" i="27" s="1"/>
  <c r="F64" i="27"/>
  <c r="F143" i="27" s="1"/>
  <c r="K62" i="27"/>
  <c r="K61" i="27"/>
  <c r="K60" i="27"/>
  <c r="K59" i="27"/>
  <c r="I59" i="27"/>
  <c r="I58" i="27"/>
  <c r="K58" i="27" s="1"/>
  <c r="K57" i="27"/>
  <c r="I57" i="27"/>
  <c r="I56" i="27"/>
  <c r="K56" i="27" s="1"/>
  <c r="K55" i="27"/>
  <c r="I55" i="27"/>
  <c r="I54" i="27"/>
  <c r="K54" i="27" s="1"/>
  <c r="K64" i="27" s="1"/>
  <c r="K143" i="27" s="1"/>
  <c r="K53" i="27"/>
  <c r="I53" i="27"/>
  <c r="I64" i="27" s="1"/>
  <c r="I143" i="27" s="1"/>
  <c r="J49" i="27"/>
  <c r="J142" i="27" s="1"/>
  <c r="H49" i="27"/>
  <c r="H142" i="27" s="1"/>
  <c r="G49" i="27"/>
  <c r="G142" i="27" s="1"/>
  <c r="F49" i="27"/>
  <c r="F142" i="27" s="1"/>
  <c r="K47" i="27"/>
  <c r="K46" i="27"/>
  <c r="K45" i="27"/>
  <c r="K44" i="27"/>
  <c r="K43" i="27"/>
  <c r="K42" i="27"/>
  <c r="I41" i="27"/>
  <c r="I49" i="27" s="1"/>
  <c r="I142" i="27" s="1"/>
  <c r="K40" i="27"/>
  <c r="J36" i="27"/>
  <c r="J141" i="27" s="1"/>
  <c r="J152" i="27" s="1"/>
  <c r="I36" i="27"/>
  <c r="I141" i="27" s="1"/>
  <c r="I152" i="27" s="1"/>
  <c r="H36" i="27"/>
  <c r="G36" i="27"/>
  <c r="G141" i="27" s="1"/>
  <c r="F36" i="27"/>
  <c r="F141" i="27" s="1"/>
  <c r="K34" i="27"/>
  <c r="I34" i="27"/>
  <c r="I33" i="27"/>
  <c r="K33" i="27" s="1"/>
  <c r="K32" i="27"/>
  <c r="I32" i="27"/>
  <c r="I31" i="27"/>
  <c r="K31" i="27" s="1"/>
  <c r="K30" i="27"/>
  <c r="I30" i="27"/>
  <c r="I29" i="27"/>
  <c r="K29" i="27" s="1"/>
  <c r="K28" i="27"/>
  <c r="I28" i="27"/>
  <c r="I27" i="27"/>
  <c r="K27" i="27" s="1"/>
  <c r="K26" i="27"/>
  <c r="I26" i="27"/>
  <c r="I25" i="27"/>
  <c r="K25" i="27" s="1"/>
  <c r="K24" i="27"/>
  <c r="I24" i="27"/>
  <c r="I23" i="27"/>
  <c r="K23" i="27" s="1"/>
  <c r="K22" i="27"/>
  <c r="I22" i="27"/>
  <c r="I21" i="27"/>
  <c r="K21" i="27" s="1"/>
  <c r="K36" i="27" s="1"/>
  <c r="K141" i="27" s="1"/>
  <c r="K18" i="27"/>
  <c r="K150" i="27" s="1"/>
  <c r="K98" i="27" l="1"/>
  <c r="K146" i="27" s="1"/>
  <c r="G152" i="27"/>
  <c r="K108" i="27"/>
  <c r="K147" i="27" s="1"/>
  <c r="F152" i="27"/>
  <c r="H152" i="27"/>
  <c r="K41" i="27"/>
  <c r="K49" i="27" s="1"/>
  <c r="K142" i="27" s="1"/>
  <c r="K152" i="27" s="1"/>
  <c r="F155" i="25"/>
  <c r="F154" i="25"/>
  <c r="F155" i="27" l="1"/>
  <c r="F154" i="27"/>
  <c r="K150" i="24" l="1"/>
  <c r="J150" i="24"/>
  <c r="I150" i="24"/>
  <c r="H150" i="24"/>
  <c r="G149" i="24"/>
  <c r="K148" i="24"/>
  <c r="H146" i="24"/>
  <c r="J143" i="24"/>
  <c r="F143" i="24"/>
  <c r="J142" i="24"/>
  <c r="I142" i="24"/>
  <c r="H142" i="24"/>
  <c r="F142" i="24"/>
  <c r="J141" i="24"/>
  <c r="H141" i="24"/>
  <c r="G141" i="24"/>
  <c r="F141" i="24"/>
  <c r="J137" i="24"/>
  <c r="J149" i="24" s="1"/>
  <c r="I137" i="24"/>
  <c r="I149" i="24" s="1"/>
  <c r="H137" i="24"/>
  <c r="H149" i="24" s="1"/>
  <c r="G137" i="24"/>
  <c r="F137" i="24"/>
  <c r="F149" i="24" s="1"/>
  <c r="K135" i="24"/>
  <c r="K134" i="24"/>
  <c r="K133" i="24"/>
  <c r="K132" i="24"/>
  <c r="K131" i="24"/>
  <c r="K137" i="24" s="1"/>
  <c r="K149" i="24" s="1"/>
  <c r="F119" i="24"/>
  <c r="F123" i="24" s="1"/>
  <c r="F127" i="24" s="1"/>
  <c r="J108" i="24"/>
  <c r="J147" i="24" s="1"/>
  <c r="H108" i="24"/>
  <c r="H147" i="24" s="1"/>
  <c r="G108" i="24"/>
  <c r="G147" i="24" s="1"/>
  <c r="F108" i="24"/>
  <c r="F147" i="24" s="1"/>
  <c r="I106" i="24"/>
  <c r="K106" i="24" s="1"/>
  <c r="I105" i="24"/>
  <c r="K105" i="24" s="1"/>
  <c r="I104" i="24"/>
  <c r="K104" i="24" s="1"/>
  <c r="I103" i="24"/>
  <c r="K103" i="24" s="1"/>
  <c r="I102" i="24"/>
  <c r="I108" i="24" s="1"/>
  <c r="I147" i="24" s="1"/>
  <c r="J98" i="24"/>
  <c r="J146" i="24" s="1"/>
  <c r="H98" i="24"/>
  <c r="G98" i="24"/>
  <c r="G146" i="24" s="1"/>
  <c r="F98" i="24"/>
  <c r="F146" i="24" s="1"/>
  <c r="I96" i="24"/>
  <c r="K96" i="24" s="1"/>
  <c r="I95" i="24"/>
  <c r="K95" i="24" s="1"/>
  <c r="I94" i="24"/>
  <c r="K94" i="24" s="1"/>
  <c r="I93" i="24"/>
  <c r="K93" i="24" s="1"/>
  <c r="I92" i="24"/>
  <c r="K92" i="24" s="1"/>
  <c r="I91" i="24"/>
  <c r="K91" i="24" s="1"/>
  <c r="I90" i="24"/>
  <c r="K90" i="24" s="1"/>
  <c r="I89" i="24"/>
  <c r="K89" i="24" s="1"/>
  <c r="I88" i="24"/>
  <c r="K88" i="24" s="1"/>
  <c r="I87" i="24"/>
  <c r="K87" i="24" s="1"/>
  <c r="I86" i="24"/>
  <c r="I98" i="24" s="1"/>
  <c r="I146" i="24" s="1"/>
  <c r="J82" i="24"/>
  <c r="J145" i="24" s="1"/>
  <c r="I82" i="24"/>
  <c r="I145" i="24" s="1"/>
  <c r="H82" i="24"/>
  <c r="H145" i="24" s="1"/>
  <c r="G82" i="24"/>
  <c r="G145" i="24" s="1"/>
  <c r="F82" i="24"/>
  <c r="F145" i="24" s="1"/>
  <c r="K80" i="24"/>
  <c r="K79" i="24"/>
  <c r="K78" i="24"/>
  <c r="K77" i="24"/>
  <c r="K82" i="24" s="1"/>
  <c r="K145" i="24" s="1"/>
  <c r="J74" i="24"/>
  <c r="J144" i="24" s="1"/>
  <c r="I74" i="24"/>
  <c r="I144" i="24" s="1"/>
  <c r="H74" i="24"/>
  <c r="H144" i="24" s="1"/>
  <c r="G74" i="24"/>
  <c r="G144" i="24" s="1"/>
  <c r="F74" i="24"/>
  <c r="F144" i="24" s="1"/>
  <c r="K72" i="24"/>
  <c r="K71" i="24"/>
  <c r="K70" i="24"/>
  <c r="K69" i="24"/>
  <c r="K68" i="24"/>
  <c r="K74" i="24" s="1"/>
  <c r="K144" i="24" s="1"/>
  <c r="J64" i="24"/>
  <c r="I64" i="24"/>
  <c r="I143" i="24" s="1"/>
  <c r="H64" i="24"/>
  <c r="H143" i="24" s="1"/>
  <c r="G64" i="24"/>
  <c r="G143" i="24" s="1"/>
  <c r="F64" i="24"/>
  <c r="K62" i="24"/>
  <c r="K61" i="24"/>
  <c r="K60" i="24"/>
  <c r="K59" i="24"/>
  <c r="K58" i="24"/>
  <c r="K57" i="24"/>
  <c r="K56" i="24"/>
  <c r="K64" i="24" s="1"/>
  <c r="K143" i="24" s="1"/>
  <c r="K55" i="24"/>
  <c r="K54" i="24"/>
  <c r="K53" i="24"/>
  <c r="J49" i="24"/>
  <c r="I49" i="24"/>
  <c r="H49" i="24"/>
  <c r="G49" i="24"/>
  <c r="G142" i="24" s="1"/>
  <c r="F49" i="24"/>
  <c r="K47" i="24"/>
  <c r="K46" i="24"/>
  <c r="K45" i="24"/>
  <c r="K44" i="24"/>
  <c r="K43" i="24"/>
  <c r="K42" i="24"/>
  <c r="K41" i="24"/>
  <c r="K49" i="24" s="1"/>
  <c r="K142" i="24" s="1"/>
  <c r="K40" i="24"/>
  <c r="J36" i="24"/>
  <c r="H36" i="24"/>
  <c r="G36" i="24"/>
  <c r="F36" i="24"/>
  <c r="K34" i="24"/>
  <c r="I34" i="24"/>
  <c r="I33" i="24"/>
  <c r="K33" i="24" s="1"/>
  <c r="K32" i="24"/>
  <c r="I32" i="24"/>
  <c r="I31" i="24"/>
  <c r="K31" i="24" s="1"/>
  <c r="K30" i="24"/>
  <c r="I30" i="24"/>
  <c r="K29" i="24"/>
  <c r="I28" i="24"/>
  <c r="K28" i="24" s="1"/>
  <c r="I27" i="24"/>
  <c r="K27" i="24" s="1"/>
  <c r="I26" i="24"/>
  <c r="K26" i="24" s="1"/>
  <c r="I25" i="24"/>
  <c r="K25" i="24" s="1"/>
  <c r="I24" i="24"/>
  <c r="K24" i="24" s="1"/>
  <c r="I23" i="24"/>
  <c r="K23" i="24" s="1"/>
  <c r="I22" i="24"/>
  <c r="K22" i="24" s="1"/>
  <c r="I21" i="24"/>
  <c r="K21" i="24" s="1"/>
  <c r="K18" i="24"/>
  <c r="F152" i="24" l="1"/>
  <c r="K36" i="24"/>
  <c r="K141" i="24" s="1"/>
  <c r="G152" i="24"/>
  <c r="H152" i="24"/>
  <c r="J152" i="24"/>
  <c r="I36" i="24"/>
  <c r="I141" i="24" s="1"/>
  <c r="I152" i="24" s="1"/>
  <c r="K86" i="24"/>
  <c r="K98" i="24" s="1"/>
  <c r="K146" i="24" s="1"/>
  <c r="K102" i="24"/>
  <c r="K108" i="24" s="1"/>
  <c r="K147" i="24" s="1"/>
  <c r="K152" i="24" l="1"/>
  <c r="F154" i="24" l="1"/>
  <c r="F155" i="24"/>
  <c r="K150" i="23" l="1"/>
  <c r="J150" i="23"/>
  <c r="I150" i="23"/>
  <c r="H150" i="23"/>
  <c r="G149" i="23"/>
  <c r="K148" i="23"/>
  <c r="J147" i="23"/>
  <c r="G147" i="23"/>
  <c r="F147" i="23"/>
  <c r="H146" i="23"/>
  <c r="J145" i="23"/>
  <c r="G145" i="23"/>
  <c r="F145" i="23"/>
  <c r="I144" i="23"/>
  <c r="H144" i="23"/>
  <c r="J143" i="23"/>
  <c r="H143" i="23"/>
  <c r="G143" i="23"/>
  <c r="J137" i="23"/>
  <c r="J149" i="23" s="1"/>
  <c r="I137" i="23"/>
  <c r="I149" i="23" s="1"/>
  <c r="H137" i="23"/>
  <c r="H149" i="23" s="1"/>
  <c r="G137" i="23"/>
  <c r="F137" i="23"/>
  <c r="F149" i="23" s="1"/>
  <c r="K135" i="23"/>
  <c r="K134" i="23"/>
  <c r="K133" i="23"/>
  <c r="K132" i="23"/>
  <c r="K131" i="23"/>
  <c r="K137" i="23" s="1"/>
  <c r="K149" i="23" s="1"/>
  <c r="F119" i="23"/>
  <c r="J108" i="23"/>
  <c r="H108" i="23"/>
  <c r="H147" i="23" s="1"/>
  <c r="G108" i="23"/>
  <c r="F108" i="23"/>
  <c r="I106" i="23"/>
  <c r="I108" i="23" s="1"/>
  <c r="I147" i="23" s="1"/>
  <c r="I105" i="23"/>
  <c r="K105" i="23" s="1"/>
  <c r="K104" i="23"/>
  <c r="K103" i="23"/>
  <c r="K102" i="23"/>
  <c r="J98" i="23"/>
  <c r="J146" i="23" s="1"/>
  <c r="H98" i="23"/>
  <c r="G98" i="23"/>
  <c r="G146" i="23" s="1"/>
  <c r="F98" i="23"/>
  <c r="F146" i="23" s="1"/>
  <c r="K96" i="23"/>
  <c r="I96" i="23"/>
  <c r="I95" i="23"/>
  <c r="K95" i="23" s="1"/>
  <c r="K94" i="23"/>
  <c r="I94" i="23"/>
  <c r="I93" i="23"/>
  <c r="K93" i="23" s="1"/>
  <c r="K92" i="23"/>
  <c r="I92" i="23"/>
  <c r="I91" i="23"/>
  <c r="K91" i="23" s="1"/>
  <c r="K90" i="23"/>
  <c r="I90" i="23"/>
  <c r="I89" i="23"/>
  <c r="K89" i="23" s="1"/>
  <c r="K88" i="23"/>
  <c r="I88" i="23"/>
  <c r="K87" i="23"/>
  <c r="I86" i="23"/>
  <c r="K86" i="23" s="1"/>
  <c r="J82" i="23"/>
  <c r="I82" i="23"/>
  <c r="I145" i="23" s="1"/>
  <c r="H82" i="23"/>
  <c r="H145" i="23" s="1"/>
  <c r="G82" i="23"/>
  <c r="F82" i="23"/>
  <c r="K80" i="23"/>
  <c r="K79" i="23"/>
  <c r="K78" i="23"/>
  <c r="K77" i="23"/>
  <c r="K82" i="23" s="1"/>
  <c r="K145" i="23" s="1"/>
  <c r="J74" i="23"/>
  <c r="J144" i="23" s="1"/>
  <c r="I74" i="23"/>
  <c r="H74" i="23"/>
  <c r="G74" i="23"/>
  <c r="G144" i="23" s="1"/>
  <c r="F74" i="23"/>
  <c r="F144" i="23" s="1"/>
  <c r="K72" i="23"/>
  <c r="K71" i="23"/>
  <c r="K70" i="23"/>
  <c r="K69" i="23"/>
  <c r="K74" i="23" s="1"/>
  <c r="K144" i="23" s="1"/>
  <c r="K68" i="23"/>
  <c r="J64" i="23"/>
  <c r="I64" i="23"/>
  <c r="I143" i="23" s="1"/>
  <c r="H64" i="23"/>
  <c r="G64" i="23"/>
  <c r="K62" i="23"/>
  <c r="K61" i="23"/>
  <c r="K60" i="23"/>
  <c r="F60" i="23"/>
  <c r="F64" i="23" s="1"/>
  <c r="F143" i="23" s="1"/>
  <c r="K59" i="23"/>
  <c r="G59" i="23"/>
  <c r="F59" i="23"/>
  <c r="K58" i="23"/>
  <c r="K57" i="23"/>
  <c r="K56" i="23"/>
  <c r="K55" i="23"/>
  <c r="K54" i="23"/>
  <c r="K53" i="23"/>
  <c r="K64" i="23" s="1"/>
  <c r="K143" i="23" s="1"/>
  <c r="J49" i="23"/>
  <c r="J142" i="23" s="1"/>
  <c r="I49" i="23"/>
  <c r="I142" i="23" s="1"/>
  <c r="H49" i="23"/>
  <c r="H142" i="23" s="1"/>
  <c r="G49" i="23"/>
  <c r="G142" i="23" s="1"/>
  <c r="F49" i="23"/>
  <c r="F142" i="23" s="1"/>
  <c r="K47" i="23"/>
  <c r="K46" i="23"/>
  <c r="K45" i="23"/>
  <c r="K44" i="23"/>
  <c r="K43" i="23"/>
  <c r="K42" i="23"/>
  <c r="K41" i="23"/>
  <c r="K40" i="23"/>
  <c r="K49" i="23" s="1"/>
  <c r="K142" i="23" s="1"/>
  <c r="J36" i="23"/>
  <c r="J141" i="23" s="1"/>
  <c r="J152" i="23" s="1"/>
  <c r="H36" i="23"/>
  <c r="H141" i="23" s="1"/>
  <c r="H152" i="23" s="1"/>
  <c r="G36" i="23"/>
  <c r="G141" i="23" s="1"/>
  <c r="F36" i="23"/>
  <c r="F141" i="23" s="1"/>
  <c r="I34" i="23"/>
  <c r="K34" i="23" s="1"/>
  <c r="I33" i="23"/>
  <c r="K33" i="23" s="1"/>
  <c r="I32" i="23"/>
  <c r="K32" i="23" s="1"/>
  <c r="I31" i="23"/>
  <c r="K31" i="23" s="1"/>
  <c r="K30" i="23"/>
  <c r="K29" i="23"/>
  <c r="I28" i="23"/>
  <c r="K28" i="23" s="1"/>
  <c r="I27" i="23"/>
  <c r="K27" i="23" s="1"/>
  <c r="I26" i="23"/>
  <c r="K26" i="23" s="1"/>
  <c r="I25" i="23"/>
  <c r="K25" i="23" s="1"/>
  <c r="K24" i="23"/>
  <c r="K23" i="23"/>
  <c r="I23" i="23"/>
  <c r="I22" i="23"/>
  <c r="I36" i="23" s="1"/>
  <c r="I141" i="23" s="1"/>
  <c r="K21" i="23"/>
  <c r="K18" i="23"/>
  <c r="I152" i="23" l="1"/>
  <c r="F152" i="23"/>
  <c r="G152" i="23"/>
  <c r="K98" i="23"/>
  <c r="K146" i="23" s="1"/>
  <c r="I98" i="23"/>
  <c r="I146" i="23" s="1"/>
  <c r="K106" i="23"/>
  <c r="K108" i="23" s="1"/>
  <c r="K147" i="23" s="1"/>
  <c r="K22" i="23"/>
  <c r="K36" i="23" s="1"/>
  <c r="K141" i="23" s="1"/>
  <c r="K152" i="23" s="1"/>
  <c r="F154" i="23" l="1"/>
  <c r="F155" i="23"/>
  <c r="I150" i="22" l="1"/>
  <c r="H150" i="22"/>
  <c r="H149" i="22"/>
  <c r="G147" i="22"/>
  <c r="J146" i="22"/>
  <c r="F146" i="22"/>
  <c r="G145" i="22"/>
  <c r="H143" i="22"/>
  <c r="G143" i="22"/>
  <c r="H141" i="22"/>
  <c r="G141" i="22"/>
  <c r="J137" i="22"/>
  <c r="J149" i="22" s="1"/>
  <c r="I137" i="22"/>
  <c r="I149" i="22" s="1"/>
  <c r="H137" i="22"/>
  <c r="G137" i="22"/>
  <c r="G149" i="22" s="1"/>
  <c r="F137" i="22"/>
  <c r="F149" i="22" s="1"/>
  <c r="K135" i="22"/>
  <c r="K134" i="22"/>
  <c r="K133" i="22"/>
  <c r="K132" i="22"/>
  <c r="K131" i="22"/>
  <c r="K137" i="22" s="1"/>
  <c r="K149" i="22" s="1"/>
  <c r="F125" i="22"/>
  <c r="F121" i="22"/>
  <c r="F118" i="22"/>
  <c r="F117" i="22"/>
  <c r="F119" i="22" s="1"/>
  <c r="F123" i="22" s="1"/>
  <c r="F127" i="22" s="1"/>
  <c r="F111" i="22"/>
  <c r="K148" i="22" s="1"/>
  <c r="J108" i="22"/>
  <c r="J147" i="22" s="1"/>
  <c r="H108" i="22"/>
  <c r="H147" i="22" s="1"/>
  <c r="G108" i="22"/>
  <c r="F108" i="22"/>
  <c r="F147" i="22" s="1"/>
  <c r="I106" i="22"/>
  <c r="K106" i="22" s="1"/>
  <c r="I105" i="22"/>
  <c r="K105" i="22" s="1"/>
  <c r="I104" i="22"/>
  <c r="K104" i="22" s="1"/>
  <c r="I103" i="22"/>
  <c r="K103" i="22" s="1"/>
  <c r="I102" i="22"/>
  <c r="I108" i="22" s="1"/>
  <c r="I147" i="22" s="1"/>
  <c r="J98" i="22"/>
  <c r="H98" i="22"/>
  <c r="H146" i="22" s="1"/>
  <c r="G98" i="22"/>
  <c r="G146" i="22" s="1"/>
  <c r="F98" i="22"/>
  <c r="I96" i="22"/>
  <c r="K96" i="22" s="1"/>
  <c r="I95" i="22"/>
  <c r="K95" i="22" s="1"/>
  <c r="I94" i="22"/>
  <c r="K94" i="22" s="1"/>
  <c r="I93" i="22"/>
  <c r="K93" i="22" s="1"/>
  <c r="I92" i="22"/>
  <c r="K92" i="22" s="1"/>
  <c r="I91" i="22"/>
  <c r="K91" i="22" s="1"/>
  <c r="I90" i="22"/>
  <c r="K90" i="22" s="1"/>
  <c r="I89" i="22"/>
  <c r="K89" i="22" s="1"/>
  <c r="I88" i="22"/>
  <c r="K88" i="22" s="1"/>
  <c r="I87" i="22"/>
  <c r="K87" i="22" s="1"/>
  <c r="I86" i="22"/>
  <c r="I98" i="22" s="1"/>
  <c r="I146" i="22" s="1"/>
  <c r="J82" i="22"/>
  <c r="J145" i="22" s="1"/>
  <c r="I82" i="22"/>
  <c r="I145" i="22" s="1"/>
  <c r="H82" i="22"/>
  <c r="H145" i="22" s="1"/>
  <c r="G82" i="22"/>
  <c r="F82" i="22"/>
  <c r="F145" i="22" s="1"/>
  <c r="K80" i="22"/>
  <c r="K79" i="22"/>
  <c r="K78" i="22"/>
  <c r="K77" i="22"/>
  <c r="K82" i="22" s="1"/>
  <c r="K145" i="22" s="1"/>
  <c r="J74" i="22"/>
  <c r="J144" i="22" s="1"/>
  <c r="H74" i="22"/>
  <c r="H144" i="22" s="1"/>
  <c r="G74" i="22"/>
  <c r="G144" i="22" s="1"/>
  <c r="F74" i="22"/>
  <c r="F144" i="22" s="1"/>
  <c r="K72" i="22"/>
  <c r="K71" i="22"/>
  <c r="K70" i="22"/>
  <c r="K69" i="22"/>
  <c r="K74" i="22" s="1"/>
  <c r="K144" i="22" s="1"/>
  <c r="I69" i="22"/>
  <c r="I74" i="22" s="1"/>
  <c r="I144" i="22" s="1"/>
  <c r="K68" i="22"/>
  <c r="J64" i="22"/>
  <c r="J143" i="22" s="1"/>
  <c r="H64" i="22"/>
  <c r="G64" i="22"/>
  <c r="F64" i="22"/>
  <c r="F143" i="22" s="1"/>
  <c r="K62" i="22"/>
  <c r="K61" i="22"/>
  <c r="K60" i="22"/>
  <c r="K59" i="22"/>
  <c r="K58" i="22"/>
  <c r="K57" i="22"/>
  <c r="I56" i="22"/>
  <c r="K56" i="22" s="1"/>
  <c r="K55" i="22"/>
  <c r="I54" i="22"/>
  <c r="K54" i="22" s="1"/>
  <c r="K53" i="22"/>
  <c r="I53" i="22"/>
  <c r="I64" i="22" s="1"/>
  <c r="I143" i="22" s="1"/>
  <c r="J49" i="22"/>
  <c r="J142" i="22" s="1"/>
  <c r="G49" i="22"/>
  <c r="G142" i="22" s="1"/>
  <c r="F49" i="22"/>
  <c r="F142" i="22" s="1"/>
  <c r="K47" i="22"/>
  <c r="K46" i="22"/>
  <c r="K45" i="22"/>
  <c r="K44" i="22"/>
  <c r="K43" i="22"/>
  <c r="J42" i="22"/>
  <c r="H42" i="22"/>
  <c r="F42" i="22"/>
  <c r="H41" i="22"/>
  <c r="F41" i="22"/>
  <c r="H40" i="22"/>
  <c r="H49" i="22" s="1"/>
  <c r="H142" i="22" s="1"/>
  <c r="F40" i="22"/>
  <c r="J36" i="22"/>
  <c r="J141" i="22" s="1"/>
  <c r="H36" i="22"/>
  <c r="G36" i="22"/>
  <c r="F36" i="22"/>
  <c r="F141" i="22" s="1"/>
  <c r="K34" i="22"/>
  <c r="I34" i="22"/>
  <c r="I33" i="22"/>
  <c r="K33" i="22" s="1"/>
  <c r="K32" i="22"/>
  <c r="I32" i="22"/>
  <c r="I31" i="22"/>
  <c r="K31" i="22" s="1"/>
  <c r="K30" i="22"/>
  <c r="I30" i="22"/>
  <c r="I29" i="22"/>
  <c r="K29" i="22" s="1"/>
  <c r="K28" i="22"/>
  <c r="I28" i="22"/>
  <c r="I27" i="22"/>
  <c r="K27" i="22" s="1"/>
  <c r="K26" i="22"/>
  <c r="I26" i="22"/>
  <c r="I25" i="22"/>
  <c r="K25" i="22" s="1"/>
  <c r="K24" i="22"/>
  <c r="K23" i="22"/>
  <c r="I23" i="22"/>
  <c r="I22" i="22"/>
  <c r="K22" i="22" s="1"/>
  <c r="K21" i="22"/>
  <c r="I21" i="22"/>
  <c r="J18" i="22"/>
  <c r="K18" i="22" s="1"/>
  <c r="K150" i="22" s="1"/>
  <c r="H18" i="22"/>
  <c r="K41" i="22" l="1"/>
  <c r="K36" i="22"/>
  <c r="K141" i="22" s="1"/>
  <c r="F152" i="22"/>
  <c r="K64" i="22"/>
  <c r="K143" i="22" s="1"/>
  <c r="G152" i="22"/>
  <c r="H152" i="22"/>
  <c r="I41" i="22"/>
  <c r="K86" i="22"/>
  <c r="K98" i="22" s="1"/>
  <c r="K146" i="22" s="1"/>
  <c r="K102" i="22"/>
  <c r="K108" i="22" s="1"/>
  <c r="K147" i="22" s="1"/>
  <c r="K40" i="22"/>
  <c r="J150" i="22"/>
  <c r="J152" i="22" s="1"/>
  <c r="I36" i="22"/>
  <c r="I141" i="22" s="1"/>
  <c r="I40" i="22"/>
  <c r="I42" i="22"/>
  <c r="K42" i="22" s="1"/>
  <c r="K49" i="22" l="1"/>
  <c r="K142" i="22" s="1"/>
  <c r="K152" i="22" s="1"/>
  <c r="I49" i="22"/>
  <c r="I142" i="22" s="1"/>
  <c r="I152" i="22" s="1"/>
  <c r="F155" i="22" l="1"/>
  <c r="F154" i="22"/>
  <c r="J150" i="21" l="1"/>
  <c r="I150" i="21"/>
  <c r="H150" i="21"/>
  <c r="I149" i="21"/>
  <c r="J146" i="21"/>
  <c r="G146" i="21"/>
  <c r="F146" i="21"/>
  <c r="H143" i="21"/>
  <c r="J142" i="21"/>
  <c r="H142" i="21"/>
  <c r="G142" i="21"/>
  <c r="F142" i="21"/>
  <c r="J141" i="21"/>
  <c r="H141" i="21"/>
  <c r="F141" i="21"/>
  <c r="J137" i="21"/>
  <c r="J149" i="21" s="1"/>
  <c r="I137" i="21"/>
  <c r="H137" i="21"/>
  <c r="H149" i="21" s="1"/>
  <c r="G137" i="21"/>
  <c r="G149" i="21" s="1"/>
  <c r="F137" i="21"/>
  <c r="F149" i="21" s="1"/>
  <c r="K135" i="21"/>
  <c r="K134" i="21"/>
  <c r="K133" i="21"/>
  <c r="K132" i="21"/>
  <c r="K137" i="21" s="1"/>
  <c r="K149" i="21" s="1"/>
  <c r="K131" i="21"/>
  <c r="F125" i="21"/>
  <c r="F119" i="21"/>
  <c r="F111" i="21"/>
  <c r="K148" i="21" s="1"/>
  <c r="J108" i="21"/>
  <c r="J147" i="21" s="1"/>
  <c r="H108" i="21"/>
  <c r="H147" i="21" s="1"/>
  <c r="G108" i="21"/>
  <c r="G147" i="21" s="1"/>
  <c r="F108" i="21"/>
  <c r="F147" i="21" s="1"/>
  <c r="I106" i="21"/>
  <c r="K106" i="21" s="1"/>
  <c r="I105" i="21"/>
  <c r="K105" i="21" s="1"/>
  <c r="I104" i="21"/>
  <c r="K104" i="21" s="1"/>
  <c r="I103" i="21"/>
  <c r="K103" i="21" s="1"/>
  <c r="I102" i="21"/>
  <c r="I108" i="21" s="1"/>
  <c r="I147" i="21" s="1"/>
  <c r="J98" i="21"/>
  <c r="H98" i="21"/>
  <c r="H146" i="21" s="1"/>
  <c r="G98" i="21"/>
  <c r="F98" i="21"/>
  <c r="I96" i="21"/>
  <c r="K96" i="21" s="1"/>
  <c r="I95" i="21"/>
  <c r="K95" i="21" s="1"/>
  <c r="I94" i="21"/>
  <c r="K94" i="21" s="1"/>
  <c r="I93" i="21"/>
  <c r="K93" i="21" s="1"/>
  <c r="I92" i="21"/>
  <c r="K92" i="21" s="1"/>
  <c r="I91" i="21"/>
  <c r="K91" i="21" s="1"/>
  <c r="I90" i="21"/>
  <c r="K90" i="21" s="1"/>
  <c r="I89" i="21"/>
  <c r="K89" i="21" s="1"/>
  <c r="I88" i="21"/>
  <c r="K88" i="21" s="1"/>
  <c r="I87" i="21"/>
  <c r="K87" i="21" s="1"/>
  <c r="I86" i="21"/>
  <c r="I98" i="21" s="1"/>
  <c r="I146" i="21" s="1"/>
  <c r="J82" i="21"/>
  <c r="J145" i="21" s="1"/>
  <c r="I82" i="21"/>
  <c r="I145" i="21" s="1"/>
  <c r="H82" i="21"/>
  <c r="H145" i="21" s="1"/>
  <c r="G82" i="21"/>
  <c r="G145" i="21" s="1"/>
  <c r="F82" i="21"/>
  <c r="F145" i="21" s="1"/>
  <c r="K80" i="21"/>
  <c r="K79" i="21"/>
  <c r="K78" i="21"/>
  <c r="K77" i="21"/>
  <c r="K82" i="21" s="1"/>
  <c r="K145" i="21" s="1"/>
  <c r="J74" i="21"/>
  <c r="J144" i="21" s="1"/>
  <c r="I74" i="21"/>
  <c r="I144" i="21" s="1"/>
  <c r="H74" i="21"/>
  <c r="H144" i="21" s="1"/>
  <c r="G74" i="21"/>
  <c r="G144" i="21" s="1"/>
  <c r="F74" i="21"/>
  <c r="F144" i="21" s="1"/>
  <c r="K72" i="21"/>
  <c r="K71" i="21"/>
  <c r="K70" i="21"/>
  <c r="K69" i="21"/>
  <c r="K74" i="21" s="1"/>
  <c r="K144" i="21" s="1"/>
  <c r="K68" i="21"/>
  <c r="J64" i="21"/>
  <c r="J143" i="21" s="1"/>
  <c r="I64" i="21"/>
  <c r="I143" i="21" s="1"/>
  <c r="H64" i="21"/>
  <c r="G64" i="21"/>
  <c r="G143" i="21" s="1"/>
  <c r="F64" i="21"/>
  <c r="F143" i="21" s="1"/>
  <c r="K62" i="21"/>
  <c r="K61" i="21"/>
  <c r="K60" i="21"/>
  <c r="K59" i="21"/>
  <c r="K58" i="21"/>
  <c r="K57" i="21"/>
  <c r="K56" i="21"/>
  <c r="K55" i="21"/>
  <c r="K54" i="21"/>
  <c r="K64" i="21" s="1"/>
  <c r="K143" i="21" s="1"/>
  <c r="K53" i="21"/>
  <c r="J49" i="21"/>
  <c r="I49" i="21"/>
  <c r="I142" i="21" s="1"/>
  <c r="H49" i="21"/>
  <c r="G49" i="21"/>
  <c r="F49" i="21"/>
  <c r="K47" i="21"/>
  <c r="K46" i="21"/>
  <c r="K45" i="21"/>
  <c r="K44" i="21"/>
  <c r="K43" i="21"/>
  <c r="K42" i="21"/>
  <c r="K41" i="21"/>
  <c r="K40" i="21"/>
  <c r="K49" i="21" s="1"/>
  <c r="K142" i="21" s="1"/>
  <c r="J36" i="21"/>
  <c r="H36" i="21"/>
  <c r="G36" i="21"/>
  <c r="G141" i="21" s="1"/>
  <c r="F36" i="21"/>
  <c r="I34" i="21"/>
  <c r="K34" i="21" s="1"/>
  <c r="K33" i="21"/>
  <c r="I33" i="21"/>
  <c r="I32" i="21"/>
  <c r="K32" i="21" s="1"/>
  <c r="K31" i="21"/>
  <c r="I31" i="21"/>
  <c r="I30" i="21"/>
  <c r="K30" i="21" s="1"/>
  <c r="K29" i="21"/>
  <c r="I29" i="21"/>
  <c r="I28" i="21"/>
  <c r="K28" i="21" s="1"/>
  <c r="K27" i="21"/>
  <c r="I27" i="21"/>
  <c r="I26" i="21"/>
  <c r="K26" i="21" s="1"/>
  <c r="K25" i="21"/>
  <c r="I25" i="21"/>
  <c r="I24" i="21"/>
  <c r="K24" i="21" s="1"/>
  <c r="K23" i="21"/>
  <c r="I23" i="21"/>
  <c r="I22" i="21"/>
  <c r="I36" i="21" s="1"/>
  <c r="I141" i="21" s="1"/>
  <c r="K21" i="21"/>
  <c r="I21" i="21"/>
  <c r="K18" i="21"/>
  <c r="K150" i="21" s="1"/>
  <c r="F152" i="21" l="1"/>
  <c r="I152" i="21"/>
  <c r="G152" i="21"/>
  <c r="H152" i="21"/>
  <c r="J152" i="21"/>
  <c r="K86" i="21"/>
  <c r="K98" i="21" s="1"/>
  <c r="K146" i="21" s="1"/>
  <c r="K102" i="21"/>
  <c r="K108" i="21" s="1"/>
  <c r="K147" i="21" s="1"/>
  <c r="K22" i="21"/>
  <c r="K36" i="21" s="1"/>
  <c r="K141" i="21" s="1"/>
  <c r="K152" i="21" s="1"/>
  <c r="F155" i="21" l="1"/>
  <c r="F154" i="21"/>
  <c r="J150" i="20" l="1"/>
  <c r="I150" i="20"/>
  <c r="H150" i="20"/>
  <c r="J149" i="20"/>
  <c r="F149" i="20"/>
  <c r="K148" i="20"/>
  <c r="H146" i="20"/>
  <c r="G146" i="20"/>
  <c r="G144" i="20"/>
  <c r="J143" i="20"/>
  <c r="I143" i="20"/>
  <c r="F143" i="20"/>
  <c r="J137" i="20"/>
  <c r="I137" i="20"/>
  <c r="I149" i="20" s="1"/>
  <c r="H137" i="20"/>
  <c r="H149" i="20" s="1"/>
  <c r="G137" i="20"/>
  <c r="G149" i="20" s="1"/>
  <c r="F137" i="20"/>
  <c r="K135" i="20"/>
  <c r="K134" i="20"/>
  <c r="K133" i="20"/>
  <c r="K137" i="20" s="1"/>
  <c r="K149" i="20" s="1"/>
  <c r="K132" i="20"/>
  <c r="K131" i="20"/>
  <c r="F123" i="20"/>
  <c r="F127" i="20" s="1"/>
  <c r="F119" i="20"/>
  <c r="J108" i="20"/>
  <c r="J147" i="20" s="1"/>
  <c r="I108" i="20"/>
  <c r="I147" i="20" s="1"/>
  <c r="H108" i="20"/>
  <c r="H147" i="20" s="1"/>
  <c r="G108" i="20"/>
  <c r="G147" i="20" s="1"/>
  <c r="F108" i="20"/>
  <c r="F147" i="20" s="1"/>
  <c r="K106" i="20"/>
  <c r="I106" i="20"/>
  <c r="I105" i="20"/>
  <c r="K105" i="20" s="1"/>
  <c r="K104" i="20"/>
  <c r="I104" i="20"/>
  <c r="I103" i="20"/>
  <c r="K103" i="20" s="1"/>
  <c r="K102" i="20"/>
  <c r="I102" i="20"/>
  <c r="J98" i="20"/>
  <c r="J146" i="20" s="1"/>
  <c r="I98" i="20"/>
  <c r="I146" i="20" s="1"/>
  <c r="H98" i="20"/>
  <c r="G98" i="20"/>
  <c r="F98" i="20"/>
  <c r="F146" i="20" s="1"/>
  <c r="K96" i="20"/>
  <c r="I96" i="20"/>
  <c r="I95" i="20"/>
  <c r="K95" i="20" s="1"/>
  <c r="K94" i="20"/>
  <c r="I94" i="20"/>
  <c r="I93" i="20"/>
  <c r="K93" i="20" s="1"/>
  <c r="K92" i="20"/>
  <c r="I92" i="20"/>
  <c r="I91" i="20"/>
  <c r="K91" i="20" s="1"/>
  <c r="K90" i="20"/>
  <c r="I90" i="20"/>
  <c r="I89" i="20"/>
  <c r="K89" i="20" s="1"/>
  <c r="K88" i="20"/>
  <c r="I88" i="20"/>
  <c r="I87" i="20"/>
  <c r="K87" i="20" s="1"/>
  <c r="K86" i="20"/>
  <c r="I86" i="20"/>
  <c r="J82" i="20"/>
  <c r="J145" i="20" s="1"/>
  <c r="I82" i="20"/>
  <c r="I145" i="20" s="1"/>
  <c r="G82" i="20"/>
  <c r="G145" i="20" s="1"/>
  <c r="F82" i="20"/>
  <c r="F145" i="20" s="1"/>
  <c r="K80" i="20"/>
  <c r="K79" i="20"/>
  <c r="K78" i="20"/>
  <c r="H77" i="20"/>
  <c r="H82" i="20" s="1"/>
  <c r="H145" i="20" s="1"/>
  <c r="J74" i="20"/>
  <c r="J144" i="20" s="1"/>
  <c r="I74" i="20"/>
  <c r="I144" i="20" s="1"/>
  <c r="H74" i="20"/>
  <c r="H144" i="20" s="1"/>
  <c r="G74" i="20"/>
  <c r="F74" i="20"/>
  <c r="F144" i="20" s="1"/>
  <c r="K72" i="20"/>
  <c r="K71" i="20"/>
  <c r="K70" i="20"/>
  <c r="K69" i="20"/>
  <c r="K68" i="20"/>
  <c r="K74" i="20" s="1"/>
  <c r="K144" i="20" s="1"/>
  <c r="J64" i="20"/>
  <c r="I64" i="20"/>
  <c r="H64" i="20"/>
  <c r="H143" i="20" s="1"/>
  <c r="G64" i="20"/>
  <c r="G143" i="20" s="1"/>
  <c r="F64" i="20"/>
  <c r="K62" i="20"/>
  <c r="K61" i="20"/>
  <c r="K60" i="20"/>
  <c r="K59" i="20"/>
  <c r="K58" i="20"/>
  <c r="K57" i="20"/>
  <c r="K56" i="20"/>
  <c r="K64" i="20" s="1"/>
  <c r="K143" i="20" s="1"/>
  <c r="K55" i="20"/>
  <c r="K54" i="20"/>
  <c r="K53" i="20"/>
  <c r="J49" i="20"/>
  <c r="J142" i="20" s="1"/>
  <c r="I49" i="20"/>
  <c r="I142" i="20" s="1"/>
  <c r="H49" i="20"/>
  <c r="H142" i="20" s="1"/>
  <c r="G49" i="20"/>
  <c r="G142" i="20" s="1"/>
  <c r="F49" i="20"/>
  <c r="F142" i="20" s="1"/>
  <c r="K47" i="20"/>
  <c r="K46" i="20"/>
  <c r="K45" i="20"/>
  <c r="K44" i="20"/>
  <c r="K43" i="20"/>
  <c r="K42" i="20"/>
  <c r="K41" i="20"/>
  <c r="K49" i="20" s="1"/>
  <c r="K142" i="20" s="1"/>
  <c r="K40" i="20"/>
  <c r="J36" i="20"/>
  <c r="J141" i="20" s="1"/>
  <c r="J152" i="20" s="1"/>
  <c r="G36" i="20"/>
  <c r="G141" i="20" s="1"/>
  <c r="G152" i="20" s="1"/>
  <c r="F36" i="20"/>
  <c r="F141" i="20" s="1"/>
  <c r="K34" i="20"/>
  <c r="I34" i="20"/>
  <c r="I33" i="20"/>
  <c r="K33" i="20" s="1"/>
  <c r="K32" i="20"/>
  <c r="I32" i="20"/>
  <c r="I31" i="20"/>
  <c r="K31" i="20" s="1"/>
  <c r="K30" i="20"/>
  <c r="I29" i="20"/>
  <c r="K29" i="20" s="1"/>
  <c r="I28" i="20"/>
  <c r="K28" i="20" s="1"/>
  <c r="I27" i="20"/>
  <c r="K27" i="20" s="1"/>
  <c r="I26" i="20"/>
  <c r="K26" i="20" s="1"/>
  <c r="I25" i="20"/>
  <c r="K25" i="20" s="1"/>
  <c r="H24" i="20"/>
  <c r="H36" i="20" s="1"/>
  <c r="H141" i="20" s="1"/>
  <c r="F24" i="20"/>
  <c r="I23" i="20"/>
  <c r="K23" i="20" s="1"/>
  <c r="K22" i="20"/>
  <c r="I22" i="20"/>
  <c r="I21" i="20"/>
  <c r="K21" i="20" s="1"/>
  <c r="K18" i="20"/>
  <c r="K150" i="20" s="1"/>
  <c r="F152" i="20" l="1"/>
  <c r="K108" i="20"/>
  <c r="K147" i="20" s="1"/>
  <c r="K98" i="20"/>
  <c r="K146" i="20" s="1"/>
  <c r="H152" i="20"/>
  <c r="I36" i="20"/>
  <c r="I141" i="20" s="1"/>
  <c r="I152" i="20" s="1"/>
  <c r="K24" i="20"/>
  <c r="K36" i="20" s="1"/>
  <c r="K141" i="20" s="1"/>
  <c r="K152" i="20" s="1"/>
  <c r="K77" i="20"/>
  <c r="K82" i="20" s="1"/>
  <c r="K145" i="20" s="1"/>
  <c r="F154" i="20" l="1"/>
  <c r="F155" i="20"/>
  <c r="J150" i="19" l="1"/>
  <c r="I150" i="19"/>
  <c r="H150" i="19"/>
  <c r="H149" i="19"/>
  <c r="K148" i="19"/>
  <c r="J146" i="19"/>
  <c r="F146" i="19"/>
  <c r="G143" i="19"/>
  <c r="J142" i="19"/>
  <c r="I142" i="19"/>
  <c r="F142" i="19"/>
  <c r="H141" i="19"/>
  <c r="G141" i="19"/>
  <c r="J137" i="19"/>
  <c r="J149" i="19" s="1"/>
  <c r="I137" i="19"/>
  <c r="I149" i="19" s="1"/>
  <c r="H137" i="19"/>
  <c r="G137" i="19"/>
  <c r="G149" i="19" s="1"/>
  <c r="F137" i="19"/>
  <c r="F149" i="19" s="1"/>
  <c r="K135" i="19"/>
  <c r="K134" i="19"/>
  <c r="K133" i="19"/>
  <c r="K132" i="19"/>
  <c r="K131" i="19"/>
  <c r="K137" i="19" s="1"/>
  <c r="K149" i="19" s="1"/>
  <c r="F119" i="19"/>
  <c r="F123" i="19" s="1"/>
  <c r="F127" i="19" s="1"/>
  <c r="J108" i="19"/>
  <c r="J147" i="19" s="1"/>
  <c r="H108" i="19"/>
  <c r="H147" i="19" s="1"/>
  <c r="G108" i="19"/>
  <c r="G147" i="19" s="1"/>
  <c r="F108" i="19"/>
  <c r="F147" i="19" s="1"/>
  <c r="I106" i="19"/>
  <c r="K106" i="19" s="1"/>
  <c r="K105" i="19"/>
  <c r="I105" i="19"/>
  <c r="I104" i="19"/>
  <c r="K104" i="19" s="1"/>
  <c r="K103" i="19"/>
  <c r="I103" i="19"/>
  <c r="I102" i="19"/>
  <c r="I108" i="19" s="1"/>
  <c r="I147" i="19" s="1"/>
  <c r="J98" i="19"/>
  <c r="H98" i="19"/>
  <c r="H146" i="19" s="1"/>
  <c r="G98" i="19"/>
  <c r="G146" i="19" s="1"/>
  <c r="F98" i="19"/>
  <c r="I96" i="19"/>
  <c r="K96" i="19" s="1"/>
  <c r="K95" i="19"/>
  <c r="I95" i="19"/>
  <c r="I94" i="19"/>
  <c r="K94" i="19" s="1"/>
  <c r="K93" i="19"/>
  <c r="I93" i="19"/>
  <c r="I92" i="19"/>
  <c r="K92" i="19" s="1"/>
  <c r="K91" i="19"/>
  <c r="I91" i="19"/>
  <c r="I90" i="19"/>
  <c r="K90" i="19" s="1"/>
  <c r="K89" i="19"/>
  <c r="I89" i="19"/>
  <c r="I88" i="19"/>
  <c r="K88" i="19" s="1"/>
  <c r="K87" i="19"/>
  <c r="I87" i="19"/>
  <c r="I86" i="19"/>
  <c r="I98" i="19" s="1"/>
  <c r="I146" i="19" s="1"/>
  <c r="J82" i="19"/>
  <c r="J145" i="19" s="1"/>
  <c r="I82" i="19"/>
  <c r="I145" i="19" s="1"/>
  <c r="H82" i="19"/>
  <c r="H145" i="19" s="1"/>
  <c r="G82" i="19"/>
  <c r="G145" i="19" s="1"/>
  <c r="F82" i="19"/>
  <c r="F145" i="19" s="1"/>
  <c r="K80" i="19"/>
  <c r="K79" i="19"/>
  <c r="K78" i="19"/>
  <c r="K82" i="19" s="1"/>
  <c r="K145" i="19" s="1"/>
  <c r="K77" i="19"/>
  <c r="J74" i="19"/>
  <c r="J144" i="19" s="1"/>
  <c r="I74" i="19"/>
  <c r="I144" i="19" s="1"/>
  <c r="H74" i="19"/>
  <c r="H144" i="19" s="1"/>
  <c r="G74" i="19"/>
  <c r="G144" i="19" s="1"/>
  <c r="F74" i="19"/>
  <c r="F144" i="19" s="1"/>
  <c r="K72" i="19"/>
  <c r="K71" i="19"/>
  <c r="K70" i="19"/>
  <c r="K69" i="19"/>
  <c r="K68" i="19"/>
  <c r="K74" i="19" s="1"/>
  <c r="K144" i="19" s="1"/>
  <c r="J64" i="19"/>
  <c r="J143" i="19" s="1"/>
  <c r="H64" i="19"/>
  <c r="H143" i="19" s="1"/>
  <c r="G64" i="19"/>
  <c r="F64" i="19"/>
  <c r="F143" i="19" s="1"/>
  <c r="I62" i="19"/>
  <c r="K62" i="19" s="1"/>
  <c r="I61" i="19"/>
  <c r="K61" i="19" s="1"/>
  <c r="K60" i="19"/>
  <c r="K59" i="19"/>
  <c r="I59" i="19"/>
  <c r="K58" i="19"/>
  <c r="I57" i="19"/>
  <c r="K57" i="19" s="1"/>
  <c r="I56" i="19"/>
  <c r="K56" i="19" s="1"/>
  <c r="I55" i="19"/>
  <c r="K55" i="19" s="1"/>
  <c r="I54" i="19"/>
  <c r="K54" i="19" s="1"/>
  <c r="I53" i="19"/>
  <c r="I64" i="19" s="1"/>
  <c r="I143" i="19" s="1"/>
  <c r="J49" i="19"/>
  <c r="I49" i="19"/>
  <c r="H49" i="19"/>
  <c r="H142" i="19" s="1"/>
  <c r="G49" i="19"/>
  <c r="G142" i="19" s="1"/>
  <c r="F49" i="19"/>
  <c r="K47" i="19"/>
  <c r="K46" i="19"/>
  <c r="K45" i="19"/>
  <c r="K44" i="19"/>
  <c r="K43" i="19"/>
  <c r="K42" i="19"/>
  <c r="K41" i="19"/>
  <c r="K40" i="19"/>
  <c r="K49" i="19" s="1"/>
  <c r="K142" i="19" s="1"/>
  <c r="J36" i="19"/>
  <c r="J141" i="19" s="1"/>
  <c r="H36" i="19"/>
  <c r="G36" i="19"/>
  <c r="F36" i="19"/>
  <c r="F141" i="19" s="1"/>
  <c r="I34" i="19"/>
  <c r="K34" i="19" s="1"/>
  <c r="I33" i="19"/>
  <c r="K33" i="19" s="1"/>
  <c r="I32" i="19"/>
  <c r="K32" i="19" s="1"/>
  <c r="I31" i="19"/>
  <c r="K31" i="19" s="1"/>
  <c r="I30" i="19"/>
  <c r="K30" i="19" s="1"/>
  <c r="I29" i="19"/>
  <c r="K29" i="19" s="1"/>
  <c r="I28" i="19"/>
  <c r="K28" i="19" s="1"/>
  <c r="I27" i="19"/>
  <c r="K27" i="19" s="1"/>
  <c r="I26" i="19"/>
  <c r="K26" i="19" s="1"/>
  <c r="I25" i="19"/>
  <c r="K25" i="19" s="1"/>
  <c r="I24" i="19"/>
  <c r="K24" i="19" s="1"/>
  <c r="I23" i="19"/>
  <c r="K23" i="19" s="1"/>
  <c r="I22" i="19"/>
  <c r="K22" i="19" s="1"/>
  <c r="I21" i="19"/>
  <c r="I36" i="19" s="1"/>
  <c r="I141" i="19" s="1"/>
  <c r="I152" i="19" s="1"/>
  <c r="K18" i="19"/>
  <c r="K150" i="19" s="1"/>
  <c r="J152" i="19" l="1"/>
  <c r="F152" i="19"/>
  <c r="H152" i="19"/>
  <c r="G152" i="19"/>
  <c r="K53" i="19"/>
  <c r="K64" i="19" s="1"/>
  <c r="K143" i="19" s="1"/>
  <c r="K86" i="19"/>
  <c r="K98" i="19" s="1"/>
  <c r="K146" i="19" s="1"/>
  <c r="K102" i="19"/>
  <c r="K108" i="19" s="1"/>
  <c r="K147" i="19" s="1"/>
  <c r="K21" i="19"/>
  <c r="K36" i="19" s="1"/>
  <c r="K141" i="19" s="1"/>
  <c r="K152" i="19" l="1"/>
  <c r="F155" i="19" l="1"/>
  <c r="F154" i="19"/>
  <c r="J150" i="18" l="1"/>
  <c r="I150" i="18"/>
  <c r="H150" i="18"/>
  <c r="H149" i="18"/>
  <c r="K148" i="18"/>
  <c r="H147" i="18"/>
  <c r="G147" i="18"/>
  <c r="H145" i="18"/>
  <c r="G145" i="18"/>
  <c r="J144" i="18"/>
  <c r="I144" i="18"/>
  <c r="F144" i="18"/>
  <c r="I143" i="18"/>
  <c r="H143" i="18"/>
  <c r="G143" i="18"/>
  <c r="I142" i="18"/>
  <c r="G141" i="18"/>
  <c r="J137" i="18"/>
  <c r="J149" i="18" s="1"/>
  <c r="I137" i="18"/>
  <c r="I149" i="18" s="1"/>
  <c r="H137" i="18"/>
  <c r="G137" i="18"/>
  <c r="G149" i="18" s="1"/>
  <c r="F137" i="18"/>
  <c r="F149" i="18" s="1"/>
  <c r="K135" i="18"/>
  <c r="K134" i="18"/>
  <c r="K133" i="18"/>
  <c r="K132" i="18"/>
  <c r="K131" i="18"/>
  <c r="K137" i="18" s="1"/>
  <c r="K149" i="18" s="1"/>
  <c r="F119" i="18"/>
  <c r="J108" i="18"/>
  <c r="J147" i="18" s="1"/>
  <c r="I108" i="18"/>
  <c r="I147" i="18" s="1"/>
  <c r="H108" i="18"/>
  <c r="G108" i="18"/>
  <c r="F108" i="18"/>
  <c r="F147" i="18" s="1"/>
  <c r="K106" i="18"/>
  <c r="I106" i="18"/>
  <c r="I105" i="18"/>
  <c r="K105" i="18" s="1"/>
  <c r="K104" i="18"/>
  <c r="I104" i="18"/>
  <c r="I103" i="18"/>
  <c r="K103" i="18" s="1"/>
  <c r="K102" i="18"/>
  <c r="K108" i="18" s="1"/>
  <c r="K147" i="18" s="1"/>
  <c r="I102" i="18"/>
  <c r="J98" i="18"/>
  <c r="J146" i="18" s="1"/>
  <c r="I98" i="18"/>
  <c r="I146" i="18" s="1"/>
  <c r="H98" i="18"/>
  <c r="H146" i="18" s="1"/>
  <c r="G98" i="18"/>
  <c r="G146" i="18" s="1"/>
  <c r="F98" i="18"/>
  <c r="F146" i="18" s="1"/>
  <c r="K96" i="18"/>
  <c r="I96" i="18"/>
  <c r="I95" i="18"/>
  <c r="K95" i="18" s="1"/>
  <c r="K94" i="18"/>
  <c r="I94" i="18"/>
  <c r="I93" i="18"/>
  <c r="K93" i="18" s="1"/>
  <c r="K92" i="18"/>
  <c r="I92" i="18"/>
  <c r="I91" i="18"/>
  <c r="K91" i="18" s="1"/>
  <c r="K90" i="18"/>
  <c r="I90" i="18"/>
  <c r="I89" i="18"/>
  <c r="K89" i="18" s="1"/>
  <c r="K88" i="18"/>
  <c r="I88" i="18"/>
  <c r="I87" i="18"/>
  <c r="K87" i="18" s="1"/>
  <c r="K86" i="18"/>
  <c r="I86" i="18"/>
  <c r="J82" i="18"/>
  <c r="J145" i="18" s="1"/>
  <c r="I82" i="18"/>
  <c r="I145" i="18" s="1"/>
  <c r="H82" i="18"/>
  <c r="G82" i="18"/>
  <c r="F82" i="18"/>
  <c r="F145" i="18" s="1"/>
  <c r="K80" i="18"/>
  <c r="K79" i="18"/>
  <c r="K78" i="18"/>
  <c r="K77" i="18"/>
  <c r="K82" i="18" s="1"/>
  <c r="K145" i="18" s="1"/>
  <c r="J74" i="18"/>
  <c r="I74" i="18"/>
  <c r="H74" i="18"/>
  <c r="H144" i="18" s="1"/>
  <c r="G74" i="18"/>
  <c r="G144" i="18" s="1"/>
  <c r="F74" i="18"/>
  <c r="K72" i="18"/>
  <c r="K71" i="18"/>
  <c r="K70" i="18"/>
  <c r="K74" i="18" s="1"/>
  <c r="K144" i="18" s="1"/>
  <c r="K69" i="18"/>
  <c r="K68" i="18"/>
  <c r="J64" i="18"/>
  <c r="J143" i="18" s="1"/>
  <c r="I64" i="18"/>
  <c r="H64" i="18"/>
  <c r="G64" i="18"/>
  <c r="F64" i="18"/>
  <c r="F143" i="18" s="1"/>
  <c r="K62" i="18"/>
  <c r="K61" i="18"/>
  <c r="K60" i="18"/>
  <c r="K59" i="18"/>
  <c r="K58" i="18"/>
  <c r="K57" i="18"/>
  <c r="K56" i="18"/>
  <c r="K55" i="18"/>
  <c r="K64" i="18" s="1"/>
  <c r="K143" i="18" s="1"/>
  <c r="K54" i="18"/>
  <c r="K53" i="18"/>
  <c r="J49" i="18"/>
  <c r="J142" i="18" s="1"/>
  <c r="I49" i="18"/>
  <c r="H49" i="18"/>
  <c r="H142" i="18" s="1"/>
  <c r="G49" i="18"/>
  <c r="G142" i="18" s="1"/>
  <c r="F49" i="18"/>
  <c r="F142" i="18" s="1"/>
  <c r="K47" i="18"/>
  <c r="K46" i="18"/>
  <c r="K45" i="18"/>
  <c r="K44" i="18"/>
  <c r="K43" i="18"/>
  <c r="K42" i="18"/>
  <c r="K41" i="18"/>
  <c r="K40" i="18"/>
  <c r="K49" i="18" s="1"/>
  <c r="K142" i="18" s="1"/>
  <c r="J36" i="18"/>
  <c r="J141" i="18" s="1"/>
  <c r="H36" i="18"/>
  <c r="H141" i="18" s="1"/>
  <c r="H152" i="18" s="1"/>
  <c r="G36" i="18"/>
  <c r="F36" i="18"/>
  <c r="F141" i="18" s="1"/>
  <c r="I34" i="18"/>
  <c r="K34" i="18" s="1"/>
  <c r="I33" i="18"/>
  <c r="K33" i="18" s="1"/>
  <c r="I32" i="18"/>
  <c r="K32" i="18" s="1"/>
  <c r="I31" i="18"/>
  <c r="K31" i="18" s="1"/>
  <c r="I30" i="18"/>
  <c r="K30" i="18" s="1"/>
  <c r="I29" i="18"/>
  <c r="K29" i="18" s="1"/>
  <c r="I28" i="18"/>
  <c r="K28" i="18" s="1"/>
  <c r="I27" i="18"/>
  <c r="K27" i="18" s="1"/>
  <c r="I26" i="18"/>
  <c r="K26" i="18" s="1"/>
  <c r="I25" i="18"/>
  <c r="K25" i="18" s="1"/>
  <c r="I24" i="18"/>
  <c r="K24" i="18" s="1"/>
  <c r="I23" i="18"/>
  <c r="K23" i="18" s="1"/>
  <c r="I22" i="18"/>
  <c r="I36" i="18" s="1"/>
  <c r="I141" i="18" s="1"/>
  <c r="I152" i="18" s="1"/>
  <c r="I21" i="18"/>
  <c r="K21" i="18" s="1"/>
  <c r="K18" i="18"/>
  <c r="K150" i="18" s="1"/>
  <c r="J152" i="18" l="1"/>
  <c r="F152" i="18"/>
  <c r="K98" i="18"/>
  <c r="K146" i="18" s="1"/>
  <c r="G152" i="18"/>
  <c r="K22" i="18"/>
  <c r="K36" i="18" s="1"/>
  <c r="K141" i="18" s="1"/>
  <c r="K152" i="18" s="1"/>
  <c r="F155" i="18" l="1"/>
  <c r="F154" i="18"/>
  <c r="K150" i="17" l="1"/>
  <c r="J150" i="17"/>
  <c r="I150" i="17"/>
  <c r="H150" i="17"/>
  <c r="I149" i="17"/>
  <c r="G149" i="17"/>
  <c r="K148" i="17"/>
  <c r="J147" i="17"/>
  <c r="G147" i="17"/>
  <c r="F147" i="17"/>
  <c r="J146" i="17"/>
  <c r="H146" i="17"/>
  <c r="F146" i="17"/>
  <c r="J143" i="17"/>
  <c r="F143" i="17"/>
  <c r="J142" i="17"/>
  <c r="I142" i="17"/>
  <c r="H142" i="17"/>
  <c r="F142" i="17"/>
  <c r="J141" i="17"/>
  <c r="H141" i="17"/>
  <c r="G141" i="17"/>
  <c r="F141" i="17"/>
  <c r="J137" i="17"/>
  <c r="J149" i="17" s="1"/>
  <c r="I137" i="17"/>
  <c r="H137" i="17"/>
  <c r="H149" i="17" s="1"/>
  <c r="G137" i="17"/>
  <c r="F137" i="17"/>
  <c r="F149" i="17" s="1"/>
  <c r="K135" i="17"/>
  <c r="K134" i="17"/>
  <c r="K133" i="17"/>
  <c r="K132" i="17"/>
  <c r="K131" i="17"/>
  <c r="K137" i="17" s="1"/>
  <c r="K149" i="17" s="1"/>
  <c r="F119" i="17"/>
  <c r="J108" i="17"/>
  <c r="H108" i="17"/>
  <c r="H147" i="17" s="1"/>
  <c r="G108" i="17"/>
  <c r="F108" i="17"/>
  <c r="I106" i="17"/>
  <c r="K106" i="17" s="1"/>
  <c r="I105" i="17"/>
  <c r="K105" i="17" s="1"/>
  <c r="I104" i="17"/>
  <c r="I108" i="17" s="1"/>
  <c r="I147" i="17" s="1"/>
  <c r="I103" i="17"/>
  <c r="K103" i="17" s="1"/>
  <c r="K102" i="17"/>
  <c r="J98" i="17"/>
  <c r="H98" i="17"/>
  <c r="G98" i="17"/>
  <c r="G146" i="17" s="1"/>
  <c r="F98" i="17"/>
  <c r="I96" i="17"/>
  <c r="K96" i="17" s="1"/>
  <c r="K95" i="17"/>
  <c r="I95" i="17"/>
  <c r="I94" i="17"/>
  <c r="K94" i="17" s="1"/>
  <c r="K93" i="17"/>
  <c r="I93" i="17"/>
  <c r="I92" i="17"/>
  <c r="K92" i="17" s="1"/>
  <c r="K91" i="17"/>
  <c r="I90" i="17"/>
  <c r="K90" i="17" s="1"/>
  <c r="I89" i="17"/>
  <c r="K89" i="17" s="1"/>
  <c r="I88" i="17"/>
  <c r="K88" i="17" s="1"/>
  <c r="I87" i="17"/>
  <c r="K87" i="17" s="1"/>
  <c r="I86" i="17"/>
  <c r="K86" i="17" s="1"/>
  <c r="K98" i="17" s="1"/>
  <c r="K146" i="17" s="1"/>
  <c r="J82" i="17"/>
  <c r="J145" i="17" s="1"/>
  <c r="I82" i="17"/>
  <c r="I145" i="17" s="1"/>
  <c r="H82" i="17"/>
  <c r="H145" i="17" s="1"/>
  <c r="G82" i="17"/>
  <c r="G145" i="17" s="1"/>
  <c r="F82" i="17"/>
  <c r="F145" i="17" s="1"/>
  <c r="K80" i="17"/>
  <c r="K79" i="17"/>
  <c r="K78" i="17"/>
  <c r="K77" i="17"/>
  <c r="K82" i="17" s="1"/>
  <c r="K145" i="17" s="1"/>
  <c r="J74" i="17"/>
  <c r="J144" i="17" s="1"/>
  <c r="I74" i="17"/>
  <c r="I144" i="17" s="1"/>
  <c r="H74" i="17"/>
  <c r="H144" i="17" s="1"/>
  <c r="G74" i="17"/>
  <c r="G144" i="17" s="1"/>
  <c r="F74" i="17"/>
  <c r="F144" i="17" s="1"/>
  <c r="K72" i="17"/>
  <c r="K71" i="17"/>
  <c r="K70" i="17"/>
  <c r="K69" i="17"/>
  <c r="K68" i="17"/>
  <c r="K74" i="17" s="1"/>
  <c r="K144" i="17" s="1"/>
  <c r="J64" i="17"/>
  <c r="I64" i="17"/>
  <c r="I143" i="17" s="1"/>
  <c r="H64" i="17"/>
  <c r="H143" i="17" s="1"/>
  <c r="G64" i="17"/>
  <c r="G143" i="17" s="1"/>
  <c r="F64" i="17"/>
  <c r="K62" i="17"/>
  <c r="K61" i="17"/>
  <c r="K60" i="17"/>
  <c r="K59" i="17"/>
  <c r="K58" i="17"/>
  <c r="K57" i="17"/>
  <c r="K56" i="17"/>
  <c r="K64" i="17" s="1"/>
  <c r="K143" i="17" s="1"/>
  <c r="K55" i="17"/>
  <c r="K54" i="17"/>
  <c r="K53" i="17"/>
  <c r="J49" i="17"/>
  <c r="I49" i="17"/>
  <c r="H49" i="17"/>
  <c r="G49" i="17"/>
  <c r="G142" i="17" s="1"/>
  <c r="F49" i="17"/>
  <c r="K47" i="17"/>
  <c r="K46" i="17"/>
  <c r="K45" i="17"/>
  <c r="K44" i="17"/>
  <c r="K43" i="17"/>
  <c r="K42" i="17"/>
  <c r="K41" i="17"/>
  <c r="K49" i="17" s="1"/>
  <c r="K142" i="17" s="1"/>
  <c r="K40" i="17"/>
  <c r="J36" i="17"/>
  <c r="H36" i="17"/>
  <c r="G36" i="17"/>
  <c r="F36" i="17"/>
  <c r="K34" i="17"/>
  <c r="I34" i="17"/>
  <c r="I33" i="17"/>
  <c r="K33" i="17" s="1"/>
  <c r="K32" i="17"/>
  <c r="I32" i="17"/>
  <c r="I31" i="17"/>
  <c r="K31" i="17" s="1"/>
  <c r="K30" i="17"/>
  <c r="I30" i="17"/>
  <c r="I29" i="17"/>
  <c r="K29" i="17" s="1"/>
  <c r="K28" i="17"/>
  <c r="I28" i="17"/>
  <c r="I27" i="17"/>
  <c r="K27" i="17" s="1"/>
  <c r="K26" i="17"/>
  <c r="I26" i="17"/>
  <c r="I25" i="17"/>
  <c r="K25" i="17" s="1"/>
  <c r="K24" i="17"/>
  <c r="K23" i="17"/>
  <c r="K22" i="17"/>
  <c r="I21" i="17"/>
  <c r="K21" i="17" s="1"/>
  <c r="K18" i="17"/>
  <c r="J152" i="17" l="1"/>
  <c r="F152" i="17"/>
  <c r="K36" i="17"/>
  <c r="K141" i="17" s="1"/>
  <c r="G152" i="17"/>
  <c r="H152" i="17"/>
  <c r="I36" i="17"/>
  <c r="I141" i="17" s="1"/>
  <c r="I152" i="17" s="1"/>
  <c r="K104" i="17"/>
  <c r="K108" i="17" s="1"/>
  <c r="K147" i="17" s="1"/>
  <c r="I98" i="17"/>
  <c r="I146" i="17" s="1"/>
  <c r="K152" i="17" l="1"/>
  <c r="F154" i="17" l="1"/>
  <c r="F155" i="17"/>
  <c r="J150" i="16" l="1"/>
  <c r="I150" i="16"/>
  <c r="H150" i="16"/>
  <c r="H149" i="16"/>
  <c r="K148" i="16"/>
  <c r="H147" i="16"/>
  <c r="G147" i="16"/>
  <c r="H145" i="16"/>
  <c r="G145" i="16"/>
  <c r="J144" i="16"/>
  <c r="I144" i="16"/>
  <c r="F144" i="16"/>
  <c r="H143" i="16"/>
  <c r="G143" i="16"/>
  <c r="I142" i="16"/>
  <c r="G141" i="16"/>
  <c r="J137" i="16"/>
  <c r="J149" i="16" s="1"/>
  <c r="I137" i="16"/>
  <c r="I149" i="16" s="1"/>
  <c r="H137" i="16"/>
  <c r="G137" i="16"/>
  <c r="G149" i="16" s="1"/>
  <c r="F137" i="16"/>
  <c r="F149" i="16" s="1"/>
  <c r="K135" i="16"/>
  <c r="K134" i="16"/>
  <c r="K133" i="16"/>
  <c r="K132" i="16"/>
  <c r="K131" i="16"/>
  <c r="K137" i="16" s="1"/>
  <c r="K149" i="16" s="1"/>
  <c r="F119" i="16"/>
  <c r="J108" i="16"/>
  <c r="J147" i="16" s="1"/>
  <c r="I108" i="16"/>
  <c r="I147" i="16" s="1"/>
  <c r="H108" i="16"/>
  <c r="G108" i="16"/>
  <c r="F108" i="16"/>
  <c r="F147" i="16" s="1"/>
  <c r="K106" i="16"/>
  <c r="I106" i="16"/>
  <c r="I105" i="16"/>
  <c r="K105" i="16" s="1"/>
  <c r="K104" i="16"/>
  <c r="I104" i="16"/>
  <c r="I103" i="16"/>
  <c r="K103" i="16" s="1"/>
  <c r="K102" i="16"/>
  <c r="K108" i="16" s="1"/>
  <c r="K147" i="16" s="1"/>
  <c r="I102" i="16"/>
  <c r="J98" i="16"/>
  <c r="J146" i="16" s="1"/>
  <c r="I98" i="16"/>
  <c r="I146" i="16" s="1"/>
  <c r="H98" i="16"/>
  <c r="H146" i="16" s="1"/>
  <c r="G98" i="16"/>
  <c r="G146" i="16" s="1"/>
  <c r="F98" i="16"/>
  <c r="F146" i="16" s="1"/>
  <c r="K96" i="16"/>
  <c r="I96" i="16"/>
  <c r="I95" i="16"/>
  <c r="K95" i="16" s="1"/>
  <c r="K94" i="16"/>
  <c r="I94" i="16"/>
  <c r="I93" i="16"/>
  <c r="K93" i="16" s="1"/>
  <c r="K92" i="16"/>
  <c r="I92" i="16"/>
  <c r="I91" i="16"/>
  <c r="K91" i="16" s="1"/>
  <c r="K90" i="16"/>
  <c r="I90" i="16"/>
  <c r="I89" i="16"/>
  <c r="K89" i="16" s="1"/>
  <c r="K88" i="16"/>
  <c r="I88" i="16"/>
  <c r="I87" i="16"/>
  <c r="K87" i="16" s="1"/>
  <c r="K86" i="16"/>
  <c r="I86" i="16"/>
  <c r="J82" i="16"/>
  <c r="J145" i="16" s="1"/>
  <c r="I82" i="16"/>
  <c r="I145" i="16" s="1"/>
  <c r="H82" i="16"/>
  <c r="G82" i="16"/>
  <c r="F82" i="16"/>
  <c r="F145" i="16" s="1"/>
  <c r="K80" i="16"/>
  <c r="K79" i="16"/>
  <c r="K78" i="16"/>
  <c r="K77" i="16"/>
  <c r="K82" i="16" s="1"/>
  <c r="K145" i="16" s="1"/>
  <c r="J74" i="16"/>
  <c r="I74" i="16"/>
  <c r="H74" i="16"/>
  <c r="H144" i="16" s="1"/>
  <c r="G74" i="16"/>
  <c r="G144" i="16" s="1"/>
  <c r="F74" i="16"/>
  <c r="K72" i="16"/>
  <c r="K71" i="16"/>
  <c r="K70" i="16"/>
  <c r="K74" i="16" s="1"/>
  <c r="K144" i="16" s="1"/>
  <c r="K69" i="16"/>
  <c r="K68" i="16"/>
  <c r="J64" i="16"/>
  <c r="J143" i="16" s="1"/>
  <c r="I64" i="16"/>
  <c r="I143" i="16" s="1"/>
  <c r="H64" i="16"/>
  <c r="G64" i="16"/>
  <c r="F64" i="16"/>
  <c r="F143" i="16" s="1"/>
  <c r="K62" i="16"/>
  <c r="K61" i="16"/>
  <c r="K60" i="16"/>
  <c r="K59" i="16"/>
  <c r="K58" i="16"/>
  <c r="K57" i="16"/>
  <c r="K56" i="16"/>
  <c r="K55" i="16"/>
  <c r="K64" i="16" s="1"/>
  <c r="K143" i="16" s="1"/>
  <c r="K54" i="16"/>
  <c r="K53" i="16"/>
  <c r="J49" i="16"/>
  <c r="J142" i="16" s="1"/>
  <c r="I49" i="16"/>
  <c r="H49" i="16"/>
  <c r="H142" i="16" s="1"/>
  <c r="G49" i="16"/>
  <c r="G142" i="16" s="1"/>
  <c r="F49" i="16"/>
  <c r="F142" i="16" s="1"/>
  <c r="K47" i="16"/>
  <c r="K46" i="16"/>
  <c r="K45" i="16"/>
  <c r="K44" i="16"/>
  <c r="K43" i="16"/>
  <c r="K42" i="16"/>
  <c r="K41" i="16"/>
  <c r="K40" i="16"/>
  <c r="K49" i="16" s="1"/>
  <c r="K142" i="16" s="1"/>
  <c r="J36" i="16"/>
  <c r="J141" i="16" s="1"/>
  <c r="H36" i="16"/>
  <c r="H141" i="16" s="1"/>
  <c r="H152" i="16" s="1"/>
  <c r="G36" i="16"/>
  <c r="F36" i="16"/>
  <c r="F141" i="16" s="1"/>
  <c r="I34" i="16"/>
  <c r="K34" i="16" s="1"/>
  <c r="I33" i="16"/>
  <c r="K33" i="16" s="1"/>
  <c r="I32" i="16"/>
  <c r="K32" i="16" s="1"/>
  <c r="I31" i="16"/>
  <c r="K31" i="16" s="1"/>
  <c r="I30" i="16"/>
  <c r="K30" i="16" s="1"/>
  <c r="I29" i="16"/>
  <c r="K29" i="16" s="1"/>
  <c r="I28" i="16"/>
  <c r="K28" i="16" s="1"/>
  <c r="I27" i="16"/>
  <c r="K27" i="16" s="1"/>
  <c r="I26" i="16"/>
  <c r="K26" i="16" s="1"/>
  <c r="I25" i="16"/>
  <c r="K25" i="16" s="1"/>
  <c r="I24" i="16"/>
  <c r="K24" i="16" s="1"/>
  <c r="I23" i="16"/>
  <c r="K23" i="16" s="1"/>
  <c r="I22" i="16"/>
  <c r="I36" i="16" s="1"/>
  <c r="I141" i="16" s="1"/>
  <c r="I21" i="16"/>
  <c r="K21" i="16" s="1"/>
  <c r="K18" i="16"/>
  <c r="K150" i="16" s="1"/>
  <c r="G152" i="16" l="1"/>
  <c r="I152" i="16"/>
  <c r="J152" i="16"/>
  <c r="F152" i="16"/>
  <c r="K98" i="16"/>
  <c r="K146" i="16" s="1"/>
  <c r="K22" i="16"/>
  <c r="K36" i="16" s="1"/>
  <c r="K141" i="16" s="1"/>
  <c r="K152" i="16" s="1"/>
  <c r="F155" i="16" l="1"/>
  <c r="F154" i="16"/>
  <c r="J150" i="14" l="1"/>
  <c r="I150" i="14"/>
  <c r="H150" i="14"/>
  <c r="H149" i="14"/>
  <c r="K148" i="14"/>
  <c r="J146" i="14"/>
  <c r="F146" i="14"/>
  <c r="G143" i="14"/>
  <c r="J142" i="14"/>
  <c r="I142" i="14"/>
  <c r="G142" i="14"/>
  <c r="F142" i="14"/>
  <c r="H141" i="14"/>
  <c r="G141" i="14"/>
  <c r="J137" i="14"/>
  <c r="J149" i="14" s="1"/>
  <c r="I137" i="14"/>
  <c r="I149" i="14" s="1"/>
  <c r="H137" i="14"/>
  <c r="G137" i="14"/>
  <c r="G149" i="14" s="1"/>
  <c r="F137" i="14"/>
  <c r="F149" i="14" s="1"/>
  <c r="K135" i="14"/>
  <c r="K134" i="14"/>
  <c r="K133" i="14"/>
  <c r="K132" i="14"/>
  <c r="K131" i="14"/>
  <c r="K137" i="14" s="1"/>
  <c r="K149" i="14" s="1"/>
  <c r="F119" i="14"/>
  <c r="F123" i="14" s="1"/>
  <c r="F127" i="14" s="1"/>
  <c r="J108" i="14"/>
  <c r="J147" i="14" s="1"/>
  <c r="H108" i="14"/>
  <c r="H147" i="14" s="1"/>
  <c r="G108" i="14"/>
  <c r="G147" i="14" s="1"/>
  <c r="F108" i="14"/>
  <c r="F147" i="14" s="1"/>
  <c r="I106" i="14"/>
  <c r="K106" i="14" s="1"/>
  <c r="K105" i="14"/>
  <c r="I105" i="14"/>
  <c r="I104" i="14"/>
  <c r="K104" i="14" s="1"/>
  <c r="K103" i="14"/>
  <c r="I103" i="14"/>
  <c r="I102" i="14"/>
  <c r="I108" i="14" s="1"/>
  <c r="I147" i="14" s="1"/>
  <c r="J98" i="14"/>
  <c r="H98" i="14"/>
  <c r="H146" i="14" s="1"/>
  <c r="G98" i="14"/>
  <c r="G146" i="14" s="1"/>
  <c r="F98" i="14"/>
  <c r="I96" i="14"/>
  <c r="K96" i="14" s="1"/>
  <c r="K95" i="14"/>
  <c r="I95" i="14"/>
  <c r="I94" i="14"/>
  <c r="K94" i="14" s="1"/>
  <c r="K93" i="14"/>
  <c r="I93" i="14"/>
  <c r="I92" i="14"/>
  <c r="K92" i="14" s="1"/>
  <c r="K91" i="14"/>
  <c r="I91" i="14"/>
  <c r="I90" i="14"/>
  <c r="K90" i="14" s="1"/>
  <c r="K89" i="14"/>
  <c r="I89" i="14"/>
  <c r="I88" i="14"/>
  <c r="K88" i="14" s="1"/>
  <c r="K87" i="14"/>
  <c r="I87" i="14"/>
  <c r="I86" i="14"/>
  <c r="I98" i="14" s="1"/>
  <c r="I146" i="14" s="1"/>
  <c r="J82" i="14"/>
  <c r="J145" i="14" s="1"/>
  <c r="I82" i="14"/>
  <c r="I145" i="14" s="1"/>
  <c r="H82" i="14"/>
  <c r="H145" i="14" s="1"/>
  <c r="G82" i="14"/>
  <c r="G145" i="14" s="1"/>
  <c r="F82" i="14"/>
  <c r="F145" i="14" s="1"/>
  <c r="K80" i="14"/>
  <c r="K79" i="14"/>
  <c r="K78" i="14"/>
  <c r="K82" i="14" s="1"/>
  <c r="K145" i="14" s="1"/>
  <c r="K77" i="14"/>
  <c r="J74" i="14"/>
  <c r="J144" i="14" s="1"/>
  <c r="I74" i="14"/>
  <c r="I144" i="14" s="1"/>
  <c r="H74" i="14"/>
  <c r="H144" i="14" s="1"/>
  <c r="G74" i="14"/>
  <c r="G144" i="14" s="1"/>
  <c r="F74" i="14"/>
  <c r="F144" i="14" s="1"/>
  <c r="K72" i="14"/>
  <c r="K71" i="14"/>
  <c r="K70" i="14"/>
  <c r="K69" i="14"/>
  <c r="K68" i="14"/>
  <c r="K74" i="14" s="1"/>
  <c r="K144" i="14" s="1"/>
  <c r="J64" i="14"/>
  <c r="J143" i="14" s="1"/>
  <c r="I64" i="14"/>
  <c r="I143" i="14" s="1"/>
  <c r="H64" i="14"/>
  <c r="H143" i="14" s="1"/>
  <c r="G64" i="14"/>
  <c r="F64" i="14"/>
  <c r="F143" i="14" s="1"/>
  <c r="K62" i="14"/>
  <c r="K61" i="14"/>
  <c r="K60" i="14"/>
  <c r="K59" i="14"/>
  <c r="K58" i="14"/>
  <c r="K57" i="14"/>
  <c r="K56" i="14"/>
  <c r="K55" i="14"/>
  <c r="K54" i="14"/>
  <c r="K53" i="14"/>
  <c r="K64" i="14" s="1"/>
  <c r="K143" i="14" s="1"/>
  <c r="J49" i="14"/>
  <c r="I49" i="14"/>
  <c r="H49" i="14"/>
  <c r="H142" i="14" s="1"/>
  <c r="G49" i="14"/>
  <c r="F49" i="14"/>
  <c r="K47" i="14"/>
  <c r="K46" i="14"/>
  <c r="K45" i="14"/>
  <c r="K44" i="14"/>
  <c r="K43" i="14"/>
  <c r="K42" i="14"/>
  <c r="K41" i="14"/>
  <c r="K40" i="14"/>
  <c r="K49" i="14" s="1"/>
  <c r="K142" i="14" s="1"/>
  <c r="J36" i="14"/>
  <c r="J141" i="14" s="1"/>
  <c r="H36" i="14"/>
  <c r="G36" i="14"/>
  <c r="F36" i="14"/>
  <c r="F141" i="14" s="1"/>
  <c r="F152" i="14" s="1"/>
  <c r="I34" i="14"/>
  <c r="K34" i="14" s="1"/>
  <c r="I33" i="14"/>
  <c r="K33" i="14" s="1"/>
  <c r="I32" i="14"/>
  <c r="K32" i="14" s="1"/>
  <c r="I31" i="14"/>
  <c r="K31" i="14" s="1"/>
  <c r="I30" i="14"/>
  <c r="K30" i="14" s="1"/>
  <c r="I29" i="14"/>
  <c r="K29" i="14" s="1"/>
  <c r="I28" i="14"/>
  <c r="K28" i="14" s="1"/>
  <c r="I27" i="14"/>
  <c r="K27" i="14" s="1"/>
  <c r="I26" i="14"/>
  <c r="K26" i="14" s="1"/>
  <c r="I25" i="14"/>
  <c r="K25" i="14" s="1"/>
  <c r="I24" i="14"/>
  <c r="K24" i="14" s="1"/>
  <c r="I23" i="14"/>
  <c r="K23" i="14" s="1"/>
  <c r="I22" i="14"/>
  <c r="K22" i="14" s="1"/>
  <c r="I21" i="14"/>
  <c r="I36" i="14" s="1"/>
  <c r="I141" i="14" s="1"/>
  <c r="K18" i="14"/>
  <c r="K150" i="14" s="1"/>
  <c r="G152" i="14" l="1"/>
  <c r="I152" i="14"/>
  <c r="H152" i="14"/>
  <c r="J152" i="14"/>
  <c r="K21" i="14"/>
  <c r="K36" i="14" s="1"/>
  <c r="K141" i="14" s="1"/>
  <c r="K86" i="14"/>
  <c r="K98" i="14" s="1"/>
  <c r="K146" i="14" s="1"/>
  <c r="K102" i="14"/>
  <c r="K108" i="14" s="1"/>
  <c r="K147" i="14" s="1"/>
  <c r="K152" i="14" l="1"/>
  <c r="F155" i="14" l="1"/>
  <c r="F154" i="14"/>
  <c r="J150" i="13" l="1"/>
  <c r="I150" i="13"/>
  <c r="H150" i="13"/>
  <c r="K148" i="13"/>
  <c r="H143" i="13"/>
  <c r="J137" i="13"/>
  <c r="J149" i="13" s="1"/>
  <c r="I137" i="13"/>
  <c r="I149" i="13" s="1"/>
  <c r="H137" i="13"/>
  <c r="H149" i="13" s="1"/>
  <c r="G137" i="13"/>
  <c r="G149" i="13" s="1"/>
  <c r="F137" i="13"/>
  <c r="F149" i="13" s="1"/>
  <c r="K135" i="13"/>
  <c r="K134" i="13"/>
  <c r="K133" i="13"/>
  <c r="K132" i="13"/>
  <c r="K131" i="13"/>
  <c r="K137" i="13" s="1"/>
  <c r="K149" i="13" s="1"/>
  <c r="F119" i="13"/>
  <c r="J108" i="13"/>
  <c r="J147" i="13" s="1"/>
  <c r="H108" i="13"/>
  <c r="H147" i="13" s="1"/>
  <c r="G108" i="13"/>
  <c r="G147" i="13" s="1"/>
  <c r="F108" i="13"/>
  <c r="F147" i="13" s="1"/>
  <c r="I106" i="13"/>
  <c r="K106" i="13" s="1"/>
  <c r="I105" i="13"/>
  <c r="K105" i="13" s="1"/>
  <c r="I104" i="13"/>
  <c r="K104" i="13" s="1"/>
  <c r="I103" i="13"/>
  <c r="K103" i="13" s="1"/>
  <c r="I102" i="13"/>
  <c r="J98" i="13"/>
  <c r="J146" i="13" s="1"/>
  <c r="H98" i="13"/>
  <c r="H146" i="13" s="1"/>
  <c r="G98" i="13"/>
  <c r="G146" i="13" s="1"/>
  <c r="F98" i="13"/>
  <c r="F146" i="13" s="1"/>
  <c r="I96" i="13"/>
  <c r="K96" i="13" s="1"/>
  <c r="I95" i="13"/>
  <c r="K95" i="13" s="1"/>
  <c r="I94" i="13"/>
  <c r="K94" i="13" s="1"/>
  <c r="I93" i="13"/>
  <c r="K93" i="13" s="1"/>
  <c r="I92" i="13"/>
  <c r="K92" i="13" s="1"/>
  <c r="I91" i="13"/>
  <c r="K91" i="13" s="1"/>
  <c r="I90" i="13"/>
  <c r="K90" i="13" s="1"/>
  <c r="I89" i="13"/>
  <c r="K89" i="13" s="1"/>
  <c r="I88" i="13"/>
  <c r="K88" i="13" s="1"/>
  <c r="I87" i="13"/>
  <c r="K87" i="13" s="1"/>
  <c r="I86" i="13"/>
  <c r="J82" i="13"/>
  <c r="J145" i="13" s="1"/>
  <c r="I82" i="13"/>
  <c r="I145" i="13" s="1"/>
  <c r="H82" i="13"/>
  <c r="H145" i="13" s="1"/>
  <c r="G82" i="13"/>
  <c r="G145" i="13" s="1"/>
  <c r="F82" i="13"/>
  <c r="F145" i="13" s="1"/>
  <c r="K80" i="13"/>
  <c r="K79" i="13"/>
  <c r="K78" i="13"/>
  <c r="K77" i="13"/>
  <c r="J74" i="13"/>
  <c r="J144" i="13" s="1"/>
  <c r="I74" i="13"/>
  <c r="I144" i="13" s="1"/>
  <c r="H74" i="13"/>
  <c r="H144" i="13" s="1"/>
  <c r="G74" i="13"/>
  <c r="G144" i="13" s="1"/>
  <c r="F74" i="13"/>
  <c r="F144" i="13" s="1"/>
  <c r="K72" i="13"/>
  <c r="K71" i="13"/>
  <c r="K70" i="13"/>
  <c r="K69" i="13"/>
  <c r="K68" i="13"/>
  <c r="K74" i="13" s="1"/>
  <c r="K144" i="13" s="1"/>
  <c r="J64" i="13"/>
  <c r="J143" i="13" s="1"/>
  <c r="H64" i="13"/>
  <c r="G64" i="13"/>
  <c r="G143" i="13" s="1"/>
  <c r="F64" i="13"/>
  <c r="F143" i="13" s="1"/>
  <c r="K63" i="13"/>
  <c r="K62" i="13"/>
  <c r="K61" i="13"/>
  <c r="K60" i="13"/>
  <c r="K59" i="13"/>
  <c r="I58" i="13"/>
  <c r="I64" i="13" s="1"/>
  <c r="I143" i="13" s="1"/>
  <c r="K57" i="13"/>
  <c r="K56" i="13"/>
  <c r="K55" i="13"/>
  <c r="K54" i="13"/>
  <c r="K53" i="13"/>
  <c r="J49" i="13"/>
  <c r="J142" i="13" s="1"/>
  <c r="I49" i="13"/>
  <c r="I142" i="13" s="1"/>
  <c r="H49" i="13"/>
  <c r="H142" i="13" s="1"/>
  <c r="G49" i="13"/>
  <c r="G142" i="13" s="1"/>
  <c r="F49" i="13"/>
  <c r="F142" i="13" s="1"/>
  <c r="K47" i="13"/>
  <c r="K46" i="13"/>
  <c r="K45" i="13"/>
  <c r="K44" i="13"/>
  <c r="K43" i="13"/>
  <c r="K42" i="13"/>
  <c r="K41" i="13"/>
  <c r="K40" i="13"/>
  <c r="J36" i="13"/>
  <c r="J141" i="13" s="1"/>
  <c r="H36" i="13"/>
  <c r="H141" i="13" s="1"/>
  <c r="G36" i="13"/>
  <c r="G141" i="13" s="1"/>
  <c r="F36" i="13"/>
  <c r="F141" i="13" s="1"/>
  <c r="K30" i="13"/>
  <c r="I30" i="13"/>
  <c r="I29" i="13"/>
  <c r="K29" i="13" s="1"/>
  <c r="K28" i="13"/>
  <c r="I28" i="13"/>
  <c r="I27" i="13"/>
  <c r="K27" i="13" s="1"/>
  <c r="I26" i="13"/>
  <c r="K26" i="13" s="1"/>
  <c r="I25" i="13"/>
  <c r="K25" i="13" s="1"/>
  <c r="I24" i="13"/>
  <c r="K24" i="13" s="1"/>
  <c r="I23" i="13"/>
  <c r="K23" i="13" s="1"/>
  <c r="I22" i="13"/>
  <c r="K22" i="13" s="1"/>
  <c r="I21" i="13"/>
  <c r="K18" i="13"/>
  <c r="K150" i="13" s="1"/>
  <c r="K49" i="13" l="1"/>
  <c r="K142" i="13" s="1"/>
  <c r="J152" i="13"/>
  <c r="I98" i="13"/>
  <c r="I146" i="13" s="1"/>
  <c r="I152" i="13" s="1"/>
  <c r="I36" i="13"/>
  <c r="I141" i="13" s="1"/>
  <c r="K82" i="13"/>
  <c r="K145" i="13" s="1"/>
  <c r="I108" i="13"/>
  <c r="I147" i="13" s="1"/>
  <c r="K21" i="13"/>
  <c r="K36" i="13" s="1"/>
  <c r="K141" i="13" s="1"/>
  <c r="F152" i="13"/>
  <c r="G152" i="13"/>
  <c r="H152" i="13"/>
  <c r="K86" i="13"/>
  <c r="K98" i="13" s="1"/>
  <c r="K146" i="13" s="1"/>
  <c r="K102" i="13"/>
  <c r="K108" i="13" s="1"/>
  <c r="K147" i="13" s="1"/>
  <c r="K58" i="13"/>
  <c r="K64" i="13" s="1"/>
  <c r="K143" i="13" s="1"/>
  <c r="K152" i="13" l="1"/>
  <c r="F155" i="13" s="1"/>
  <c r="F154" i="13" l="1"/>
  <c r="H150" i="12"/>
  <c r="H149" i="12"/>
  <c r="K148" i="12"/>
  <c r="J137" i="12"/>
  <c r="J149" i="12" s="1"/>
  <c r="I137" i="12"/>
  <c r="I149" i="12" s="1"/>
  <c r="H137" i="12"/>
  <c r="G137" i="12"/>
  <c r="G149" i="12" s="1"/>
  <c r="F137" i="12"/>
  <c r="F149" i="12" s="1"/>
  <c r="K135" i="12"/>
  <c r="K134" i="12"/>
  <c r="K133" i="12"/>
  <c r="K132" i="12"/>
  <c r="K131" i="12"/>
  <c r="K137" i="12" s="1"/>
  <c r="K149" i="12" s="1"/>
  <c r="F125" i="12"/>
  <c r="F121" i="12"/>
  <c r="F118" i="12"/>
  <c r="F117" i="12"/>
  <c r="F119" i="12" s="1"/>
  <c r="F114" i="12"/>
  <c r="I95" i="12" s="1"/>
  <c r="K95" i="12" s="1"/>
  <c r="F111" i="12"/>
  <c r="I108" i="12"/>
  <c r="I147" i="12" s="1"/>
  <c r="K106" i="12"/>
  <c r="J105" i="12"/>
  <c r="I105" i="12"/>
  <c r="H105" i="12"/>
  <c r="K105" i="12" s="1"/>
  <c r="G105" i="12"/>
  <c r="F105" i="12"/>
  <c r="J104" i="12"/>
  <c r="K104" i="12" s="1"/>
  <c r="I104" i="12"/>
  <c r="H104" i="12"/>
  <c r="G104" i="12"/>
  <c r="F104" i="12"/>
  <c r="J103" i="12"/>
  <c r="I103" i="12"/>
  <c r="H103" i="12"/>
  <c r="K103" i="12" s="1"/>
  <c r="G103" i="12"/>
  <c r="F103" i="12"/>
  <c r="J102" i="12"/>
  <c r="I102" i="12"/>
  <c r="H102" i="12"/>
  <c r="H108" i="12" s="1"/>
  <c r="H147" i="12" s="1"/>
  <c r="G102" i="12"/>
  <c r="G108" i="12" s="1"/>
  <c r="G147" i="12" s="1"/>
  <c r="F102" i="12"/>
  <c r="I96" i="12"/>
  <c r="K96" i="12" s="1"/>
  <c r="J94" i="12"/>
  <c r="K94" i="12" s="1"/>
  <c r="I94" i="12"/>
  <c r="H94" i="12"/>
  <c r="G94" i="12"/>
  <c r="F94" i="12"/>
  <c r="J93" i="12"/>
  <c r="I93" i="12"/>
  <c r="H93" i="12"/>
  <c r="K93" i="12" s="1"/>
  <c r="G93" i="12"/>
  <c r="F93" i="12"/>
  <c r="J92" i="12"/>
  <c r="K92" i="12" s="1"/>
  <c r="I92" i="12"/>
  <c r="H92" i="12"/>
  <c r="G92" i="12"/>
  <c r="F92" i="12"/>
  <c r="J91" i="12"/>
  <c r="I91" i="12"/>
  <c r="H91" i="12"/>
  <c r="K91" i="12" s="1"/>
  <c r="G91" i="12"/>
  <c r="F91" i="12"/>
  <c r="J90" i="12"/>
  <c r="K90" i="12" s="1"/>
  <c r="I90" i="12"/>
  <c r="H90" i="12"/>
  <c r="G90" i="12"/>
  <c r="F90" i="12"/>
  <c r="J89" i="12"/>
  <c r="I89" i="12"/>
  <c r="H89" i="12"/>
  <c r="K89" i="12" s="1"/>
  <c r="G89" i="12"/>
  <c r="F89" i="12"/>
  <c r="J88" i="12"/>
  <c r="K88" i="12" s="1"/>
  <c r="I88" i="12"/>
  <c r="H88" i="12"/>
  <c r="G88" i="12"/>
  <c r="F88" i="12"/>
  <c r="J87" i="12"/>
  <c r="I87" i="12"/>
  <c r="H87" i="12"/>
  <c r="K87" i="12" s="1"/>
  <c r="G87" i="12"/>
  <c r="F87" i="12"/>
  <c r="J86" i="12"/>
  <c r="I86" i="12"/>
  <c r="H86" i="12"/>
  <c r="G86" i="12"/>
  <c r="G98" i="12" s="1"/>
  <c r="G146" i="12" s="1"/>
  <c r="F86" i="12"/>
  <c r="J80" i="12"/>
  <c r="K80" i="12" s="1"/>
  <c r="I80" i="12"/>
  <c r="H80" i="12"/>
  <c r="G80" i="12"/>
  <c r="F80" i="12"/>
  <c r="J79" i="12"/>
  <c r="I79" i="12"/>
  <c r="H79" i="12"/>
  <c r="K79" i="12" s="1"/>
  <c r="G79" i="12"/>
  <c r="F79" i="12"/>
  <c r="J78" i="12"/>
  <c r="K78" i="12" s="1"/>
  <c r="I78" i="12"/>
  <c r="H78" i="12"/>
  <c r="G78" i="12"/>
  <c r="F78" i="12"/>
  <c r="J77" i="12"/>
  <c r="I77" i="12"/>
  <c r="I82" i="12" s="1"/>
  <c r="I145" i="12" s="1"/>
  <c r="H77" i="12"/>
  <c r="K77" i="12" s="1"/>
  <c r="K82" i="12" s="1"/>
  <c r="K145" i="12" s="1"/>
  <c r="G77" i="12"/>
  <c r="G82" i="12" s="1"/>
  <c r="G145" i="12" s="1"/>
  <c r="F77" i="12"/>
  <c r="F74" i="12"/>
  <c r="F144" i="12" s="1"/>
  <c r="K72" i="12"/>
  <c r="K71" i="12"/>
  <c r="J70" i="12"/>
  <c r="K70" i="12" s="1"/>
  <c r="I70" i="12"/>
  <c r="H70" i="12"/>
  <c r="G70" i="12"/>
  <c r="F70" i="12"/>
  <c r="J69" i="12"/>
  <c r="I69" i="12"/>
  <c r="H69" i="12"/>
  <c r="K69" i="12" s="1"/>
  <c r="G69" i="12"/>
  <c r="F69" i="12"/>
  <c r="J68" i="12"/>
  <c r="K68" i="12" s="1"/>
  <c r="K74" i="12" s="1"/>
  <c r="K144" i="12" s="1"/>
  <c r="I68" i="12"/>
  <c r="I74" i="12" s="1"/>
  <c r="I144" i="12" s="1"/>
  <c r="H68" i="12"/>
  <c r="H74" i="12" s="1"/>
  <c r="H144" i="12" s="1"/>
  <c r="G68" i="12"/>
  <c r="G74" i="12" s="1"/>
  <c r="G144" i="12" s="1"/>
  <c r="F68" i="12"/>
  <c r="K62" i="12"/>
  <c r="K61" i="12"/>
  <c r="K60" i="12"/>
  <c r="K59" i="12"/>
  <c r="J58" i="12"/>
  <c r="K58" i="12" s="1"/>
  <c r="I58" i="12"/>
  <c r="H58" i="12"/>
  <c r="G58" i="12"/>
  <c r="F58" i="12"/>
  <c r="J57" i="12"/>
  <c r="I57" i="12"/>
  <c r="H57" i="12"/>
  <c r="K57" i="12" s="1"/>
  <c r="G57" i="12"/>
  <c r="F57" i="12"/>
  <c r="J56" i="12"/>
  <c r="K56" i="12" s="1"/>
  <c r="I56" i="12"/>
  <c r="H56" i="12"/>
  <c r="G56" i="12"/>
  <c r="F56" i="12"/>
  <c r="J55" i="12"/>
  <c r="I55" i="12"/>
  <c r="H55" i="12"/>
  <c r="K55" i="12" s="1"/>
  <c r="G55" i="12"/>
  <c r="F55" i="12"/>
  <c r="J54" i="12"/>
  <c r="K54" i="12" s="1"/>
  <c r="I54" i="12"/>
  <c r="H54" i="12"/>
  <c r="G54" i="12"/>
  <c r="F54" i="12"/>
  <c r="J53" i="12"/>
  <c r="J64" i="12" s="1"/>
  <c r="J143" i="12" s="1"/>
  <c r="I53" i="12"/>
  <c r="I64" i="12" s="1"/>
  <c r="I143" i="12" s="1"/>
  <c r="H53" i="12"/>
  <c r="K53" i="12" s="1"/>
  <c r="G53" i="12"/>
  <c r="G64" i="12" s="1"/>
  <c r="G143" i="12" s="1"/>
  <c r="F53" i="12"/>
  <c r="F64" i="12" s="1"/>
  <c r="F143" i="12" s="1"/>
  <c r="K47" i="12"/>
  <c r="K46" i="12"/>
  <c r="J45" i="12"/>
  <c r="K45" i="12" s="1"/>
  <c r="I45" i="12"/>
  <c r="H45" i="12"/>
  <c r="G45" i="12"/>
  <c r="F45" i="12"/>
  <c r="J44" i="12"/>
  <c r="I44" i="12"/>
  <c r="H44" i="12"/>
  <c r="K44" i="12" s="1"/>
  <c r="G44" i="12"/>
  <c r="F44" i="12"/>
  <c r="J43" i="12"/>
  <c r="K43" i="12" s="1"/>
  <c r="I43" i="12"/>
  <c r="H43" i="12"/>
  <c r="G43" i="12"/>
  <c r="F43" i="12"/>
  <c r="J42" i="12"/>
  <c r="I42" i="12"/>
  <c r="H42" i="12"/>
  <c r="K42" i="12" s="1"/>
  <c r="G42" i="12"/>
  <c r="F42" i="12"/>
  <c r="J41" i="12"/>
  <c r="K41" i="12" s="1"/>
  <c r="I41" i="12"/>
  <c r="H41" i="12"/>
  <c r="G41" i="12"/>
  <c r="G49" i="12" s="1"/>
  <c r="G142" i="12" s="1"/>
  <c r="F41" i="12"/>
  <c r="F49" i="12" s="1"/>
  <c r="F142" i="12" s="1"/>
  <c r="J40" i="12"/>
  <c r="I40" i="12"/>
  <c r="I49" i="12" s="1"/>
  <c r="I142" i="12" s="1"/>
  <c r="H40" i="12"/>
  <c r="G40" i="12"/>
  <c r="F40" i="12"/>
  <c r="J36" i="12"/>
  <c r="J141" i="12" s="1"/>
  <c r="F36" i="12"/>
  <c r="F141" i="12" s="1"/>
  <c r="K34" i="12"/>
  <c r="K33" i="12"/>
  <c r="K32" i="12"/>
  <c r="K31" i="12"/>
  <c r="J31" i="12"/>
  <c r="I31" i="12"/>
  <c r="H31" i="12"/>
  <c r="G31" i="12"/>
  <c r="F31" i="12"/>
  <c r="J30" i="12"/>
  <c r="I30" i="12"/>
  <c r="H30" i="12"/>
  <c r="K30" i="12" s="1"/>
  <c r="G30" i="12"/>
  <c r="F30" i="12"/>
  <c r="K29" i="12"/>
  <c r="J29" i="12"/>
  <c r="I29" i="12"/>
  <c r="H29" i="12"/>
  <c r="G29" i="12"/>
  <c r="F29" i="12"/>
  <c r="J28" i="12"/>
  <c r="I28" i="12"/>
  <c r="H28" i="12"/>
  <c r="K28" i="12" s="1"/>
  <c r="G28" i="12"/>
  <c r="F28" i="12"/>
  <c r="K27" i="12"/>
  <c r="J27" i="12"/>
  <c r="I27" i="12"/>
  <c r="H27" i="12"/>
  <c r="G27" i="12"/>
  <c r="F27" i="12"/>
  <c r="J26" i="12"/>
  <c r="I26" i="12"/>
  <c r="H26" i="12"/>
  <c r="G26" i="12"/>
  <c r="F26" i="12"/>
  <c r="K25" i="12"/>
  <c r="J25" i="12"/>
  <c r="I25" i="12"/>
  <c r="H25" i="12"/>
  <c r="G25" i="12"/>
  <c r="F25" i="12"/>
  <c r="J24" i="12"/>
  <c r="I24" i="12"/>
  <c r="H24" i="12"/>
  <c r="G24" i="12"/>
  <c r="F24" i="12"/>
  <c r="K23" i="12"/>
  <c r="J23" i="12"/>
  <c r="I23" i="12"/>
  <c r="H23" i="12"/>
  <c r="G23" i="12"/>
  <c r="F23" i="12"/>
  <c r="J22" i="12"/>
  <c r="I22" i="12"/>
  <c r="H22" i="12"/>
  <c r="K22" i="12" s="1"/>
  <c r="G22" i="12"/>
  <c r="F22" i="12"/>
  <c r="K21" i="12"/>
  <c r="J21" i="12"/>
  <c r="I21" i="12"/>
  <c r="H21" i="12"/>
  <c r="H36" i="12" s="1"/>
  <c r="H141" i="12" s="1"/>
  <c r="G21" i="12"/>
  <c r="F21" i="12"/>
  <c r="J18" i="12"/>
  <c r="J150" i="12" s="1"/>
  <c r="I18" i="12"/>
  <c r="I150" i="12" s="1"/>
  <c r="H18" i="12"/>
  <c r="K18" i="12" s="1"/>
  <c r="K150" i="12" s="1"/>
  <c r="K40" i="12" l="1"/>
  <c r="K49" i="12" s="1"/>
  <c r="K142" i="12" s="1"/>
  <c r="H49" i="12"/>
  <c r="H142" i="12" s="1"/>
  <c r="G36" i="12"/>
  <c r="G141" i="12" s="1"/>
  <c r="G152" i="12" s="1"/>
  <c r="K36" i="12"/>
  <c r="K141" i="12" s="1"/>
  <c r="K152" i="12" s="1"/>
  <c r="I36" i="12"/>
  <c r="I141" i="12" s="1"/>
  <c r="J74" i="12"/>
  <c r="J144" i="12" s="1"/>
  <c r="H98" i="12"/>
  <c r="H146" i="12" s="1"/>
  <c r="K26" i="12"/>
  <c r="K64" i="12"/>
  <c r="K143" i="12" s="1"/>
  <c r="H64" i="12"/>
  <c r="H143" i="12" s="1"/>
  <c r="H152" i="12" s="1"/>
  <c r="F82" i="12"/>
  <c r="F145" i="12" s="1"/>
  <c r="J82" i="12"/>
  <c r="J145" i="12" s="1"/>
  <c r="H82" i="12"/>
  <c r="H145" i="12" s="1"/>
  <c r="F108" i="12"/>
  <c r="F147" i="12" s="1"/>
  <c r="J108" i="12"/>
  <c r="J147" i="12" s="1"/>
  <c r="K102" i="12"/>
  <c r="K108" i="12" s="1"/>
  <c r="K147" i="12" s="1"/>
  <c r="F123" i="12"/>
  <c r="F127" i="12" s="1"/>
  <c r="F152" i="12"/>
  <c r="K24" i="12"/>
  <c r="J49" i="12"/>
  <c r="J142" i="12" s="1"/>
  <c r="J152" i="12" s="1"/>
  <c r="F98" i="12"/>
  <c r="F146" i="12" s="1"/>
  <c r="J98" i="12"/>
  <c r="J146" i="12" s="1"/>
  <c r="K86" i="12"/>
  <c r="K98" i="12" s="1"/>
  <c r="K146" i="12" s="1"/>
  <c r="I98" i="12"/>
  <c r="I146" i="12" s="1"/>
  <c r="F155" i="12" l="1"/>
  <c r="F154" i="12"/>
  <c r="I152" i="12"/>
  <c r="H149" i="11" l="1"/>
  <c r="G147" i="11"/>
  <c r="J137" i="11"/>
  <c r="J149" i="11" s="1"/>
  <c r="I137" i="11"/>
  <c r="I149" i="11" s="1"/>
  <c r="H137" i="11"/>
  <c r="G137" i="11"/>
  <c r="G149" i="11" s="1"/>
  <c r="F137" i="11"/>
  <c r="F149" i="11" s="1"/>
  <c r="K135" i="11"/>
  <c r="K134" i="11"/>
  <c r="K133" i="11"/>
  <c r="K132" i="11"/>
  <c r="K131" i="11"/>
  <c r="K137" i="11" s="1"/>
  <c r="K149" i="11" s="1"/>
  <c r="F127" i="11"/>
  <c r="F125" i="11"/>
  <c r="F123" i="11"/>
  <c r="F121" i="11"/>
  <c r="F118" i="11"/>
  <c r="F117" i="11"/>
  <c r="F119" i="11" s="1"/>
  <c r="F114" i="11"/>
  <c r="F111" i="11"/>
  <c r="K148" i="11" s="1"/>
  <c r="J105" i="11"/>
  <c r="H105" i="11"/>
  <c r="G105" i="11"/>
  <c r="F105" i="11"/>
  <c r="J104" i="11"/>
  <c r="H104" i="11"/>
  <c r="I104" i="11" s="1"/>
  <c r="G104" i="11"/>
  <c r="F104" i="11"/>
  <c r="J103" i="11"/>
  <c r="I103" i="11"/>
  <c r="K103" i="11" s="1"/>
  <c r="H103" i="11"/>
  <c r="G103" i="11"/>
  <c r="F103" i="11"/>
  <c r="J102" i="11"/>
  <c r="H102" i="11"/>
  <c r="G102" i="11"/>
  <c r="G108" i="11" s="1"/>
  <c r="F102" i="11"/>
  <c r="J94" i="11"/>
  <c r="H94" i="11"/>
  <c r="I94" i="11" s="1"/>
  <c r="G94" i="11"/>
  <c r="F94" i="11"/>
  <c r="J93" i="11"/>
  <c r="H93" i="11"/>
  <c r="I93" i="11" s="1"/>
  <c r="K93" i="11" s="1"/>
  <c r="G93" i="11"/>
  <c r="F93" i="11"/>
  <c r="J92" i="11"/>
  <c r="H92" i="11"/>
  <c r="G92" i="11"/>
  <c r="F92" i="11"/>
  <c r="J91" i="11"/>
  <c r="H91" i="11"/>
  <c r="G91" i="11"/>
  <c r="F91" i="11"/>
  <c r="J90" i="11"/>
  <c r="H90" i="11"/>
  <c r="I90" i="11" s="1"/>
  <c r="G90" i="11"/>
  <c r="F90" i="11"/>
  <c r="J89" i="11"/>
  <c r="I89" i="11"/>
  <c r="K89" i="11" s="1"/>
  <c r="H89" i="11"/>
  <c r="G89" i="11"/>
  <c r="F89" i="11"/>
  <c r="J88" i="11"/>
  <c r="H88" i="11"/>
  <c r="G88" i="11"/>
  <c r="F88" i="11"/>
  <c r="J87" i="11"/>
  <c r="H87" i="11"/>
  <c r="G87" i="11"/>
  <c r="F87" i="11"/>
  <c r="J86" i="11"/>
  <c r="H86" i="11"/>
  <c r="G86" i="11"/>
  <c r="F86" i="11"/>
  <c r="J80" i="11"/>
  <c r="I80" i="11"/>
  <c r="H80" i="11"/>
  <c r="K80" i="11" s="1"/>
  <c r="G80" i="11"/>
  <c r="F80" i="11"/>
  <c r="J79" i="11"/>
  <c r="I79" i="11"/>
  <c r="H79" i="11"/>
  <c r="G79" i="11"/>
  <c r="F79" i="11"/>
  <c r="J78" i="11"/>
  <c r="I78" i="11"/>
  <c r="H78" i="11"/>
  <c r="K78" i="11" s="1"/>
  <c r="G78" i="11"/>
  <c r="F78" i="11"/>
  <c r="J77" i="11"/>
  <c r="I77" i="11"/>
  <c r="H77" i="11"/>
  <c r="G77" i="11"/>
  <c r="F77" i="11"/>
  <c r="K72" i="11"/>
  <c r="K71" i="11"/>
  <c r="K70" i="11"/>
  <c r="J69" i="11"/>
  <c r="I69" i="11"/>
  <c r="H69" i="11"/>
  <c r="G69" i="11"/>
  <c r="F69" i="11"/>
  <c r="J68" i="11"/>
  <c r="I68" i="11"/>
  <c r="H68" i="11"/>
  <c r="K68" i="11" s="1"/>
  <c r="G68" i="11"/>
  <c r="G74" i="11" s="1"/>
  <c r="G144" i="11" s="1"/>
  <c r="F68" i="11"/>
  <c r="K62" i="11"/>
  <c r="K61" i="11"/>
  <c r="K60" i="11"/>
  <c r="K59" i="11"/>
  <c r="J58" i="11"/>
  <c r="I58" i="11"/>
  <c r="H58" i="11"/>
  <c r="G58" i="11"/>
  <c r="F58" i="11"/>
  <c r="J57" i="11"/>
  <c r="I57" i="11"/>
  <c r="H57" i="11"/>
  <c r="G57" i="11"/>
  <c r="F57" i="11"/>
  <c r="J56" i="11"/>
  <c r="I56" i="11"/>
  <c r="H56" i="11"/>
  <c r="G56" i="11"/>
  <c r="F56" i="11"/>
  <c r="J55" i="11"/>
  <c r="I55" i="11"/>
  <c r="H55" i="11"/>
  <c r="G55" i="11"/>
  <c r="F55" i="11"/>
  <c r="J54" i="11"/>
  <c r="I54" i="11"/>
  <c r="H54" i="11"/>
  <c r="K54" i="11" s="1"/>
  <c r="G54" i="11"/>
  <c r="F54" i="11"/>
  <c r="J53" i="11"/>
  <c r="I53" i="11"/>
  <c r="I64" i="11" s="1"/>
  <c r="I143" i="11" s="1"/>
  <c r="H53" i="11"/>
  <c r="G53" i="11"/>
  <c r="F53" i="11"/>
  <c r="K47" i="11"/>
  <c r="K46" i="11"/>
  <c r="J45" i="11"/>
  <c r="I45" i="11"/>
  <c r="H45" i="11"/>
  <c r="G45" i="11"/>
  <c r="F45" i="11"/>
  <c r="J44" i="11"/>
  <c r="I44" i="11"/>
  <c r="H44" i="11"/>
  <c r="G44" i="11"/>
  <c r="F44" i="11"/>
  <c r="J43" i="11"/>
  <c r="I43" i="11"/>
  <c r="H43" i="11"/>
  <c r="G43" i="11"/>
  <c r="F43" i="11"/>
  <c r="J42" i="11"/>
  <c r="I42" i="11"/>
  <c r="H42" i="11"/>
  <c r="G42" i="11"/>
  <c r="F42" i="11"/>
  <c r="J41" i="11"/>
  <c r="I41" i="11"/>
  <c r="H41" i="11"/>
  <c r="K41" i="11" s="1"/>
  <c r="G41" i="11"/>
  <c r="F41" i="11"/>
  <c r="J40" i="11"/>
  <c r="I40" i="11"/>
  <c r="H40" i="11"/>
  <c r="G40" i="11"/>
  <c r="F40" i="11"/>
  <c r="I34" i="11"/>
  <c r="K34" i="11" s="1"/>
  <c r="I32" i="11"/>
  <c r="K32" i="11" s="1"/>
  <c r="J31" i="11"/>
  <c r="H31" i="11"/>
  <c r="G31" i="11"/>
  <c r="F31" i="11"/>
  <c r="J30" i="11"/>
  <c r="H30" i="11"/>
  <c r="G30" i="11"/>
  <c r="F30" i="11"/>
  <c r="J29" i="11"/>
  <c r="I29" i="11"/>
  <c r="H29" i="11"/>
  <c r="G29" i="11"/>
  <c r="F29" i="11"/>
  <c r="J28" i="11"/>
  <c r="H28" i="11"/>
  <c r="G28" i="11"/>
  <c r="F28" i="11"/>
  <c r="J27" i="11"/>
  <c r="H27" i="11"/>
  <c r="I27" i="11" s="1"/>
  <c r="G27" i="11"/>
  <c r="F27" i="11"/>
  <c r="J26" i="11"/>
  <c r="H26" i="11"/>
  <c r="G26" i="11"/>
  <c r="F26" i="11"/>
  <c r="J25" i="11"/>
  <c r="H25" i="11"/>
  <c r="G25" i="11"/>
  <c r="F25" i="11"/>
  <c r="J24" i="11"/>
  <c r="H24" i="11"/>
  <c r="G24" i="11"/>
  <c r="F24" i="11"/>
  <c r="J23" i="11"/>
  <c r="H23" i="11"/>
  <c r="I23" i="11" s="1"/>
  <c r="G23" i="11"/>
  <c r="F23" i="11"/>
  <c r="J22" i="11"/>
  <c r="H22" i="11"/>
  <c r="G22" i="11"/>
  <c r="F22" i="11"/>
  <c r="J21" i="11"/>
  <c r="K21" i="11" s="1"/>
  <c r="I21" i="11"/>
  <c r="H21" i="11"/>
  <c r="G21" i="11"/>
  <c r="F21" i="11"/>
  <c r="F36" i="11" s="1"/>
  <c r="F141" i="11" s="1"/>
  <c r="J18" i="11"/>
  <c r="J150" i="11" s="1"/>
  <c r="I18" i="11"/>
  <c r="I150" i="11" s="1"/>
  <c r="H18" i="11"/>
  <c r="F49" i="11" l="1"/>
  <c r="F142" i="11" s="1"/>
  <c r="K53" i="11"/>
  <c r="K56" i="11"/>
  <c r="K58" i="11"/>
  <c r="G82" i="11"/>
  <c r="G145" i="11" s="1"/>
  <c r="F98" i="11"/>
  <c r="F146" i="11" s="1"/>
  <c r="K18" i="11"/>
  <c r="K150" i="11" s="1"/>
  <c r="J49" i="11"/>
  <c r="J142" i="11" s="1"/>
  <c r="J64" i="11"/>
  <c r="J143" i="11" s="1"/>
  <c r="I74" i="11"/>
  <c r="I144" i="11" s="1"/>
  <c r="K77" i="11"/>
  <c r="F108" i="11"/>
  <c r="F147" i="11" s="1"/>
  <c r="J108" i="11"/>
  <c r="J147" i="11" s="1"/>
  <c r="G36" i="11"/>
  <c r="G141" i="11" s="1"/>
  <c r="K29" i="11"/>
  <c r="F64" i="11"/>
  <c r="F143" i="11" s="1"/>
  <c r="H36" i="11"/>
  <c r="H141" i="11" s="1"/>
  <c r="K40" i="11"/>
  <c r="G49" i="11"/>
  <c r="G142" i="11" s="1"/>
  <c r="K43" i="11"/>
  <c r="K45" i="11"/>
  <c r="H74" i="11"/>
  <c r="H144" i="11" s="1"/>
  <c r="F82" i="11"/>
  <c r="F145" i="11" s="1"/>
  <c r="J82" i="11"/>
  <c r="J145" i="11" s="1"/>
  <c r="J98" i="11"/>
  <c r="J146" i="11" s="1"/>
  <c r="J36" i="11"/>
  <c r="J141" i="11" s="1"/>
  <c r="H64" i="11"/>
  <c r="H143" i="11" s="1"/>
  <c r="I82" i="11"/>
  <c r="I145" i="11" s="1"/>
  <c r="H98" i="11"/>
  <c r="H146" i="11" s="1"/>
  <c r="I86" i="11"/>
  <c r="I22" i="11"/>
  <c r="I26" i="11"/>
  <c r="K26" i="11" s="1"/>
  <c r="I49" i="11"/>
  <c r="I142" i="11" s="1"/>
  <c r="I106" i="11"/>
  <c r="K106" i="11" s="1"/>
  <c r="I96" i="11"/>
  <c r="K96" i="11" s="1"/>
  <c r="I30" i="11"/>
  <c r="K30" i="11" s="1"/>
  <c r="I31" i="11"/>
  <c r="K31" i="11" s="1"/>
  <c r="I33" i="11"/>
  <c r="K33" i="11" s="1"/>
  <c r="K44" i="11"/>
  <c r="K57" i="11"/>
  <c r="I87" i="11"/>
  <c r="K87" i="11" s="1"/>
  <c r="I88" i="11"/>
  <c r="K88" i="11" s="1"/>
  <c r="K90" i="11"/>
  <c r="I91" i="11"/>
  <c r="K91" i="11" s="1"/>
  <c r="I92" i="11"/>
  <c r="K92" i="11" s="1"/>
  <c r="K94" i="11"/>
  <c r="H108" i="11"/>
  <c r="H147" i="11" s="1"/>
  <c r="I102" i="11"/>
  <c r="K104" i="11"/>
  <c r="I105" i="11"/>
  <c r="K105" i="11" s="1"/>
  <c r="H150" i="11"/>
  <c r="K23" i="11"/>
  <c r="I24" i="11"/>
  <c r="K24" i="11" s="1"/>
  <c r="I25" i="11"/>
  <c r="K25" i="11" s="1"/>
  <c r="K27" i="11"/>
  <c r="I28" i="11"/>
  <c r="K28" i="11" s="1"/>
  <c r="K42" i="11"/>
  <c r="H49" i="11"/>
  <c r="H142" i="11" s="1"/>
  <c r="G64" i="11"/>
  <c r="G143" i="11" s="1"/>
  <c r="K55" i="11"/>
  <c r="K64" i="11" s="1"/>
  <c r="K143" i="11" s="1"/>
  <c r="F74" i="11"/>
  <c r="F144" i="11" s="1"/>
  <c r="J74" i="11"/>
  <c r="J144" i="11" s="1"/>
  <c r="K69" i="11"/>
  <c r="K74" i="11" s="1"/>
  <c r="K144" i="11" s="1"/>
  <c r="H82" i="11"/>
  <c r="H145" i="11" s="1"/>
  <c r="K79" i="11"/>
  <c r="K82" i="11" s="1"/>
  <c r="K145" i="11" s="1"/>
  <c r="G98" i="11"/>
  <c r="G146" i="11" s="1"/>
  <c r="G152" i="11" s="1"/>
  <c r="I95" i="11"/>
  <c r="K95" i="11" s="1"/>
  <c r="H152" i="11" l="1"/>
  <c r="I36" i="11"/>
  <c r="I141" i="11" s="1"/>
  <c r="F152" i="11"/>
  <c r="K49" i="11"/>
  <c r="K142" i="11" s="1"/>
  <c r="I98" i="11"/>
  <c r="I146" i="11" s="1"/>
  <c r="K22" i="11"/>
  <c r="K36" i="11" s="1"/>
  <c r="K141" i="11" s="1"/>
  <c r="I108" i="11"/>
  <c r="I147" i="11" s="1"/>
  <c r="K102" i="11"/>
  <c r="K108" i="11" s="1"/>
  <c r="K147" i="11" s="1"/>
  <c r="K86" i="11"/>
  <c r="K98" i="11" s="1"/>
  <c r="K146" i="11" s="1"/>
  <c r="J152" i="11"/>
  <c r="K152" i="11" l="1"/>
  <c r="I152" i="11"/>
  <c r="F155" i="11"/>
  <c r="F154" i="11"/>
  <c r="J150" i="10" l="1"/>
  <c r="I150" i="10"/>
  <c r="J149" i="10"/>
  <c r="H149" i="10"/>
  <c r="F149" i="10"/>
  <c r="I145" i="10"/>
  <c r="G145" i="10"/>
  <c r="I144" i="10"/>
  <c r="G144" i="10"/>
  <c r="I143" i="10"/>
  <c r="G143" i="10"/>
  <c r="I142" i="10"/>
  <c r="G142" i="10"/>
  <c r="G141" i="10"/>
  <c r="J137" i="10"/>
  <c r="I137" i="10"/>
  <c r="I149" i="10" s="1"/>
  <c r="H137" i="10"/>
  <c r="G137" i="10"/>
  <c r="G149" i="10" s="1"/>
  <c r="F137" i="10"/>
  <c r="K135" i="10"/>
  <c r="K134" i="10"/>
  <c r="K133" i="10"/>
  <c r="K132" i="10"/>
  <c r="K131" i="10"/>
  <c r="K137" i="10" s="1"/>
  <c r="K149" i="10" s="1"/>
  <c r="F127" i="10"/>
  <c r="F125" i="10"/>
  <c r="F123" i="10"/>
  <c r="F121" i="10"/>
  <c r="F118" i="10"/>
  <c r="F117" i="10"/>
  <c r="F119" i="10" s="1"/>
  <c r="F114" i="10"/>
  <c r="I106" i="10" s="1"/>
  <c r="K106" i="10" s="1"/>
  <c r="F111" i="10"/>
  <c r="K148" i="10" s="1"/>
  <c r="J108" i="10"/>
  <c r="J147" i="10" s="1"/>
  <c r="H105" i="10"/>
  <c r="G105" i="10"/>
  <c r="F105" i="10"/>
  <c r="H104" i="10"/>
  <c r="I104" i="10" s="1"/>
  <c r="G104" i="10"/>
  <c r="F104" i="10"/>
  <c r="H103" i="10"/>
  <c r="G103" i="10"/>
  <c r="F103" i="10"/>
  <c r="H102" i="10"/>
  <c r="G102" i="10"/>
  <c r="F102" i="10"/>
  <c r="J98" i="10"/>
  <c r="J146" i="10" s="1"/>
  <c r="G98" i="10"/>
  <c r="G146" i="10" s="1"/>
  <c r="F98" i="10"/>
  <c r="F146" i="10" s="1"/>
  <c r="H94" i="10"/>
  <c r="I94" i="10" s="1"/>
  <c r="H93" i="10"/>
  <c r="H92" i="10"/>
  <c r="I91" i="10"/>
  <c r="H91" i="10"/>
  <c r="H90" i="10"/>
  <c r="H89" i="10"/>
  <c r="I89" i="10" s="1"/>
  <c r="H88" i="10"/>
  <c r="H87" i="10"/>
  <c r="I87" i="10" s="1"/>
  <c r="H86" i="10"/>
  <c r="J82" i="10"/>
  <c r="J145" i="10" s="1"/>
  <c r="I82" i="10"/>
  <c r="G82" i="10"/>
  <c r="F82" i="10"/>
  <c r="F145" i="10" s="1"/>
  <c r="H80" i="10"/>
  <c r="K80" i="10" s="1"/>
  <c r="H79" i="10"/>
  <c r="K79" i="10" s="1"/>
  <c r="H78" i="10"/>
  <c r="K78" i="10" s="1"/>
  <c r="H77" i="10"/>
  <c r="J74" i="10"/>
  <c r="J144" i="10" s="1"/>
  <c r="I74" i="10"/>
  <c r="G74" i="10"/>
  <c r="F74" i="10"/>
  <c r="F144" i="10" s="1"/>
  <c r="K72" i="10"/>
  <c r="K71" i="10"/>
  <c r="H70" i="10"/>
  <c r="K70" i="10" s="1"/>
  <c r="H69" i="10"/>
  <c r="K69" i="10" s="1"/>
  <c r="H68" i="10"/>
  <c r="K68" i="10" s="1"/>
  <c r="J64" i="10"/>
  <c r="J143" i="10" s="1"/>
  <c r="I64" i="10"/>
  <c r="G64" i="10"/>
  <c r="F64" i="10"/>
  <c r="F143" i="10" s="1"/>
  <c r="K62" i="10"/>
  <c r="K61" i="10"/>
  <c r="K60" i="10"/>
  <c r="K59" i="10"/>
  <c r="H58" i="10"/>
  <c r="K58" i="10" s="1"/>
  <c r="H57" i="10"/>
  <c r="K57" i="10" s="1"/>
  <c r="H56" i="10"/>
  <c r="K56" i="10" s="1"/>
  <c r="H55" i="10"/>
  <c r="K55" i="10" s="1"/>
  <c r="H54" i="10"/>
  <c r="K54" i="10" s="1"/>
  <c r="H53" i="10"/>
  <c r="I49" i="10"/>
  <c r="G49" i="10"/>
  <c r="F49" i="10"/>
  <c r="F142" i="10" s="1"/>
  <c r="K47" i="10"/>
  <c r="K46" i="10"/>
  <c r="J45" i="10"/>
  <c r="H45" i="10"/>
  <c r="K45" i="10" s="1"/>
  <c r="J44" i="10"/>
  <c r="K44" i="10" s="1"/>
  <c r="H44" i="10"/>
  <c r="J43" i="10"/>
  <c r="H43" i="10"/>
  <c r="K43" i="10" s="1"/>
  <c r="J42" i="10"/>
  <c r="H42" i="10"/>
  <c r="J41" i="10"/>
  <c r="H41" i="10"/>
  <c r="K41" i="10" s="1"/>
  <c r="J40" i="10"/>
  <c r="H40" i="10"/>
  <c r="K40" i="10" s="1"/>
  <c r="G36" i="10"/>
  <c r="F36" i="10"/>
  <c r="F141" i="10" s="1"/>
  <c r="J31" i="10"/>
  <c r="H31" i="10"/>
  <c r="J30" i="10"/>
  <c r="H30" i="10"/>
  <c r="J29" i="10"/>
  <c r="H29" i="10"/>
  <c r="J28" i="10"/>
  <c r="H28" i="10"/>
  <c r="J27" i="10"/>
  <c r="H27" i="10"/>
  <c r="J26" i="10"/>
  <c r="H26" i="10"/>
  <c r="J25" i="10"/>
  <c r="H25" i="10"/>
  <c r="J24" i="10"/>
  <c r="H24" i="10"/>
  <c r="J23" i="10"/>
  <c r="H23" i="10"/>
  <c r="J22" i="10"/>
  <c r="H22" i="10"/>
  <c r="J21" i="10"/>
  <c r="H21" i="10"/>
  <c r="H18" i="10"/>
  <c r="K18" i="10" s="1"/>
  <c r="K150" i="10" s="1"/>
  <c r="J36" i="10" l="1"/>
  <c r="J141" i="10" s="1"/>
  <c r="H82" i="10"/>
  <c r="H145" i="10" s="1"/>
  <c r="H98" i="10"/>
  <c r="H146" i="10" s="1"/>
  <c r="F108" i="10"/>
  <c r="F147" i="10" s="1"/>
  <c r="F152" i="10" s="1"/>
  <c r="I24" i="10"/>
  <c r="I28" i="10"/>
  <c r="I32" i="10"/>
  <c r="K32" i="10" s="1"/>
  <c r="I33" i="10"/>
  <c r="K33" i="10" s="1"/>
  <c r="H49" i="10"/>
  <c r="H142" i="10" s="1"/>
  <c r="J49" i="10"/>
  <c r="J142" i="10" s="1"/>
  <c r="I90" i="10"/>
  <c r="H108" i="10"/>
  <c r="H147" i="10" s="1"/>
  <c r="I103" i="10"/>
  <c r="K103" i="10" s="1"/>
  <c r="K89" i="10"/>
  <c r="I22" i="10"/>
  <c r="I26" i="10"/>
  <c r="K26" i="10" s="1"/>
  <c r="I30" i="10"/>
  <c r="H64" i="10"/>
  <c r="H143" i="10" s="1"/>
  <c r="K87" i="10"/>
  <c r="G108" i="10"/>
  <c r="G147" i="10" s="1"/>
  <c r="G152" i="10" s="1"/>
  <c r="K104" i="10"/>
  <c r="I21" i="10"/>
  <c r="I23" i="10"/>
  <c r="I25" i="10"/>
  <c r="K25" i="10" s="1"/>
  <c r="I27" i="10"/>
  <c r="I29" i="10"/>
  <c r="I31" i="10"/>
  <c r="I34" i="10"/>
  <c r="K34" i="10" s="1"/>
  <c r="K42" i="10"/>
  <c r="K91" i="10"/>
  <c r="I93" i="10"/>
  <c r="K93" i="10" s="1"/>
  <c r="I102" i="10"/>
  <c r="K102" i="10" s="1"/>
  <c r="K74" i="10"/>
  <c r="K144" i="10" s="1"/>
  <c r="J152" i="10"/>
  <c r="K49" i="10"/>
  <c r="K142" i="10" s="1"/>
  <c r="H74" i="10"/>
  <c r="H144" i="10" s="1"/>
  <c r="K90" i="10"/>
  <c r="K94" i="10"/>
  <c r="H150" i="10"/>
  <c r="K21" i="10"/>
  <c r="K23" i="10"/>
  <c r="K24" i="10"/>
  <c r="K27" i="10"/>
  <c r="K28" i="10"/>
  <c r="K29" i="10"/>
  <c r="K30" i="10"/>
  <c r="K31" i="10"/>
  <c r="K53" i="10"/>
  <c r="K64" i="10" s="1"/>
  <c r="K143" i="10" s="1"/>
  <c r="K77" i="10"/>
  <c r="K82" i="10" s="1"/>
  <c r="K145" i="10" s="1"/>
  <c r="I88" i="10"/>
  <c r="K88" i="10" s="1"/>
  <c r="I92" i="10"/>
  <c r="K92" i="10" s="1"/>
  <c r="I95" i="10"/>
  <c r="K95" i="10" s="1"/>
  <c r="I105" i="10"/>
  <c r="K105" i="10" s="1"/>
  <c r="H36" i="10"/>
  <c r="H141" i="10" s="1"/>
  <c r="I86" i="10"/>
  <c r="K86" i="10" s="1"/>
  <c r="I96" i="10"/>
  <c r="K96" i="10" s="1"/>
  <c r="I36" i="10" l="1"/>
  <c r="I141" i="10" s="1"/>
  <c r="H152" i="10"/>
  <c r="K108" i="10"/>
  <c r="K147" i="10" s="1"/>
  <c r="K22" i="10"/>
  <c r="K36" i="10" s="1"/>
  <c r="K141" i="10" s="1"/>
  <c r="K98" i="10"/>
  <c r="K146" i="10" s="1"/>
  <c r="I98" i="10"/>
  <c r="I146" i="10" s="1"/>
  <c r="I108" i="10"/>
  <c r="I147" i="10" s="1"/>
  <c r="I152" i="10" l="1"/>
  <c r="K152" i="10"/>
  <c r="F155" i="10"/>
  <c r="F154" i="10"/>
  <c r="J150" i="9" l="1"/>
  <c r="I150" i="9"/>
  <c r="I149" i="9"/>
  <c r="H149" i="9"/>
  <c r="F146" i="9"/>
  <c r="G145" i="9"/>
  <c r="J144" i="9"/>
  <c r="F142" i="9"/>
  <c r="J137" i="9"/>
  <c r="J149" i="9" s="1"/>
  <c r="I137" i="9"/>
  <c r="H137" i="9"/>
  <c r="G137" i="9"/>
  <c r="G149" i="9" s="1"/>
  <c r="F137" i="9"/>
  <c r="F149" i="9" s="1"/>
  <c r="K135" i="9"/>
  <c r="K134" i="9"/>
  <c r="K133" i="9"/>
  <c r="K132" i="9"/>
  <c r="K131" i="9"/>
  <c r="F127" i="9"/>
  <c r="F125" i="9"/>
  <c r="F123" i="9"/>
  <c r="F121" i="9"/>
  <c r="F118" i="9"/>
  <c r="F117" i="9"/>
  <c r="F114" i="9"/>
  <c r="F111" i="9"/>
  <c r="K148" i="9" s="1"/>
  <c r="J108" i="9"/>
  <c r="J147" i="9" s="1"/>
  <c r="H104" i="9"/>
  <c r="I104" i="9" s="1"/>
  <c r="K104" i="9" s="1"/>
  <c r="G104" i="9"/>
  <c r="F104" i="9"/>
  <c r="H103" i="9"/>
  <c r="G103" i="9"/>
  <c r="F103" i="9"/>
  <c r="H102" i="9"/>
  <c r="G102" i="9"/>
  <c r="F102" i="9"/>
  <c r="F108" i="9" s="1"/>
  <c r="F147" i="9" s="1"/>
  <c r="J98" i="9"/>
  <c r="J146" i="9" s="1"/>
  <c r="G98" i="9"/>
  <c r="G146" i="9" s="1"/>
  <c r="F98" i="9"/>
  <c r="H94" i="9"/>
  <c r="H93" i="9"/>
  <c r="H92" i="9"/>
  <c r="I92" i="9" s="1"/>
  <c r="K92" i="9" s="1"/>
  <c r="H91" i="9"/>
  <c r="H90" i="9"/>
  <c r="H89" i="9"/>
  <c r="I88" i="9"/>
  <c r="K88" i="9" s="1"/>
  <c r="H88" i="9"/>
  <c r="H87" i="9"/>
  <c r="H86" i="9"/>
  <c r="J82" i="9"/>
  <c r="J145" i="9" s="1"/>
  <c r="I82" i="9"/>
  <c r="I145" i="9" s="1"/>
  <c r="G82" i="9"/>
  <c r="F82" i="9"/>
  <c r="F145" i="9" s="1"/>
  <c r="H80" i="9"/>
  <c r="K80" i="9" s="1"/>
  <c r="H79" i="9"/>
  <c r="K79" i="9" s="1"/>
  <c r="H78" i="9"/>
  <c r="K78" i="9" s="1"/>
  <c r="H77" i="9"/>
  <c r="K77" i="9" s="1"/>
  <c r="J74" i="9"/>
  <c r="I74" i="9"/>
  <c r="I144" i="9" s="1"/>
  <c r="G74" i="9"/>
  <c r="G144" i="9" s="1"/>
  <c r="F74" i="9"/>
  <c r="F144" i="9" s="1"/>
  <c r="K72" i="9"/>
  <c r="K71" i="9"/>
  <c r="H70" i="9"/>
  <c r="K70" i="9" s="1"/>
  <c r="H69" i="9"/>
  <c r="K69" i="9" s="1"/>
  <c r="H68" i="9"/>
  <c r="J64" i="9"/>
  <c r="J143" i="9" s="1"/>
  <c r="I64" i="9"/>
  <c r="I143" i="9" s="1"/>
  <c r="G64" i="9"/>
  <c r="G143" i="9" s="1"/>
  <c r="F64" i="9"/>
  <c r="F143" i="9" s="1"/>
  <c r="K62" i="9"/>
  <c r="K61" i="9"/>
  <c r="K60" i="9"/>
  <c r="K59" i="9"/>
  <c r="H58" i="9"/>
  <c r="K58" i="9" s="1"/>
  <c r="H57" i="9"/>
  <c r="K57" i="9" s="1"/>
  <c r="H56" i="9"/>
  <c r="K56" i="9" s="1"/>
  <c r="H55" i="9"/>
  <c r="K55" i="9" s="1"/>
  <c r="H54" i="9"/>
  <c r="K54" i="9" s="1"/>
  <c r="H53" i="9"/>
  <c r="K53" i="9" s="1"/>
  <c r="I49" i="9"/>
  <c r="I142" i="9" s="1"/>
  <c r="G49" i="9"/>
  <c r="G142" i="9" s="1"/>
  <c r="F49" i="9"/>
  <c r="K47" i="9"/>
  <c r="K46" i="9"/>
  <c r="J45" i="9"/>
  <c r="H45" i="9"/>
  <c r="J44" i="9"/>
  <c r="H44" i="9"/>
  <c r="K44" i="9" s="1"/>
  <c r="J43" i="9"/>
  <c r="K43" i="9" s="1"/>
  <c r="H43" i="9"/>
  <c r="J42" i="9"/>
  <c r="H42" i="9"/>
  <c r="J41" i="9"/>
  <c r="J49" i="9" s="1"/>
  <c r="J142" i="9" s="1"/>
  <c r="H41" i="9"/>
  <c r="J40" i="9"/>
  <c r="H40" i="9"/>
  <c r="G36" i="9"/>
  <c r="G141" i="9" s="1"/>
  <c r="F36" i="9"/>
  <c r="F141" i="9" s="1"/>
  <c r="I32" i="9"/>
  <c r="K32" i="9" s="1"/>
  <c r="J31" i="9"/>
  <c r="H31" i="9"/>
  <c r="J30" i="9"/>
  <c r="H30" i="9"/>
  <c r="J29" i="9"/>
  <c r="K29" i="9" s="1"/>
  <c r="I29" i="9"/>
  <c r="H29" i="9"/>
  <c r="J28" i="9"/>
  <c r="H28" i="9"/>
  <c r="J27" i="9"/>
  <c r="H27" i="9"/>
  <c r="I27" i="9" s="1"/>
  <c r="J26" i="9"/>
  <c r="H26" i="9"/>
  <c r="J25" i="9"/>
  <c r="H25" i="9"/>
  <c r="J24" i="9"/>
  <c r="H24" i="9"/>
  <c r="J23" i="9"/>
  <c r="H23" i="9"/>
  <c r="I23" i="9" s="1"/>
  <c r="J22" i="9"/>
  <c r="H22" i="9"/>
  <c r="J21" i="9"/>
  <c r="H21" i="9"/>
  <c r="H18" i="9"/>
  <c r="H150" i="9" s="1"/>
  <c r="F119" i="9" l="1"/>
  <c r="K82" i="9"/>
  <c r="K145" i="9" s="1"/>
  <c r="K64" i="9"/>
  <c r="K143" i="9" s="1"/>
  <c r="K18" i="9"/>
  <c r="K150" i="9" s="1"/>
  <c r="K42" i="9"/>
  <c r="H82" i="9"/>
  <c r="H145" i="9" s="1"/>
  <c r="J36" i="9"/>
  <c r="J141" i="9" s="1"/>
  <c r="J152" i="9" s="1"/>
  <c r="K41" i="9"/>
  <c r="G108" i="9"/>
  <c r="G147" i="9" s="1"/>
  <c r="G152" i="9" s="1"/>
  <c r="F152" i="9"/>
  <c r="H98" i="9"/>
  <c r="H146" i="9" s="1"/>
  <c r="I86" i="9"/>
  <c r="K86" i="9" s="1"/>
  <c r="I90" i="9"/>
  <c r="K90" i="9" s="1"/>
  <c r="I94" i="9"/>
  <c r="K94" i="9" s="1"/>
  <c r="I106" i="9"/>
  <c r="K106" i="9" s="1"/>
  <c r="I33" i="9"/>
  <c r="K33" i="9" s="1"/>
  <c r="I96" i="9"/>
  <c r="K96" i="9" s="1"/>
  <c r="I22" i="9"/>
  <c r="I26" i="9"/>
  <c r="K26" i="9" s="1"/>
  <c r="I31" i="9"/>
  <c r="K31" i="9" s="1"/>
  <c r="H36" i="9"/>
  <c r="H141" i="9" s="1"/>
  <c r="I95" i="9"/>
  <c r="K95" i="9" s="1"/>
  <c r="H108" i="9"/>
  <c r="H147" i="9" s="1"/>
  <c r="I103" i="9"/>
  <c r="K103" i="9" s="1"/>
  <c r="I21" i="9"/>
  <c r="K23" i="9"/>
  <c r="I25" i="9"/>
  <c r="K25" i="9" s="1"/>
  <c r="K27" i="9"/>
  <c r="I30" i="9"/>
  <c r="K30" i="9" s="1"/>
  <c r="I34" i="9"/>
  <c r="K34" i="9" s="1"/>
  <c r="H64" i="9"/>
  <c r="H143" i="9" s="1"/>
  <c r="H74" i="9"/>
  <c r="H144" i="9" s="1"/>
  <c r="K68" i="9"/>
  <c r="K74" i="9" s="1"/>
  <c r="K144" i="9" s="1"/>
  <c r="I87" i="9"/>
  <c r="K87" i="9" s="1"/>
  <c r="I89" i="9"/>
  <c r="K89" i="9" s="1"/>
  <c r="I91" i="9"/>
  <c r="K91" i="9" s="1"/>
  <c r="I93" i="9"/>
  <c r="K93" i="9" s="1"/>
  <c r="I102" i="9"/>
  <c r="I105" i="9"/>
  <c r="K105" i="9" s="1"/>
  <c r="K22" i="9"/>
  <c r="I24" i="9"/>
  <c r="K24" i="9" s="1"/>
  <c r="I28" i="9"/>
  <c r="K28" i="9" s="1"/>
  <c r="H49" i="9"/>
  <c r="H142" i="9" s="1"/>
  <c r="K40" i="9"/>
  <c r="K45" i="9"/>
  <c r="K137" i="9"/>
  <c r="K149" i="9" s="1"/>
  <c r="K98" i="9" l="1"/>
  <c r="K146" i="9" s="1"/>
  <c r="K49" i="9"/>
  <c r="K142" i="9" s="1"/>
  <c r="I108" i="9"/>
  <c r="I147" i="9" s="1"/>
  <c r="K102" i="9"/>
  <c r="K108" i="9" s="1"/>
  <c r="K147" i="9" s="1"/>
  <c r="I98" i="9"/>
  <c r="I146" i="9" s="1"/>
  <c r="I36" i="9"/>
  <c r="I141" i="9" s="1"/>
  <c r="K21" i="9"/>
  <c r="K36" i="9" s="1"/>
  <c r="K141" i="9" s="1"/>
  <c r="H152" i="9"/>
  <c r="K152" i="9" l="1"/>
  <c r="I152" i="9"/>
  <c r="F155" i="9" l="1"/>
  <c r="F154" i="9"/>
  <c r="N21" i="3" l="1"/>
  <c r="D21" i="3" s="1"/>
  <c r="N22" i="3"/>
  <c r="D22" i="3" s="1"/>
  <c r="N23" i="3"/>
  <c r="D23" i="3" s="1"/>
  <c r="N24" i="3"/>
  <c r="D24" i="3" s="1"/>
  <c r="N25" i="3"/>
  <c r="D25" i="3" s="1"/>
  <c r="N26" i="3"/>
  <c r="D26" i="3" s="1"/>
  <c r="N27" i="3"/>
  <c r="D27" i="3" s="1"/>
  <c r="N28" i="3"/>
  <c r="D28" i="3" s="1"/>
  <c r="N29" i="3"/>
  <c r="D29" i="3" s="1"/>
  <c r="N30" i="3"/>
  <c r="D30" i="3" s="1"/>
  <c r="N31" i="3"/>
  <c r="D31" i="3" s="1"/>
  <c r="N32" i="3"/>
  <c r="D32" i="3" s="1"/>
  <c r="N33" i="3"/>
  <c r="D33" i="3" s="1"/>
  <c r="N34" i="3"/>
  <c r="D34" i="3" s="1"/>
  <c r="N35" i="3"/>
  <c r="D35" i="3" s="1"/>
  <c r="N36" i="3"/>
  <c r="D36" i="3" s="1"/>
  <c r="N37" i="3"/>
  <c r="D37" i="3" s="1"/>
  <c r="N38" i="3"/>
  <c r="D38" i="3" s="1"/>
  <c r="N39" i="3"/>
  <c r="D39" i="3" s="1"/>
  <c r="N40" i="3"/>
  <c r="D40" i="3" s="1"/>
  <c r="N42" i="3"/>
  <c r="D42" i="3" s="1"/>
  <c r="E42" i="3" s="1"/>
  <c r="N41" i="3"/>
  <c r="D41" i="3" s="1"/>
  <c r="E41" i="3" s="1"/>
  <c r="E54" i="3" s="1"/>
  <c r="N43" i="3"/>
  <c r="D43" i="3" s="1"/>
  <c r="N44" i="3"/>
  <c r="D44" i="3" s="1"/>
  <c r="N48" i="3"/>
  <c r="D48" i="3" s="1"/>
  <c r="N45" i="3"/>
  <c r="D45" i="3" s="1"/>
  <c r="N46" i="3"/>
  <c r="D46" i="3" s="1"/>
  <c r="N49" i="3"/>
  <c r="D49" i="3" s="1"/>
  <c r="N50" i="3"/>
  <c r="D50" i="3" s="1"/>
  <c r="N51" i="3"/>
  <c r="D51" i="3" s="1"/>
  <c r="N52" i="3"/>
  <c r="D52" i="3" s="1"/>
  <c r="N53" i="3"/>
  <c r="D53" i="3" s="1"/>
  <c r="N47" i="3"/>
  <c r="D47" i="3" s="1"/>
  <c r="D2" i="8"/>
  <c r="J2" i="8" s="1"/>
  <c r="E2" i="8"/>
  <c r="D3" i="8"/>
  <c r="E3" i="8" s="1"/>
  <c r="D4" i="8"/>
  <c r="J4" i="8" s="1"/>
  <c r="E4" i="8"/>
  <c r="D5" i="8"/>
  <c r="J5" i="8" s="1"/>
  <c r="E5" i="8"/>
  <c r="D6" i="8"/>
  <c r="J6" i="8" s="1"/>
  <c r="E6" i="8"/>
  <c r="D7" i="8"/>
  <c r="E7" i="8" s="1"/>
  <c r="D8" i="8"/>
  <c r="J8" i="8" s="1"/>
  <c r="E8" i="8"/>
  <c r="D9" i="8"/>
  <c r="J9" i="8" s="1"/>
  <c r="D10" i="8"/>
  <c r="J10" i="8" s="1"/>
  <c r="E10" i="8"/>
  <c r="D11" i="8"/>
  <c r="J11" i="8" s="1"/>
  <c r="D12" i="8"/>
  <c r="J12" i="8" s="1"/>
  <c r="D13" i="8"/>
  <c r="E14" i="8" s="1"/>
  <c r="J13" i="8"/>
  <c r="D14" i="8"/>
  <c r="J14" i="8"/>
  <c r="D15" i="8"/>
  <c r="J15" i="8" s="1"/>
  <c r="E15" i="8"/>
  <c r="D16" i="8"/>
  <c r="J16" i="8" s="1"/>
  <c r="D17" i="8"/>
  <c r="J17" i="8" s="1"/>
  <c r="D18" i="8"/>
  <c r="J18" i="8" s="1"/>
  <c r="D19" i="8"/>
  <c r="J19" i="8" s="1"/>
  <c r="D20" i="8"/>
  <c r="J20" i="8" s="1"/>
  <c r="D21" i="8"/>
  <c r="J21" i="8"/>
  <c r="D22" i="8"/>
  <c r="J22" i="8" s="1"/>
  <c r="E22" i="8"/>
  <c r="D23" i="8"/>
  <c r="J23" i="8" s="1"/>
  <c r="E23" i="8"/>
  <c r="D24" i="8"/>
  <c r="J24" i="8" s="1"/>
  <c r="D25" i="8"/>
  <c r="J25" i="8" s="1"/>
  <c r="D26" i="8"/>
  <c r="J26" i="8" s="1"/>
  <c r="E26" i="8"/>
  <c r="D27" i="8"/>
  <c r="J27" i="8" s="1"/>
  <c r="D28" i="8"/>
  <c r="J28" i="8" s="1"/>
  <c r="D29" i="8"/>
  <c r="E30" i="8" s="1"/>
  <c r="J29" i="8"/>
  <c r="D30" i="8"/>
  <c r="J30" i="8"/>
  <c r="D31" i="8"/>
  <c r="J31" i="8" s="1"/>
  <c r="E31" i="8"/>
  <c r="D32" i="8"/>
  <c r="J32" i="8" s="1"/>
  <c r="D33" i="8"/>
  <c r="J33" i="8" s="1"/>
  <c r="D34" i="8"/>
  <c r="J34" i="8" s="1"/>
  <c r="D35" i="8"/>
  <c r="J35" i="8" s="1"/>
  <c r="D36" i="8"/>
  <c r="J36" i="8" s="1"/>
  <c r="D37" i="8"/>
  <c r="J37" i="8"/>
  <c r="D38" i="8"/>
  <c r="J38" i="8" s="1"/>
  <c r="E38" i="8"/>
  <c r="D39" i="8"/>
  <c r="J39" i="8" s="1"/>
  <c r="E39" i="8"/>
  <c r="D40" i="8"/>
  <c r="J40" i="8" s="1"/>
  <c r="D42" i="8"/>
  <c r="J42" i="8" s="1"/>
  <c r="D41" i="8"/>
  <c r="E45" i="8" s="1"/>
  <c r="J41" i="8"/>
  <c r="D43" i="8"/>
  <c r="J43" i="8" s="1"/>
  <c r="D44" i="8"/>
  <c r="J44" i="8" s="1"/>
  <c r="E44" i="8"/>
  <c r="D45" i="8"/>
  <c r="E43" i="8" s="1"/>
  <c r="D46" i="8"/>
  <c r="E46" i="8"/>
  <c r="J45" i="8"/>
  <c r="D47" i="8"/>
  <c r="E47" i="8" s="1"/>
  <c r="D48" i="8"/>
  <c r="J48" i="8" s="1"/>
  <c r="D49" i="8"/>
  <c r="J49" i="8" s="1"/>
  <c r="E49" i="8"/>
  <c r="D50" i="8"/>
  <c r="E51" i="8" s="1"/>
  <c r="D51" i="8"/>
  <c r="J51" i="8" s="1"/>
  <c r="D52" i="8"/>
  <c r="E53" i="8" s="1"/>
  <c r="E52" i="8"/>
  <c r="D53" i="8"/>
  <c r="E54" i="8" s="1"/>
  <c r="C54" i="8"/>
  <c r="D54" i="3" l="1"/>
  <c r="N54" i="3"/>
  <c r="E35" i="8"/>
  <c r="E19" i="8"/>
  <c r="J50" i="8"/>
  <c r="E34" i="8"/>
  <c r="E27" i="8"/>
  <c r="E18" i="8"/>
  <c r="E11" i="8"/>
  <c r="E40" i="8"/>
  <c r="E37" i="8"/>
  <c r="E32" i="8"/>
  <c r="E29" i="8"/>
  <c r="E24" i="8"/>
  <c r="E21" i="8"/>
  <c r="E16" i="8"/>
  <c r="E13" i="8"/>
  <c r="D54" i="8"/>
  <c r="J47" i="8"/>
  <c r="E36" i="8"/>
  <c r="E33" i="8"/>
  <c r="E28" i="8"/>
  <c r="E25" i="8"/>
  <c r="E20" i="8"/>
  <c r="E17" i="8"/>
  <c r="E12" i="8"/>
  <c r="E9" i="8"/>
  <c r="E48" i="8"/>
  <c r="E42" i="8"/>
  <c r="E50" i="8"/>
  <c r="J46" i="8"/>
  <c r="E41" i="8"/>
  <c r="J7" i="8"/>
  <c r="E55" i="8" l="1"/>
  <c r="B24" i="6"/>
  <c r="C24" i="6"/>
  <c r="B25" i="6"/>
  <c r="C25" i="6"/>
  <c r="D25" i="6"/>
  <c r="B26" i="6"/>
  <c r="C26" i="6"/>
  <c r="D26" i="6"/>
  <c r="B27" i="6"/>
  <c r="C27" i="6"/>
  <c r="D27" i="6"/>
  <c r="B28" i="6"/>
  <c r="C28" i="6"/>
  <c r="D28" i="6"/>
  <c r="B29" i="6"/>
  <c r="C29" i="6"/>
  <c r="D29" i="6"/>
  <c r="E32" i="6"/>
  <c r="E33" i="6"/>
  <c r="E34" i="6"/>
  <c r="E35" i="6"/>
  <c r="E36" i="6"/>
  <c r="E37" i="6"/>
  <c r="B54" i="6"/>
  <c r="C54" i="6"/>
  <c r="B42" i="6" s="1"/>
  <c r="B55" i="6"/>
  <c r="C55" i="6"/>
  <c r="C56" i="6"/>
  <c r="B57" i="6"/>
  <c r="C57" i="6"/>
  <c r="B45" i="6" s="1"/>
  <c r="B58" i="6"/>
  <c r="C58" i="6"/>
  <c r="B46" i="6" s="1"/>
  <c r="C59" i="6"/>
  <c r="B47" i="6" s="1"/>
  <c r="H21" i="61" l="1"/>
  <c r="H21" i="60"/>
  <c r="H20" i="61"/>
  <c r="H20" i="60"/>
  <c r="E28" i="6"/>
  <c r="E24" i="6"/>
  <c r="D54" i="6" s="1"/>
  <c r="C42" i="6" s="1"/>
  <c r="B66" i="6"/>
  <c r="B68" i="6"/>
  <c r="D58" i="6"/>
  <c r="C46" i="6" s="1"/>
  <c r="B43" i="6"/>
  <c r="B70" i="6"/>
  <c r="B69" i="6"/>
  <c r="E29" i="6"/>
  <c r="D59" i="6" s="1"/>
  <c r="E25" i="6"/>
  <c r="D55" i="6" s="1"/>
  <c r="C43" i="6" s="1"/>
  <c r="E26" i="6"/>
  <c r="D56" i="6" s="1"/>
  <c r="E27" i="6"/>
  <c r="D57" i="6" s="1"/>
  <c r="C45" i="6" s="1"/>
  <c r="I3" i="7"/>
  <c r="G3" i="7"/>
  <c r="G55" i="7"/>
  <c r="B67" i="6"/>
  <c r="B65" i="6"/>
  <c r="B44" i="6"/>
  <c r="J3" i="7" l="1"/>
  <c r="J57" i="7" s="1"/>
  <c r="I55" i="7"/>
  <c r="J55" i="7" s="1"/>
  <c r="H35" i="61"/>
  <c r="H35" i="60"/>
  <c r="H33" i="61"/>
  <c r="H33" i="60"/>
  <c r="H32" i="61"/>
  <c r="H32" i="60"/>
  <c r="H31" i="61"/>
  <c r="H31" i="60"/>
  <c r="H30" i="61"/>
  <c r="H30" i="60"/>
  <c r="H29" i="61"/>
  <c r="H29" i="60"/>
  <c r="H22" i="61"/>
  <c r="H22" i="60"/>
  <c r="H19" i="61"/>
  <c r="H19" i="60"/>
  <c r="H18" i="61"/>
  <c r="H18" i="60"/>
  <c r="H17" i="61"/>
  <c r="H17" i="60"/>
  <c r="H16" i="61"/>
  <c r="H16" i="60"/>
  <c r="H15" i="61"/>
  <c r="H15" i="60"/>
  <c r="H14" i="61"/>
  <c r="H14" i="60"/>
  <c r="H13" i="61"/>
  <c r="H13" i="60"/>
  <c r="H12" i="61"/>
  <c r="H12" i="60"/>
  <c r="H11" i="61"/>
  <c r="H11" i="60"/>
  <c r="H10" i="61"/>
  <c r="H10" i="60"/>
  <c r="H9" i="61"/>
  <c r="H9" i="60"/>
  <c r="H6" i="61"/>
  <c r="H6" i="60"/>
  <c r="H118" i="60" s="1"/>
  <c r="G57" i="7"/>
  <c r="C47" i="6"/>
  <c r="C44" i="6"/>
  <c r="H38" i="60" l="1"/>
  <c r="H110" i="60" s="1"/>
  <c r="C5" i="5" s="1"/>
  <c r="H38" i="61"/>
  <c r="H24" i="60"/>
  <c r="H109" i="60" s="1"/>
  <c r="C4" i="5" s="1"/>
  <c r="H24" i="61"/>
  <c r="C3" i="5"/>
  <c r="H118" i="61"/>
  <c r="F114" i="1"/>
  <c r="H110" i="61" l="1"/>
  <c r="H120" i="60"/>
  <c r="C13" i="5"/>
  <c r="H109" i="61"/>
  <c r="F111" i="1"/>
  <c r="G105" i="1"/>
  <c r="G104" i="1"/>
  <c r="G103" i="1"/>
  <c r="G102" i="1"/>
  <c r="F127" i="1"/>
  <c r="F125" i="1"/>
  <c r="F123" i="1"/>
  <c r="F121" i="1"/>
  <c r="F118" i="1"/>
  <c r="F117" i="1"/>
  <c r="H120" i="61" l="1"/>
  <c r="J150" i="1"/>
  <c r="I150" i="1"/>
  <c r="F119" i="1"/>
  <c r="G74" i="1"/>
  <c r="G144" i="1" s="1"/>
  <c r="I49" i="1"/>
  <c r="I142" i="1" s="1"/>
  <c r="G49" i="1"/>
  <c r="G142" i="1" s="1"/>
  <c r="G36" i="1"/>
  <c r="G141" i="1" s="1"/>
  <c r="I82" i="1"/>
  <c r="I145" i="1" s="1"/>
  <c r="K148" i="1"/>
  <c r="I106" i="1"/>
  <c r="K106" i="1" s="1"/>
  <c r="I96" i="1"/>
  <c r="K96" i="1" s="1"/>
  <c r="I95" i="1"/>
  <c r="K95" i="1" s="1"/>
  <c r="I34" i="1"/>
  <c r="K34" i="1" s="1"/>
  <c r="I33" i="1"/>
  <c r="K33" i="1" s="1"/>
  <c r="I32" i="1"/>
  <c r="K131" i="1"/>
  <c r="K132" i="1"/>
  <c r="K133" i="1"/>
  <c r="K134" i="1"/>
  <c r="K135" i="1"/>
  <c r="J137" i="1"/>
  <c r="J149" i="1"/>
  <c r="I137" i="1"/>
  <c r="I149" i="1" s="1"/>
  <c r="H137" i="1"/>
  <c r="H149" i="1"/>
  <c r="G137" i="1"/>
  <c r="G149" i="1" s="1"/>
  <c r="F137" i="1"/>
  <c r="F149" i="1"/>
  <c r="J108" i="1"/>
  <c r="J147" i="1" s="1"/>
  <c r="G108" i="1"/>
  <c r="G147" i="1" s="1"/>
  <c r="J98" i="1"/>
  <c r="J146" i="1" s="1"/>
  <c r="G98" i="1"/>
  <c r="G146" i="1" s="1"/>
  <c r="J82" i="1"/>
  <c r="J145" i="1" s="1"/>
  <c r="G82" i="1"/>
  <c r="G145" i="1" s="1"/>
  <c r="K71" i="1"/>
  <c r="K72" i="1"/>
  <c r="J74" i="1"/>
  <c r="J144" i="1"/>
  <c r="K59" i="1"/>
  <c r="K60" i="1"/>
  <c r="K61" i="1"/>
  <c r="K62" i="1"/>
  <c r="J64" i="1"/>
  <c r="J143" i="1" s="1"/>
  <c r="I64" i="1"/>
  <c r="I143" i="1" s="1"/>
  <c r="G64" i="1"/>
  <c r="G143" i="1" s="1"/>
  <c r="K46" i="1"/>
  <c r="K47" i="1"/>
  <c r="K32" i="1"/>
  <c r="K137" i="1"/>
  <c r="K149" i="1" s="1"/>
  <c r="G152" i="1" l="1"/>
  <c r="F102" i="1" l="1"/>
  <c r="H70" i="1"/>
  <c r="I70" i="1"/>
  <c r="J25" i="1"/>
  <c r="H18" i="1"/>
  <c r="H23" i="1"/>
  <c r="J23" i="1"/>
  <c r="J24" i="1"/>
  <c r="H26" i="1"/>
  <c r="I26" i="1" s="1"/>
  <c r="J26" i="1"/>
  <c r="H27" i="1"/>
  <c r="I27" i="1" s="1"/>
  <c r="J27" i="1"/>
  <c r="H28" i="1"/>
  <c r="J28" i="1"/>
  <c r="J31" i="1"/>
  <c r="H40" i="1"/>
  <c r="J41" i="1"/>
  <c r="H43" i="1"/>
  <c r="J43" i="1"/>
  <c r="H44" i="1"/>
  <c r="J44" i="1"/>
  <c r="H45" i="1"/>
  <c r="J45" i="1"/>
  <c r="H53" i="1"/>
  <c r="H55" i="1"/>
  <c r="K55" i="1" s="1"/>
  <c r="H56" i="1"/>
  <c r="K56" i="1" s="1"/>
  <c r="H58" i="1"/>
  <c r="K58" i="1" s="1"/>
  <c r="H79" i="1"/>
  <c r="K79" i="1" s="1"/>
  <c r="H80" i="1"/>
  <c r="K80" i="1" s="1"/>
  <c r="H86" i="1"/>
  <c r="H94" i="1"/>
  <c r="I94" i="1" s="1"/>
  <c r="K94" i="1" s="1"/>
  <c r="F104" i="1"/>
  <c r="F105" i="1"/>
  <c r="H105" i="1"/>
  <c r="J29" i="1"/>
  <c r="H68" i="1"/>
  <c r="H29" i="1"/>
  <c r="I29" i="1" s="1"/>
  <c r="H91" i="1"/>
  <c r="I91" i="1" s="1"/>
  <c r="K91" i="1" s="1"/>
  <c r="H24" i="1"/>
  <c r="I24" i="1" s="1"/>
  <c r="F103" i="1"/>
  <c r="H69" i="1"/>
  <c r="H92" i="1"/>
  <c r="H89" i="1"/>
  <c r="I89" i="1" s="1"/>
  <c r="K89" i="1" s="1"/>
  <c r="H90" i="1"/>
  <c r="I90" i="1" s="1"/>
  <c r="K90" i="1" s="1"/>
  <c r="H93" i="1"/>
  <c r="I93" i="1" s="1"/>
  <c r="K93" i="1" s="1"/>
  <c r="H78" i="1"/>
  <c r="K78" i="1" s="1"/>
  <c r="H87" i="1"/>
  <c r="I87" i="1" s="1"/>
  <c r="K87" i="1" s="1"/>
  <c r="H103" i="1"/>
  <c r="I103" i="1" s="1"/>
  <c r="K103" i="1" s="1"/>
  <c r="J22" i="1"/>
  <c r="H54" i="1"/>
  <c r="K54" i="1" s="1"/>
  <c r="H88" i="1"/>
  <c r="I88" i="1" s="1"/>
  <c r="K88" i="1" s="1"/>
  <c r="H42" i="1"/>
  <c r="K24" i="1" l="1"/>
  <c r="K26" i="1"/>
  <c r="K70" i="1"/>
  <c r="J21" i="1"/>
  <c r="H102" i="1"/>
  <c r="I102" i="1" s="1"/>
  <c r="K102" i="1" s="1"/>
  <c r="H104" i="1"/>
  <c r="I104" i="1" s="1"/>
  <c r="K104" i="1" s="1"/>
  <c r="H25" i="1"/>
  <c r="I25" i="1" s="1"/>
  <c r="K25" i="1" s="1"/>
  <c r="J30" i="1"/>
  <c r="H22" i="1"/>
  <c r="I22" i="1" s="1"/>
  <c r="K22" i="1" s="1"/>
  <c r="K43" i="1"/>
  <c r="H57" i="1"/>
  <c r="K57" i="1" s="1"/>
  <c r="F64" i="1"/>
  <c r="F143" i="1" s="1"/>
  <c r="H21" i="1"/>
  <c r="H77" i="1"/>
  <c r="J42" i="1"/>
  <c r="K42" i="1" s="1"/>
  <c r="H74" i="1"/>
  <c r="H144" i="1" s="1"/>
  <c r="I92" i="1"/>
  <c r="K92" i="1" s="1"/>
  <c r="F98" i="1"/>
  <c r="F146" i="1" s="1"/>
  <c r="I68" i="1"/>
  <c r="J40" i="1"/>
  <c r="F49" i="1"/>
  <c r="F142" i="1" s="1"/>
  <c r="I23" i="1"/>
  <c r="K23" i="1" s="1"/>
  <c r="F82" i="1"/>
  <c r="F145" i="1" s="1"/>
  <c r="F108" i="1"/>
  <c r="F147" i="1" s="1"/>
  <c r="K29" i="1"/>
  <c r="F74" i="1"/>
  <c r="F144" i="1" s="1"/>
  <c r="H41" i="1"/>
  <c r="K41" i="1" s="1"/>
  <c r="I105" i="1"/>
  <c r="K105" i="1" s="1"/>
  <c r="K45" i="1"/>
  <c r="K44" i="1"/>
  <c r="K27" i="1"/>
  <c r="H30" i="1"/>
  <c r="I30" i="1" s="1"/>
  <c r="K30" i="1" s="1"/>
  <c r="I86" i="1"/>
  <c r="H98" i="1"/>
  <c r="H146" i="1" s="1"/>
  <c r="K53" i="1"/>
  <c r="K40" i="1"/>
  <c r="H150" i="1"/>
  <c r="K18" i="1"/>
  <c r="K150" i="1" s="1"/>
  <c r="I69" i="1"/>
  <c r="K69" i="1" s="1"/>
  <c r="H31" i="1"/>
  <c r="I31" i="1" s="1"/>
  <c r="K31" i="1" s="1"/>
  <c r="I28" i="1"/>
  <c r="K28" i="1" s="1"/>
  <c r="J36" i="1" l="1"/>
  <c r="J141" i="1" s="1"/>
  <c r="K108" i="1"/>
  <c r="K147" i="1" s="1"/>
  <c r="F36" i="1"/>
  <c r="F141" i="1" s="1"/>
  <c r="F152" i="1" s="1"/>
  <c r="H108" i="1"/>
  <c r="H147" i="1" s="1"/>
  <c r="H64" i="1"/>
  <c r="H143" i="1" s="1"/>
  <c r="K64" i="1"/>
  <c r="K143" i="1" s="1"/>
  <c r="J49" i="1"/>
  <c r="J142" i="1" s="1"/>
  <c r="H36" i="1"/>
  <c r="H141" i="1" s="1"/>
  <c r="I21" i="1"/>
  <c r="I36" i="1" s="1"/>
  <c r="I141" i="1" s="1"/>
  <c r="H49" i="1"/>
  <c r="H142" i="1" s="1"/>
  <c r="K86" i="1"/>
  <c r="K98" i="1" s="1"/>
  <c r="K146" i="1" s="1"/>
  <c r="I98" i="1"/>
  <c r="I146" i="1" s="1"/>
  <c r="K49" i="1"/>
  <c r="K142" i="1" s="1"/>
  <c r="I74" i="1"/>
  <c r="I144" i="1" s="1"/>
  <c r="K68" i="1"/>
  <c r="K74" i="1" s="1"/>
  <c r="K144" i="1" s="1"/>
  <c r="I108" i="1"/>
  <c r="I147" i="1" s="1"/>
  <c r="H82" i="1"/>
  <c r="H145" i="1" s="1"/>
  <c r="K77" i="1"/>
  <c r="K82" i="1" s="1"/>
  <c r="K145" i="1" s="1"/>
  <c r="J152" i="1" l="1"/>
  <c r="K21" i="1"/>
  <c r="K36" i="1" s="1"/>
  <c r="K141" i="1" s="1"/>
  <c r="K152" i="1" s="1"/>
  <c r="I152" i="1"/>
  <c r="H152" i="1"/>
  <c r="F154" i="1" l="1"/>
  <c r="F155" i="1"/>
</calcChain>
</file>

<file path=xl/sharedStrings.xml><?xml version="1.0" encoding="utf-8"?>
<sst xmlns="http://schemas.openxmlformats.org/spreadsheetml/2006/main" count="15453" uniqueCount="1024">
  <si>
    <t>GENERAL INFORMATION</t>
  </si>
  <si>
    <t>Contact Person:</t>
  </si>
  <si>
    <t>Contact Number:</t>
  </si>
  <si>
    <t>HSCRC Hospital ID #:</t>
  </si>
  <si>
    <t># of Employees:</t>
  </si>
  <si>
    <t>Screenings</t>
  </si>
  <si>
    <t>Support Groups</t>
  </si>
  <si>
    <t>TOTAL</t>
  </si>
  <si>
    <t>COMMUNITY BENEFIT ACTIVITES</t>
  </si>
  <si>
    <t># OF STAFF HOURS</t>
  </si>
  <si>
    <t>Scholarships/Funding for Professional Education</t>
  </si>
  <si>
    <t>Other Health Professionals</t>
  </si>
  <si>
    <t>RESEARCH</t>
  </si>
  <si>
    <t>In-Kind Donations</t>
  </si>
  <si>
    <t>Economic Development</t>
  </si>
  <si>
    <t>FINANCIAL DATA</t>
  </si>
  <si>
    <t>OPERATING REVENUE</t>
  </si>
  <si>
    <t>Net Patient Service Revenue</t>
  </si>
  <si>
    <t>Other Revenue</t>
  </si>
  <si>
    <t>Total Revenue</t>
  </si>
  <si>
    <t>NET REVENUE (LOSS) FROM OPERATIONS</t>
  </si>
  <si>
    <t>NON-OPERATING GAINS (LOSSES)</t>
  </si>
  <si>
    <t>NET REVENUE (LOSS)</t>
  </si>
  <si>
    <t>FOUNDATION COMMUNITY BENEFIT</t>
  </si>
  <si>
    <t>Community Services</t>
  </si>
  <si>
    <t>Community Building</t>
  </si>
  <si>
    <t>TOTAL HOSPITAL COMMUNITY BENEFIT</t>
  </si>
  <si>
    <t>TOTAL FOUNDATION COMMUNITY BENEFIT</t>
  </si>
  <si>
    <t>% OF OPERATING EXPENSES</t>
  </si>
  <si>
    <t>DIRECT COST($)</t>
  </si>
  <si>
    <t>INDIRECT COST($)</t>
  </si>
  <si>
    <t>Physicians/Medical Students</t>
  </si>
  <si>
    <t>Contact Email:</t>
  </si>
  <si>
    <t>OFFSETTING REVENUE($)</t>
  </si>
  <si>
    <t>NET COMMUNITY BENEFIT</t>
  </si>
  <si>
    <t>INDIRECT COST RATIO</t>
  </si>
  <si>
    <t>TOTAL OPERATING EXPENSES</t>
  </si>
  <si>
    <t># OF ENCOUNTERS</t>
  </si>
  <si>
    <t>MISSION DRIVEN HEALTH SERVICES (please list)</t>
  </si>
  <si>
    <t>CHARITY CARE (report total only)</t>
  </si>
  <si>
    <t>Hospital Name:</t>
  </si>
  <si>
    <t>COMMUNITY HEALTH SERVICES</t>
  </si>
  <si>
    <t>Community Health Education</t>
  </si>
  <si>
    <t>Self-Help</t>
  </si>
  <si>
    <t>Community-Based Clinical Services</t>
  </si>
  <si>
    <t>One-Time/Occasionally Held Clinics</t>
  </si>
  <si>
    <t>Free Clinics</t>
  </si>
  <si>
    <t>Mobile Units</t>
  </si>
  <si>
    <t>Health Care Support Services</t>
  </si>
  <si>
    <t>HEALTH PROFESSIONS EDUCATION</t>
  </si>
  <si>
    <t>Nurses/Nursing Students</t>
  </si>
  <si>
    <t>C10</t>
  </si>
  <si>
    <t>Clinical Research</t>
  </si>
  <si>
    <t>Community Health Research</t>
  </si>
  <si>
    <t>Cash Donations</t>
  </si>
  <si>
    <t>Grants</t>
  </si>
  <si>
    <t>Cost of Fund Raising for Community Programs</t>
  </si>
  <si>
    <t>COMMUNITY BUILDING ACTIVITIES</t>
  </si>
  <si>
    <t>Environmental Improvements</t>
  </si>
  <si>
    <t>Leadership Development/Training for Community Members</t>
  </si>
  <si>
    <t>Coalition Building</t>
  </si>
  <si>
    <t>Community Benefit Operations</t>
  </si>
  <si>
    <t>Community health/health assets assessments</t>
  </si>
  <si>
    <t>COMMUNITY BENEFIT OPERATIONS</t>
  </si>
  <si>
    <t>Community Health Services</t>
  </si>
  <si>
    <t>Health Professions Education</t>
  </si>
  <si>
    <t>Mission Driven Health Care Services</t>
  </si>
  <si>
    <t>Research</t>
  </si>
  <si>
    <t>Financial Contributions</t>
  </si>
  <si>
    <t>Community Building Activities</t>
  </si>
  <si>
    <t>Charity Care</t>
  </si>
  <si>
    <t>Foundation Funded Community Benefit</t>
  </si>
  <si>
    <t>% of NET REVENUE</t>
  </si>
  <si>
    <t>N/A</t>
  </si>
  <si>
    <t>A00.</t>
  </si>
  <si>
    <t>A10</t>
  </si>
  <si>
    <t>A11</t>
  </si>
  <si>
    <t>A12</t>
  </si>
  <si>
    <t>A20</t>
  </si>
  <si>
    <t>A21</t>
  </si>
  <si>
    <t>A22</t>
  </si>
  <si>
    <t>A23</t>
  </si>
  <si>
    <t>A24</t>
  </si>
  <si>
    <t>A30</t>
  </si>
  <si>
    <t>A40</t>
  </si>
  <si>
    <t xml:space="preserve"> </t>
  </si>
  <si>
    <t>B00</t>
  </si>
  <si>
    <t>B10</t>
  </si>
  <si>
    <t>B20</t>
  </si>
  <si>
    <t>B30</t>
  </si>
  <si>
    <t>B40</t>
  </si>
  <si>
    <t>B50</t>
  </si>
  <si>
    <t>C00</t>
  </si>
  <si>
    <t>C20</t>
  </si>
  <si>
    <t>C30</t>
  </si>
  <si>
    <t>C40</t>
  </si>
  <si>
    <t>C50</t>
  </si>
  <si>
    <t>C60</t>
  </si>
  <si>
    <t>C70</t>
  </si>
  <si>
    <t>C80</t>
  </si>
  <si>
    <t>C90</t>
  </si>
  <si>
    <t>C91</t>
  </si>
  <si>
    <t>D00</t>
  </si>
  <si>
    <t>D10</t>
  </si>
  <si>
    <t>D20</t>
  </si>
  <si>
    <t>E00</t>
  </si>
  <si>
    <t>Cash and In-Kind Contributions</t>
  </si>
  <si>
    <t>E10</t>
  </si>
  <si>
    <t>E20</t>
  </si>
  <si>
    <t>E30</t>
  </si>
  <si>
    <t>E40</t>
  </si>
  <si>
    <t>F00</t>
  </si>
  <si>
    <t>F10</t>
  </si>
  <si>
    <t>Physical Improvements and Housing</t>
  </si>
  <si>
    <t>F20</t>
  </si>
  <si>
    <t>F30</t>
  </si>
  <si>
    <t>Community Support</t>
  </si>
  <si>
    <t>F40</t>
  </si>
  <si>
    <t>F50</t>
  </si>
  <si>
    <t>F60</t>
  </si>
  <si>
    <t>F70</t>
  </si>
  <si>
    <t>Advocacy for Community Health Improvements</t>
  </si>
  <si>
    <t>F80</t>
  </si>
  <si>
    <t>Workforce Development</t>
  </si>
  <si>
    <t>F90</t>
  </si>
  <si>
    <t>F91</t>
  </si>
  <si>
    <t>F92</t>
  </si>
  <si>
    <t>G31</t>
  </si>
  <si>
    <t>G30</t>
  </si>
  <si>
    <t>G32</t>
  </si>
  <si>
    <t>G00</t>
  </si>
  <si>
    <t>G10</t>
  </si>
  <si>
    <t>G20</t>
  </si>
  <si>
    <t>A41</t>
  </si>
  <si>
    <t>A42</t>
  </si>
  <si>
    <t>A43</t>
  </si>
  <si>
    <t>A44</t>
  </si>
  <si>
    <t>A99</t>
  </si>
  <si>
    <t>Total Community Health Services</t>
  </si>
  <si>
    <t>B51</t>
  </si>
  <si>
    <t>B52</t>
  </si>
  <si>
    <t>B53</t>
  </si>
  <si>
    <t>B99</t>
  </si>
  <si>
    <t>Total Health Professions Education</t>
  </si>
  <si>
    <t>C99</t>
  </si>
  <si>
    <t>Total Mission Driven Health Services</t>
  </si>
  <si>
    <t>D99</t>
  </si>
  <si>
    <t>Total Research</t>
  </si>
  <si>
    <t>E99</t>
  </si>
  <si>
    <t>Total Cash and In-Kind Contributions</t>
  </si>
  <si>
    <t>F99</t>
  </si>
  <si>
    <t>Total Community Building Activities</t>
  </si>
  <si>
    <t>Assigned Staff</t>
  </si>
  <si>
    <t>G99</t>
  </si>
  <si>
    <t>Total Community Benefit Operations</t>
  </si>
  <si>
    <t>H99</t>
  </si>
  <si>
    <t>H00</t>
  </si>
  <si>
    <t>J00</t>
  </si>
  <si>
    <t>J10</t>
  </si>
  <si>
    <t>J20</t>
  </si>
  <si>
    <t>J30</t>
  </si>
  <si>
    <t>J31</t>
  </si>
  <si>
    <t>J32</t>
  </si>
  <si>
    <t>J99</t>
  </si>
  <si>
    <t>Total Charity Care</t>
  </si>
  <si>
    <t>K99</t>
  </si>
  <si>
    <t>K00</t>
  </si>
  <si>
    <t>S99</t>
  </si>
  <si>
    <t>U99</t>
  </si>
  <si>
    <t>V99</t>
  </si>
  <si>
    <t>I00</t>
  </si>
  <si>
    <t>I10</t>
  </si>
  <si>
    <t>I20</t>
  </si>
  <si>
    <t>I30</t>
  </si>
  <si>
    <t>I40</t>
  </si>
  <si>
    <t>I50</t>
  </si>
  <si>
    <t>I60</t>
  </si>
  <si>
    <t>I70</t>
  </si>
  <si>
    <t>D30</t>
  </si>
  <si>
    <t>D31</t>
  </si>
  <si>
    <t>D32</t>
  </si>
  <si>
    <t>UNREIMBURSED MEDICAID COST</t>
  </si>
  <si>
    <t>Medicaid Costs</t>
  </si>
  <si>
    <t>Medicaid Assessments</t>
  </si>
  <si>
    <t>T00</t>
  </si>
  <si>
    <t>T99</t>
  </si>
  <si>
    <t>Medicaid Assesments</t>
  </si>
  <si>
    <t>FY 2014 Data Collection Sheet</t>
  </si>
  <si>
    <t>Raquel Samuels</t>
  </si>
  <si>
    <t>301-315-3283</t>
  </si>
  <si>
    <t>rsamuels@adventisthealthcare.com</t>
  </si>
  <si>
    <t>Adventist Behavioral Hospital Eastern Shore</t>
  </si>
  <si>
    <t>Hospital Based Physicians</t>
  </si>
  <si>
    <t>Non-Residential House Staff and Hospitalists</t>
  </si>
  <si>
    <t>Coverage of ED On Call</t>
  </si>
  <si>
    <t>Physician Provision of Financial Assistance</t>
  </si>
  <si>
    <t>Recruitment of Physicians to Meet Community Needs</t>
  </si>
  <si>
    <t>Fundraising support</t>
  </si>
  <si>
    <t>Board Community Involvement</t>
  </si>
  <si>
    <t>Immunizations</t>
  </si>
  <si>
    <t>131</t>
  </si>
  <si>
    <t>HOSPID_R</t>
  </si>
  <si>
    <t>HOSPITAL NAME</t>
  </si>
  <si>
    <t>UCC IN RATES</t>
  </si>
  <si>
    <t>Meritus</t>
  </si>
  <si>
    <t>Meritus Medical Center</t>
  </si>
  <si>
    <t>Frederick Memorial</t>
  </si>
  <si>
    <t>St. Agnes</t>
  </si>
  <si>
    <t>Bon Secours</t>
  </si>
  <si>
    <t>Western Maryland Regional Medical Center</t>
  </si>
  <si>
    <t xml:space="preserve">Union Hospital of Cecil County               </t>
  </si>
  <si>
    <t xml:space="preserve">Carroll County General Hospital              </t>
  </si>
  <si>
    <t>GBMC</t>
  </si>
  <si>
    <t>McCready</t>
  </si>
  <si>
    <t>Atlantic General</t>
  </si>
  <si>
    <t>Total</t>
  </si>
  <si>
    <t>Education Rate Support</t>
  </si>
  <si>
    <t>Final DME</t>
  </si>
  <si>
    <t>NSP1</t>
  </si>
  <si>
    <t>Total Education</t>
  </si>
  <si>
    <t xml:space="preserve">University of Maryland Medical Center                 </t>
  </si>
  <si>
    <t>Hospital</t>
  </si>
  <si>
    <t>HOSPID</t>
  </si>
  <si>
    <t>Committee Recom.</t>
  </si>
  <si>
    <t xml:space="preserve">Prince George's Hospital Center               </t>
  </si>
  <si>
    <t xml:space="preserve">Holy Cross Hospital                  </t>
  </si>
  <si>
    <t xml:space="preserve">Frederick Memorial Hospital            </t>
  </si>
  <si>
    <t>Hospital Name</t>
  </si>
  <si>
    <t>P4</t>
  </si>
  <si>
    <t>P5</t>
  </si>
  <si>
    <t xml:space="preserve">Harford Memorial Hospital            </t>
  </si>
  <si>
    <t xml:space="preserve">Mercy Medical Center                </t>
  </si>
  <si>
    <t xml:space="preserve">Johns Hopkins Hospital                 </t>
  </si>
  <si>
    <t xml:space="preserve">Saint Agnes Hospital                  </t>
  </si>
  <si>
    <t xml:space="preserve">Sinai Hospital                   </t>
  </si>
  <si>
    <t xml:space="preserve">Bon Secours Hospital                 </t>
  </si>
  <si>
    <t xml:space="preserve">Washington Adventist Hospital               </t>
  </si>
  <si>
    <t xml:space="preserve">Garrett County Memorial Hospital               </t>
  </si>
  <si>
    <t xml:space="preserve">Peninsula Regional Hospital           </t>
  </si>
  <si>
    <t xml:space="preserve">Suburban Hospital                    </t>
  </si>
  <si>
    <t xml:space="preserve">Anne Arundel Medical Center                 </t>
  </si>
  <si>
    <t xml:space="preserve">Western Maryland        </t>
  </si>
  <si>
    <t xml:space="preserve">Johns Hopkins Bayview Medical Center        </t>
  </si>
  <si>
    <t xml:space="preserve">Calvert Memorial Hospital             </t>
  </si>
  <si>
    <t xml:space="preserve">Northwest Hospital Center                    </t>
  </si>
  <si>
    <t xml:space="preserve">G.B.M.C                       </t>
  </si>
  <si>
    <t xml:space="preserve">McCready Hospital                     </t>
  </si>
  <si>
    <t xml:space="preserve">Howard County General Hospital                </t>
  </si>
  <si>
    <t xml:space="preserve">Upper Chesapeake Medical Center             </t>
  </si>
  <si>
    <t xml:space="preserve">Doctors Community Hospital       </t>
  </si>
  <si>
    <t xml:space="preserve">Southern Maryland Hospital Center             </t>
  </si>
  <si>
    <t xml:space="preserve">Laurel Regional Hospital              </t>
  </si>
  <si>
    <t xml:space="preserve">Fort Washington medical Center               </t>
  </si>
  <si>
    <t xml:space="preserve">Atlantic General Hospital                 </t>
  </si>
  <si>
    <t xml:space="preserve">Shady Grove Adventist Hospital                  </t>
  </si>
  <si>
    <t>Levindale</t>
  </si>
  <si>
    <t>Adventist Rehab.</t>
  </si>
  <si>
    <t>Mt. Washington</t>
  </si>
  <si>
    <t>Sheppard Pratt</t>
  </si>
  <si>
    <t xml:space="preserve">University MIEMSS             </t>
  </si>
  <si>
    <t xml:space="preserve">University UMCC               </t>
  </si>
  <si>
    <t>NSPI</t>
  </si>
  <si>
    <t>DME</t>
  </si>
  <si>
    <t>CHARITY CARE IN RATES</t>
  </si>
  <si>
    <t>Total Rate support</t>
  </si>
  <si>
    <t>Community Benefit Category</t>
  </si>
  <si>
    <t>Number of Staff Hours</t>
  </si>
  <si>
    <t>Number of Encounters</t>
  </si>
  <si>
    <t>Net Community Benefit Expense</t>
  </si>
  <si>
    <t>Percent of Total CB Expenditures</t>
  </si>
  <si>
    <t>Net Community Benefit Expense Less: Rate Support</t>
  </si>
  <si>
    <t>Percent of Total CB Expenditures w/o Rate Support</t>
  </si>
  <si>
    <t>Unreimbursed Medicaid Cost</t>
  </si>
  <si>
    <t>Health Professions Education *</t>
  </si>
  <si>
    <t>Mission Driven Health Services</t>
  </si>
  <si>
    <t>Foundation</t>
  </si>
  <si>
    <t>Charity Care *</t>
  </si>
  <si>
    <t>% of Operating Expense less rate support</t>
  </si>
  <si>
    <t>% of Operating Expense</t>
  </si>
  <si>
    <t>Fiscal Year</t>
  </si>
  <si>
    <t>Net Community Benefit</t>
  </si>
  <si>
    <t>Offsetting Revenue</t>
  </si>
  <si>
    <t>Total Operating Expenses</t>
  </si>
  <si>
    <t>CB Expense Less Rate Support</t>
  </si>
  <si>
    <t>CB Expense</t>
  </si>
  <si>
    <t>NSP (1)</t>
  </si>
  <si>
    <t>Category</t>
  </si>
  <si>
    <t>Employees</t>
  </si>
  <si>
    <t xml:space="preserve">Total Staff Hours CB Operations </t>
  </si>
  <si>
    <t>Total Hospital Operating Expense</t>
  </si>
  <si>
    <t>Total Community Benefit</t>
  </si>
  <si>
    <t>Total CB as % of Total Operating Expense</t>
  </si>
  <si>
    <t>Total Net CB minus Charity Care, DME, NSPI in Rates</t>
  </si>
  <si>
    <t>Total Net CB(minus charity Care, DME, NSPI in Rates) as % of Operating Expense</t>
  </si>
  <si>
    <t>CB Reported Charity Care</t>
  </si>
  <si>
    <t>Totals</t>
  </si>
  <si>
    <t>Community Benefit Report FY2014</t>
  </si>
  <si>
    <t>Adventist Behavioral Health Rockville</t>
  </si>
  <si>
    <t>UMMC</t>
  </si>
  <si>
    <t>Dimensions Prince Georges Hospital Center</t>
  </si>
  <si>
    <t>Holy Cross Hospital</t>
  </si>
  <si>
    <t>UM Harford Memorial</t>
  </si>
  <si>
    <t>Mercy Medical Center</t>
  </si>
  <si>
    <t>Johns Hopkins Hospital</t>
  </si>
  <si>
    <t>UM Shore Medical Dorchester</t>
  </si>
  <si>
    <t>LifeBridge Sinai</t>
  </si>
  <si>
    <t>MedStar Franklin Square</t>
  </si>
  <si>
    <t>Adventist Washington Adventist</t>
  </si>
  <si>
    <t>Garrett County Hospital</t>
  </si>
  <si>
    <t>MedStar Montgomery General</t>
  </si>
  <si>
    <t>Peninsula Regional</t>
  </si>
  <si>
    <t>Suburban Hospital</t>
  </si>
  <si>
    <t>Anne Arundel Medical Center</t>
  </si>
  <si>
    <t>MedStar Union Memorial</t>
  </si>
  <si>
    <t>Western Maryland Health System</t>
  </si>
  <si>
    <t>MedStar St. Mary’s Hospital</t>
  </si>
  <si>
    <t>Johns Hopkins Bayview Medical Center</t>
  </si>
  <si>
    <t>UM Shore Medical Chestertown</t>
  </si>
  <si>
    <t>Union Hospital of Cecil County</t>
  </si>
  <si>
    <t>Carroll Hospital Center</t>
  </si>
  <si>
    <t>MedStar Harbor Hospital</t>
  </si>
  <si>
    <t>UM Charles Regional Medical Center</t>
  </si>
  <si>
    <t>UM Shore Medical Easton</t>
  </si>
  <si>
    <t>UM Midtown</t>
  </si>
  <si>
    <t>Calvert Hospital</t>
  </si>
  <si>
    <t>Lifebridge Northwest Hospital</t>
  </si>
  <si>
    <t>UM Baltimore Washington</t>
  </si>
  <si>
    <t>Howard County Hospital</t>
  </si>
  <si>
    <t>UM Upper Chesapeake</t>
  </si>
  <si>
    <t>Doctors Community</t>
  </si>
  <si>
    <t>Dimensions Laurel Regional Hospital</t>
  </si>
  <si>
    <t>Fort Washington Medical Center</t>
  </si>
  <si>
    <t>MedStar Southern Maryland</t>
  </si>
  <si>
    <t>UM St. Joseph</t>
  </si>
  <si>
    <t>Lifebridge Levindale</t>
  </si>
  <si>
    <t>UM Rehabilitation and Ortho Institute</t>
  </si>
  <si>
    <t>MedStar Good Samaritan</t>
  </si>
  <si>
    <t>Adventist Rehab of Maryland</t>
  </si>
  <si>
    <t>Adventist Behavioral Health at Eastern Shore</t>
  </si>
  <si>
    <t>Mt. Washington Pediatrics</t>
  </si>
  <si>
    <t>Adventist Shady Grove Hospital</t>
  </si>
  <si>
    <t>*Data:2012 Financial Disclosure Report</t>
  </si>
  <si>
    <t xml:space="preserve">MedStar Good Samaritan Hospital               </t>
  </si>
  <si>
    <t xml:space="preserve">UM Rehabilitation &amp; Orthopaedic Institute                 </t>
  </si>
  <si>
    <t xml:space="preserve">UM Saint Josephs Medical Center       </t>
  </si>
  <si>
    <t>UM Baltimore Washington Medical Center</t>
  </si>
  <si>
    <t xml:space="preserve">UM Medical Center Midtown Campus            </t>
  </si>
  <si>
    <t xml:space="preserve">UM Shore Medical Center at Easton            </t>
  </si>
  <si>
    <t xml:space="preserve">UM Charles Regional Medical Center                </t>
  </si>
  <si>
    <t xml:space="preserve">MedStar Harbor Hospital Center              </t>
  </si>
  <si>
    <t xml:space="preserve">UM Shore Medical Center at Chestertown                </t>
  </si>
  <si>
    <t xml:space="preserve">MedStar Saint Mary's Hospital                  </t>
  </si>
  <si>
    <t xml:space="preserve">MedStar Union Memorial Hospital               </t>
  </si>
  <si>
    <t xml:space="preserve">MedStar Montgomery General Hospital           </t>
  </si>
  <si>
    <t xml:space="preserve">MedStar Franklin Square Hospital Center            </t>
  </si>
  <si>
    <t xml:space="preserve">UM Shore Medical Center at Dorchester            </t>
  </si>
  <si>
    <t>NSPI FY14 Requested Budget Amount</t>
  </si>
  <si>
    <t>NSPI FY14 Maximum Allowance 
(0.1% of Patient Rev)</t>
  </si>
  <si>
    <t>Gross FY12
Patient Revenue*</t>
  </si>
  <si>
    <t>Adventist Behavioral Hospital_Rockville</t>
  </si>
  <si>
    <t>395</t>
  </si>
  <si>
    <t>Disaster Prepardness</t>
  </si>
  <si>
    <t>Adventist Rehabilitation Hospital of Maryland</t>
  </si>
  <si>
    <t>414</t>
  </si>
  <si>
    <t xml:space="preserve">Shady Grove Adventist Hospital </t>
  </si>
  <si>
    <t>210057</t>
  </si>
  <si>
    <t>2027</t>
  </si>
  <si>
    <t>Other</t>
  </si>
  <si>
    <t xml:space="preserve">Washington Adventist Hospital </t>
  </si>
  <si>
    <t>210016</t>
  </si>
  <si>
    <t>1389</t>
  </si>
  <si>
    <t>FY 2014 COMMUNITY BENEFIT INVENTORY SPREADSHEET</t>
  </si>
  <si>
    <t>Bob Reilly</t>
  </si>
  <si>
    <t>443-481-1308</t>
  </si>
  <si>
    <t>breilly@aahs.org</t>
  </si>
  <si>
    <t>Pharmacy Assistance Program</t>
  </si>
  <si>
    <t>AACo Fire Department EMT Supply</t>
  </si>
  <si>
    <t>Medicaid Eligibility Employee Subsidy</t>
  </si>
  <si>
    <t>Pre-Natal Care @ Health Dept.</t>
  </si>
  <si>
    <t>Annapolis Outreach Center</t>
  </si>
  <si>
    <t>Community Health Clinic</t>
  </si>
  <si>
    <t>KI Urgent Care Facility</t>
  </si>
  <si>
    <t>Physician Recruting</t>
  </si>
  <si>
    <t>Pathways</t>
  </si>
  <si>
    <t>Anne Arundel Diagnostics</t>
  </si>
  <si>
    <t>Hospice</t>
  </si>
  <si>
    <t xml:space="preserve">ED Physician Uncompensated Care </t>
  </si>
  <si>
    <t>ED Call Coverage</t>
  </si>
  <si>
    <t>C92</t>
  </si>
  <si>
    <t>Physician Community Services</t>
  </si>
  <si>
    <t>My Chart Electronic Records</t>
  </si>
  <si>
    <t>Patient Family Centered Care Initiative</t>
  </si>
  <si>
    <t xml:space="preserve">CBISA Software Licencing </t>
  </si>
  <si>
    <t>Atlantic General Hospital</t>
  </si>
  <si>
    <t>Bruce Todd</t>
  </si>
  <si>
    <t>410-641-9095</t>
  </si>
  <si>
    <t>mtodd@atlanticgeneral.org</t>
  </si>
  <si>
    <t xml:space="preserve">Mental Health </t>
  </si>
  <si>
    <t>Pallative Care</t>
  </si>
  <si>
    <t>Diabetes</t>
  </si>
  <si>
    <t>Physician Losses for underderved population</t>
  </si>
  <si>
    <t>SAFE program</t>
  </si>
  <si>
    <t>SAFE</t>
  </si>
  <si>
    <t>Health Needs</t>
  </si>
  <si>
    <t xml:space="preserve">BON SECOURS                   </t>
  </si>
  <si>
    <t>Kimberly THomas</t>
  </si>
  <si>
    <t>410-362-4487</t>
  </si>
  <si>
    <t>Kimberly_Thomas2@bshsi.org</t>
  </si>
  <si>
    <t>T-Total</t>
  </si>
  <si>
    <t>A00</t>
  </si>
  <si>
    <t>A1</t>
  </si>
  <si>
    <t>A2</t>
  </si>
  <si>
    <t>A3</t>
  </si>
  <si>
    <t>A5</t>
  </si>
  <si>
    <t>A6</t>
  </si>
  <si>
    <t>A7</t>
  </si>
  <si>
    <t>A8</t>
  </si>
  <si>
    <t>A9</t>
  </si>
  <si>
    <t>Community Health Improvement</t>
  </si>
  <si>
    <t>Subsidized Health Services</t>
  </si>
  <si>
    <t>A-Total</t>
  </si>
  <si>
    <t>B1</t>
  </si>
  <si>
    <t>B2</t>
  </si>
  <si>
    <t>B3</t>
  </si>
  <si>
    <t>B4</t>
  </si>
  <si>
    <t>B-Total</t>
  </si>
  <si>
    <t>C1</t>
  </si>
  <si>
    <t>Transportation</t>
  </si>
  <si>
    <t>C-Total</t>
  </si>
  <si>
    <t>D1</t>
  </si>
  <si>
    <t>D2</t>
  </si>
  <si>
    <t>D-Total</t>
  </si>
  <si>
    <t>E1</t>
  </si>
  <si>
    <t>E2</t>
  </si>
  <si>
    <t>E3</t>
  </si>
  <si>
    <t>E4</t>
  </si>
  <si>
    <t>Cost Of Fund Raising For Community Programs</t>
  </si>
  <si>
    <t>E-Total</t>
  </si>
  <si>
    <t>F1</t>
  </si>
  <si>
    <t>F2</t>
  </si>
  <si>
    <t>F3</t>
  </si>
  <si>
    <t>F4</t>
  </si>
  <si>
    <t>F5</t>
  </si>
  <si>
    <t>F6</t>
  </si>
  <si>
    <t>F7</t>
  </si>
  <si>
    <t>F8</t>
  </si>
  <si>
    <t>F-Total</t>
  </si>
  <si>
    <t>G1</t>
  </si>
  <si>
    <t>G2</t>
  </si>
  <si>
    <t>G-Total</t>
  </si>
  <si>
    <t>H-Total</t>
  </si>
  <si>
    <t>I1</t>
  </si>
  <si>
    <t>Indirect Cost Ratio</t>
  </si>
  <si>
    <t>I2</t>
  </si>
  <si>
    <t>I3</t>
  </si>
  <si>
    <t>I4</t>
  </si>
  <si>
    <t>S-Total</t>
  </si>
  <si>
    <t>I5</t>
  </si>
  <si>
    <t>Net Revenue (Loss) From Operations</t>
  </si>
  <si>
    <t>I6</t>
  </si>
  <si>
    <t>Non-Operating Gains (Losses)</t>
  </si>
  <si>
    <t>I7</t>
  </si>
  <si>
    <t>Net Revenue (Loss)</t>
  </si>
  <si>
    <t>J1</t>
  </si>
  <si>
    <t>J2</t>
  </si>
  <si>
    <t>J-Total</t>
  </si>
  <si>
    <t>Total Foundation Community Benefit</t>
  </si>
  <si>
    <t>K-Total</t>
  </si>
  <si>
    <t>U-Total</t>
  </si>
  <si>
    <t>V-Total</t>
  </si>
  <si>
    <t>Calvert Memorial Hospital</t>
  </si>
  <si>
    <t>Margaret Fowler</t>
  </si>
  <si>
    <t>410 414-4573</t>
  </si>
  <si>
    <t>mfowler@cmhlink.org</t>
  </si>
  <si>
    <t>Job Shadowing</t>
  </si>
  <si>
    <t>Urgent Care Service Centers</t>
  </si>
  <si>
    <t>Health Care Clinic Services</t>
  </si>
  <si>
    <t>Transitional Care Unit (SNF) Services</t>
  </si>
  <si>
    <t>Hospital Emergency &amp; Behavioral Health Services</t>
  </si>
  <si>
    <t>Acute Care &amp; Pediatric Hospitalist Progr</t>
  </si>
  <si>
    <t>Intensive Care Unit Call Coverage</t>
  </si>
  <si>
    <t>Other Ancillary Call Coverage Services</t>
  </si>
  <si>
    <t>Physician Subsidies Fulfilling Health Care Need</t>
  </si>
  <si>
    <t>21-0033</t>
  </si>
  <si>
    <t>Selena Brewer</t>
  </si>
  <si>
    <t>410-871-7251</t>
  </si>
  <si>
    <t>sbrewer@CarrollHospitalCenter.org</t>
  </si>
  <si>
    <t>Interpreter Services</t>
  </si>
  <si>
    <t>Forensic Nurse Examiner Program</t>
  </si>
  <si>
    <t>Job Shadow</t>
  </si>
  <si>
    <t>Access Carroll - free medical practice</t>
  </si>
  <si>
    <t>Physician Support</t>
  </si>
  <si>
    <t>Physician Recruitment</t>
  </si>
  <si>
    <t xml:space="preserve">Doctors Community Hospital </t>
  </si>
  <si>
    <t>21-0051</t>
  </si>
  <si>
    <t>Mary P. Dudley</t>
  </si>
  <si>
    <t>301-552-8601</t>
  </si>
  <si>
    <t xml:space="preserve">Mdudley@DCHweb.org </t>
  </si>
  <si>
    <t xml:space="preserve">HCI Contract </t>
  </si>
  <si>
    <t>FREDERICK MEMORIAL HOSPITAL INC</t>
  </si>
  <si>
    <t>21-0005</t>
  </si>
  <si>
    <t>HANNAH JACOBS</t>
  </si>
  <si>
    <t>240-566-3320</t>
  </si>
  <si>
    <t>HJACOBS@FMH.ORG</t>
  </si>
  <si>
    <t>Physician Hospitalist</t>
  </si>
  <si>
    <t>Physician OB Call</t>
  </si>
  <si>
    <t>Pjysician ED/Surgeon Call</t>
  </si>
  <si>
    <t>Physician Anesthesia Call</t>
  </si>
  <si>
    <t>Pjysician Intensivist</t>
  </si>
  <si>
    <t>Pjysician Recruitment</t>
  </si>
  <si>
    <t>Physician Interventional Cardiology</t>
  </si>
  <si>
    <t>Physician Debt Forgiveness</t>
  </si>
  <si>
    <t>Prenatal OB Center</t>
  </si>
  <si>
    <t>Peds Hospitalist</t>
  </si>
  <si>
    <t xml:space="preserve">Fort Washington Medical Center </t>
  </si>
  <si>
    <t>Judy Mitchell</t>
  </si>
  <si>
    <t>(301) 686-3010</t>
  </si>
  <si>
    <t>jmitchell@nexushealth.org</t>
  </si>
  <si>
    <t xml:space="preserve">HEALTHY EATING ACTIVE LIVING INITATIVE </t>
  </si>
  <si>
    <t>COMMUNITY WALKING $  EDUCATION PROGRAM</t>
  </si>
  <si>
    <t>Ultrasound Students</t>
  </si>
  <si>
    <t>Other Health Professionals - HIMS Interns</t>
  </si>
  <si>
    <t xml:space="preserve">HAZMAT-DECONT-ADVANCE CARDIAC LIFE SUPPORT, TNCC-TRUMA, </t>
  </si>
  <si>
    <t>INFORMATICS</t>
  </si>
  <si>
    <t>GARRETT COUNTY MEMORIAL HOSPITAL</t>
  </si>
  <si>
    <t>SARAH TROTTIER</t>
  </si>
  <si>
    <t>301-533-4257</t>
  </si>
  <si>
    <t>strottier@gcmh.com</t>
  </si>
  <si>
    <t>INDIGENT DRUG PROGRAM</t>
  </si>
  <si>
    <t>G.B.M.C</t>
  </si>
  <si>
    <t>Michael Myers</t>
  </si>
  <si>
    <t>443-849-4328</t>
  </si>
  <si>
    <t>mmyers@gbmc.org</t>
  </si>
  <si>
    <t>Senior Services Geriatric Nurse Practitioner</t>
  </si>
  <si>
    <t>Women's Services OB Clinic</t>
  </si>
  <si>
    <t>Emergency Specialty Services Subsidies</t>
  </si>
  <si>
    <t>Administration of Charity Care</t>
  </si>
  <si>
    <t>Kimberley McBride</t>
  </si>
  <si>
    <t>301-754-7149</t>
  </si>
  <si>
    <t>mcbrik@holycrosshealth.org</t>
  </si>
  <si>
    <t>Pharmacy</t>
  </si>
  <si>
    <t>Coverage of Emergency Department Calls</t>
  </si>
  <si>
    <t>Physician Contracts for the Uninsured</t>
  </si>
  <si>
    <t>Anesthesiologists</t>
  </si>
  <si>
    <t>Health Care Clinics for the Uninsured</t>
  </si>
  <si>
    <t>Pediatric Attending Physcians for the Uninsured</t>
  </si>
  <si>
    <t>Outpatient Lactation Services - Breast Pump Rentals for Uninsured</t>
  </si>
  <si>
    <t>Medical Adult Day Care</t>
  </si>
  <si>
    <t>Mammogram Assistance Program (MAPS)</t>
  </si>
  <si>
    <t>Cost of Fundraising for Hospital Sponsored Commuity Benefit Programming</t>
  </si>
  <si>
    <t>Howard County General Hospital</t>
  </si>
  <si>
    <t>21-0048</t>
  </si>
  <si>
    <t>Fran Moll</t>
  </si>
  <si>
    <t>443-997-0627</t>
  </si>
  <si>
    <t>fmoll1@jhmi.edu</t>
  </si>
  <si>
    <t>Other Loyola Pastoral Counseling Intern Program</t>
  </si>
  <si>
    <t>Physician Subsidies - ED On-Call</t>
  </si>
  <si>
    <t>Physician Subsidies - Psych ED/IP</t>
  </si>
  <si>
    <t>Physician Subsidies - Otolaryngology On-Call</t>
  </si>
  <si>
    <t>Physician Subsidies - IVC On-Call</t>
  </si>
  <si>
    <t>Physician Subsidies - Anesthesiology On-Call</t>
  </si>
  <si>
    <t>Physician Subsidies - OB/GYN (ED/IP Coverage)</t>
  </si>
  <si>
    <t>Physician Subsidies - Cardiology On-Call</t>
  </si>
  <si>
    <t>Physician Subsidies - Perinatology On-Call</t>
  </si>
  <si>
    <t>Physician Subsidies - Hospitalist</t>
  </si>
  <si>
    <t>Agewell Grant &amp; Health Family Howard County (HFHC)</t>
  </si>
  <si>
    <t>IRC Registry</t>
  </si>
  <si>
    <t>0029</t>
  </si>
  <si>
    <t>Patricia Carroll or Kim Moeller</t>
  </si>
  <si>
    <t>410-550-0289 or 443-997-0639</t>
  </si>
  <si>
    <t>pcarroll@jhmi.edu or kmoelle@jhmi.edu</t>
  </si>
  <si>
    <t>Social Work Prescriptions</t>
  </si>
  <si>
    <t xml:space="preserve">Trauma on-call </t>
  </si>
  <si>
    <t>Emergency Medicine on-call</t>
  </si>
  <si>
    <t>Wyman Park Community Services</t>
  </si>
  <si>
    <t>Teaching Community Education</t>
  </si>
  <si>
    <t>Baltimore Medical System (BMS)</t>
  </si>
  <si>
    <t>Health Education &amp; Social Services</t>
  </si>
  <si>
    <t>TAP</t>
  </si>
  <si>
    <t>Other On-call Coverage</t>
  </si>
  <si>
    <t>Health Leads</t>
  </si>
  <si>
    <t>Cancer Registry</t>
  </si>
  <si>
    <t>Live Near Your Work</t>
  </si>
  <si>
    <t>The Johns Hopkins Hospital</t>
  </si>
  <si>
    <t>0009</t>
  </si>
  <si>
    <t>Sharon Tiebert-Maddox</t>
  </si>
  <si>
    <t>443-287-9900</t>
  </si>
  <si>
    <t>tiebert@jhu.edu</t>
  </si>
  <si>
    <t>Communiity Health Services - Other</t>
  </si>
  <si>
    <t>Health Professions  Education - Other</t>
  </si>
  <si>
    <t>CPP Case Management</t>
  </si>
  <si>
    <t>Broadway Center IOP/OP Grant</t>
  </si>
  <si>
    <t>Wilson House</t>
  </si>
  <si>
    <t>Geriatric Psych Day Hospital Patient Transportation</t>
  </si>
  <si>
    <t>Eating Disorders Day Hospital Supportive Housing</t>
  </si>
  <si>
    <t>Schizophrenia Day Hospital Housing</t>
  </si>
  <si>
    <t>Supportive Housing for Male Substance Abuse Patients</t>
  </si>
  <si>
    <t>Pain Treatment Day Hospital Housing</t>
  </si>
  <si>
    <t>Mission Driven - Other</t>
  </si>
  <si>
    <t>Community Building Activities - Other</t>
  </si>
  <si>
    <t>Office Expense</t>
  </si>
  <si>
    <t>Laurel Regional Hospital</t>
  </si>
  <si>
    <t>21-0055</t>
  </si>
  <si>
    <t>Michael A. Jacobs</t>
  </si>
  <si>
    <t>301-617-8606</t>
  </si>
  <si>
    <t>michael.jacobs@dimensionshealth.org</t>
  </si>
  <si>
    <t>Anesthesia services to the community</t>
  </si>
  <si>
    <t>OB/GYN services to the community</t>
  </si>
  <si>
    <t>Emergency services to the community</t>
  </si>
  <si>
    <t>Psychiatric services to the community</t>
  </si>
  <si>
    <t>Hospitalists/Intensivists</t>
  </si>
  <si>
    <t>Radiology services to the community</t>
  </si>
  <si>
    <t>Levidale Hebrew and Geriatric Center and Hospital</t>
  </si>
  <si>
    <t>Julie Sessa</t>
  </si>
  <si>
    <t>410-601-7238</t>
  </si>
  <si>
    <t>jsessa@lifebridgehealth.org</t>
  </si>
  <si>
    <t>SNFists</t>
  </si>
  <si>
    <t>Edward W. McCready Memorial Hospital</t>
  </si>
  <si>
    <t>Sharon Cooper</t>
  </si>
  <si>
    <t>410.968.9225</t>
  </si>
  <si>
    <t>scooper@mccreadyfoundation.org</t>
  </si>
  <si>
    <t>MedStar Franklin Square Medica</t>
  </si>
  <si>
    <t xml:space="preserve"> Lauren Rose </t>
  </si>
  <si>
    <t>410-933-2313</t>
  </si>
  <si>
    <t>Lauren.Rose@medstar.net</t>
  </si>
  <si>
    <t>Emergency and Trauma Services</t>
  </si>
  <si>
    <t>Family Medicine/Family Health Center</t>
  </si>
  <si>
    <t>Hospital Outpatient Services</t>
  </si>
  <si>
    <t>Women's and Children's Services</t>
  </si>
  <si>
    <t>Other Research</t>
  </si>
  <si>
    <t>Other Resources</t>
  </si>
  <si>
    <t>MedStar Good Samaritan Hospita</t>
  </si>
  <si>
    <t xml:space="preserve">Lauren Rose </t>
  </si>
  <si>
    <t>lauren.rose@medstar.net</t>
  </si>
  <si>
    <t xml:space="preserve">Emergency and Trauma Services </t>
  </si>
  <si>
    <t>C2</t>
  </si>
  <si>
    <t>C3</t>
  </si>
  <si>
    <t xml:space="preserve">Renal Dialysis Services </t>
  </si>
  <si>
    <t>C4</t>
  </si>
  <si>
    <t xml:space="preserve">Subsidized Continuing Care </t>
  </si>
  <si>
    <t>C5</t>
  </si>
  <si>
    <t xml:space="preserve">Behavioral Health Services </t>
  </si>
  <si>
    <t>G3</t>
  </si>
  <si>
    <t xml:space="preserve">Other Resources </t>
  </si>
  <si>
    <t xml:space="preserve">MedStar Harbor Hospital       </t>
  </si>
  <si>
    <t>Lauren Rose</t>
  </si>
  <si>
    <t>B5</t>
  </si>
  <si>
    <t>Emergency Trauma Services</t>
  </si>
  <si>
    <t>C6</t>
  </si>
  <si>
    <t>C7</t>
  </si>
  <si>
    <t>C8</t>
  </si>
  <si>
    <t>Behavioral Health Services</t>
  </si>
  <si>
    <t>C9</t>
  </si>
  <si>
    <t>D3</t>
  </si>
  <si>
    <t>F9</t>
  </si>
  <si>
    <t>MedStar Montgomery Medical Cen</t>
  </si>
  <si>
    <t xml:space="preserve">410-933-2313				</t>
  </si>
  <si>
    <t xml:space="preserve">Lauren.rose@medtsar.net 				</t>
  </si>
  <si>
    <t xml:space="preserve">Women's and Children's Services </t>
  </si>
  <si>
    <t xml:space="preserve">Other Research </t>
  </si>
  <si>
    <t>Medstar Southern Maryland Hosp</t>
  </si>
  <si>
    <t xml:space="preserve">St. Charles Mall Walker Program </t>
  </si>
  <si>
    <t xml:space="preserve">Farmer's Market </t>
  </si>
  <si>
    <t>A13</t>
  </si>
  <si>
    <t>Free Hospital Transportation (home/nursing home)</t>
  </si>
  <si>
    <t>A14</t>
  </si>
  <si>
    <t xml:space="preserve">Subsidy for Prince George's County Social Worker </t>
  </si>
  <si>
    <t xml:space="preserve">Rehabilitation Therapy Students </t>
  </si>
  <si>
    <t>B6</t>
  </si>
  <si>
    <t xml:space="preserve">Laboratory Students </t>
  </si>
  <si>
    <t>B7</t>
  </si>
  <si>
    <t>Radiology Students</t>
  </si>
  <si>
    <t>B8</t>
  </si>
  <si>
    <t>CNA</t>
  </si>
  <si>
    <t>SubAcute</t>
  </si>
  <si>
    <t xml:space="preserve">Car Seat Safety Check </t>
  </si>
  <si>
    <t>Community Benefit Operations (Other Resources)</t>
  </si>
  <si>
    <t>G4</t>
  </si>
  <si>
    <t xml:space="preserve">Community Benefits Meetings </t>
  </si>
  <si>
    <t>G5</t>
  </si>
  <si>
    <t>Community Outreach Expenses/Materials</t>
  </si>
  <si>
    <t xml:space="preserve">MedStar St. Mary              </t>
  </si>
  <si>
    <t>other</t>
  </si>
  <si>
    <t>Subsidized Continuing Care</t>
  </si>
  <si>
    <t>MedStar Union Memorial Hospita</t>
  </si>
  <si>
    <t>410.933.2313</t>
  </si>
  <si>
    <t>Other (Hospitalists)</t>
  </si>
  <si>
    <t>Women and Children Services</t>
  </si>
  <si>
    <t>Renal Dialysis Services</t>
  </si>
  <si>
    <t>Mercy Medical Center, Inc.</t>
  </si>
  <si>
    <t>#0008</t>
  </si>
  <si>
    <t>3920</t>
  </si>
  <si>
    <t>Justin Deibel</t>
  </si>
  <si>
    <t>410-659-2905</t>
  </si>
  <si>
    <t>jdeibel@mdmercy.com</t>
  </si>
  <si>
    <t>Charity Presriptions</t>
  </si>
  <si>
    <t>Emergency Room Physician Loss</t>
  </si>
  <si>
    <t>PA Support for Charity Services</t>
  </si>
  <si>
    <t>Physician Charity Care</t>
  </si>
  <si>
    <t>OB Coverage</t>
  </si>
  <si>
    <t>Healthcare for the Homeless</t>
  </si>
  <si>
    <t>SAFE Program</t>
  </si>
  <si>
    <t>Psych Coverage</t>
  </si>
  <si>
    <t>21-0001</t>
  </si>
  <si>
    <t>Dianna V. Rounds, Budget Director</t>
  </si>
  <si>
    <t>301-790-8882</t>
  </si>
  <si>
    <t>Dianna.Rounds@MeritusHealth.com</t>
  </si>
  <si>
    <t>Undergraduate training for pharmacists and other health professionals</t>
  </si>
  <si>
    <t>Meritus Endocrine, Nurtrition &amp; Diabetes Education Center</t>
  </si>
  <si>
    <t>Meritus Endocrinology Practice</t>
  </si>
  <si>
    <t>The Medication Assistance Center</t>
  </si>
  <si>
    <t>Level III Trauma Program</t>
  </si>
  <si>
    <t>Hospital Owned Psychiatric Practice</t>
  </si>
  <si>
    <t>Hospice Voluntary Write-offs (Hospice of Washington County)</t>
  </si>
  <si>
    <t>On-Call Fees - Emergency Specialist Call</t>
  </si>
  <si>
    <t>Hospitalist Subsidy</t>
  </si>
  <si>
    <t>Farmer's Market</t>
  </si>
  <si>
    <t>Mt. Washington Pediatric Hospital</t>
  </si>
  <si>
    <t>Melissa Beasley</t>
  </si>
  <si>
    <t>410-578-5065</t>
  </si>
  <si>
    <t>mstokes@mwph.org</t>
  </si>
  <si>
    <t>Weigh Smart Childhood Obesity Program</t>
  </si>
  <si>
    <t>Northwest Hospital</t>
  </si>
  <si>
    <t>Anesthesia</t>
  </si>
  <si>
    <t>ER</t>
  </si>
  <si>
    <t>Hospitalists</t>
  </si>
  <si>
    <t>Physcian Charity Care</t>
  </si>
  <si>
    <t xml:space="preserve">PENINSULA GENERAL             </t>
  </si>
  <si>
    <t>Rita Mecca</t>
  </si>
  <si>
    <t>410-546-6400 x 4894</t>
  </si>
  <si>
    <t>rita.mecca@peninsula.org</t>
  </si>
  <si>
    <t>Pediatric Specialties</t>
  </si>
  <si>
    <t>Peninsula Partners</t>
  </si>
  <si>
    <t>Trauma On-Call</t>
  </si>
  <si>
    <t>Physician Subsidies - Hospitalists</t>
  </si>
  <si>
    <t>Physician Subsidies - Recruitment</t>
  </si>
  <si>
    <t>Prince George Hospital Center</t>
  </si>
  <si>
    <t>21-0003</t>
  </si>
  <si>
    <t>Pharmacy Assistance</t>
  </si>
  <si>
    <t>Prince George's Fire Dept. EMT Supplies</t>
  </si>
  <si>
    <t>Medicaid Eligibility Support Services</t>
  </si>
  <si>
    <t>Intensive Care services to the community</t>
  </si>
  <si>
    <t>Cardiology services to the community</t>
  </si>
  <si>
    <t>Internal Medicine services to the community</t>
  </si>
  <si>
    <t>Emergency/Trauma services to the community</t>
  </si>
  <si>
    <t>Saint Agnes Hospital</t>
  </si>
  <si>
    <t>21-0011</t>
  </si>
  <si>
    <t>Mitchell Lomax</t>
  </si>
  <si>
    <t>410-368-2926</t>
  </si>
  <si>
    <t>mlomax@stagnes.org</t>
  </si>
  <si>
    <t>West Baltimore Care (Health Enterprise Zone)</t>
  </si>
  <si>
    <t>My Brother's Keeper</t>
  </si>
  <si>
    <t>Mission of Mercy</t>
  </si>
  <si>
    <t>Morrell Park</t>
  </si>
  <si>
    <t>Community Care Center</t>
  </si>
  <si>
    <t>Physician Emergency Department Indigent Care Subsidies</t>
  </si>
  <si>
    <t>Perinatology Practice Subsidy</t>
  </si>
  <si>
    <t>Seton Primary Care Practice</t>
  </si>
  <si>
    <t>Baltimore Medical System Obsetrical Coverage</t>
  </si>
  <si>
    <t>Sheppard Pratt Health System, Inc.</t>
  </si>
  <si>
    <t>Bonnie B. Katz</t>
  </si>
  <si>
    <t>410-938-3154</t>
  </si>
  <si>
    <t>bkatz@sheppardpratt.org</t>
  </si>
  <si>
    <t>Continuing Health Professional Education</t>
  </si>
  <si>
    <t>School System Staff Education-PBIS</t>
  </si>
  <si>
    <t>School System Staff Education-LSCI</t>
  </si>
  <si>
    <t>Harford County Mobile Crisis</t>
  </si>
  <si>
    <t>Telepsychiatry</t>
  </si>
  <si>
    <t>Physician Subsidies</t>
  </si>
  <si>
    <t>Therapy Referral Service</t>
  </si>
  <si>
    <t>Crisis Walk In Clinic</t>
  </si>
  <si>
    <t xml:space="preserve">Shore Regional Health Easton </t>
  </si>
  <si>
    <t>0037</t>
  </si>
  <si>
    <t>Kathleen McGrath / Frank Fields</t>
  </si>
  <si>
    <t xml:space="preserve">410 822 1000 </t>
  </si>
  <si>
    <t>kfmcgrath@shorehealth.org, ffields@shorehealth.org</t>
  </si>
  <si>
    <t>Shore Wellness Partners</t>
  </si>
  <si>
    <t>Antithrombosis Clinic</t>
  </si>
  <si>
    <t xml:space="preserve">MHE Anesthesia Physician Subsidy </t>
  </si>
  <si>
    <t>MHE ER Physician Subsidy</t>
  </si>
  <si>
    <t>Physician Recruitment Professional Services Development</t>
  </si>
  <si>
    <t>SCF: INPATIENT PHYSICIANS MHE CONT: HOSPITALIST</t>
  </si>
  <si>
    <t>RCC: CHEMOTHERAPY CLINIC SUBSIDIES</t>
  </si>
  <si>
    <t>SCF: SHORE SURGICAL PRACTICE SUBSIDIES</t>
  </si>
  <si>
    <t>SCF: SPECIALTY OTHER SUBSIDIES</t>
  </si>
  <si>
    <t>Physician On Call Coverage</t>
  </si>
  <si>
    <t>Outpatient Onclogy Social Service (C30)</t>
  </si>
  <si>
    <t xml:space="preserve">Analysis of CBR </t>
  </si>
  <si>
    <t>LESS:</t>
  </si>
  <si>
    <t>Adjusted TOTAL HOSPITAL COMMUNITY BENEFIT</t>
  </si>
  <si>
    <t>Shroe Regional Health Dorchester</t>
  </si>
  <si>
    <t>0010</t>
  </si>
  <si>
    <t>DGH Anesthesia Subsidy</t>
  </si>
  <si>
    <t>DGH Emergency Room Subsidy</t>
  </si>
  <si>
    <t>SCF: INPATIENT PHYSICIANS DGH CONT: HOSPITALIST</t>
  </si>
  <si>
    <t>SCF: INPATIENT PSYCH PHYSICIANS DGH CONT</t>
  </si>
  <si>
    <t>Shore Regional Health Chester River</t>
  </si>
  <si>
    <t>Health Professionals Programs</t>
  </si>
  <si>
    <t>Coumadin Clinic / Transitions in Care</t>
  </si>
  <si>
    <t>Hospitalist Program</t>
  </si>
  <si>
    <t>Emergency Physician Coverage</t>
  </si>
  <si>
    <t>Physician On Call</t>
  </si>
  <si>
    <t xml:space="preserve">Primary Care </t>
  </si>
  <si>
    <t>Surgical Support Coverage</t>
  </si>
  <si>
    <t>Congetive Heart Failure CHF Program</t>
  </si>
  <si>
    <t>Anesthesiolgy</t>
  </si>
  <si>
    <t>Sinai Hospital</t>
  </si>
  <si>
    <t>Primary Care</t>
  </si>
  <si>
    <t>Radiology</t>
  </si>
  <si>
    <t>NICU Subsidy</t>
  </si>
  <si>
    <t>Hospital OP Services</t>
  </si>
  <si>
    <t>Grant Writing</t>
  </si>
  <si>
    <t>21-0022</t>
  </si>
  <si>
    <t>Monique Sanfuentes</t>
  </si>
  <si>
    <t>301-896-3572</t>
  </si>
  <si>
    <t>msanfuentes@jhmi.edu</t>
  </si>
  <si>
    <t>Social and Environment Improvement Act</t>
  </si>
  <si>
    <t>Trauma On Call Coverage (ER)</t>
  </si>
  <si>
    <t>Readmissions Prevention Program</t>
  </si>
  <si>
    <t>Heartwell Program</t>
  </si>
  <si>
    <t>ENT On Call (ER)</t>
  </si>
  <si>
    <t>OB/GYN On Call (ER)</t>
  </si>
  <si>
    <t>Behav. Health On Call (ER)</t>
  </si>
  <si>
    <t>Urology On Call (ER)</t>
  </si>
  <si>
    <t>Cardiology On Call (ER)</t>
  </si>
  <si>
    <t>Anesthesiology On Call (ER)</t>
  </si>
  <si>
    <t>Other(see Sheet 2)</t>
  </si>
  <si>
    <t>Community Health/Health Assets Assessments</t>
  </si>
  <si>
    <t>Other - Community Support</t>
  </si>
  <si>
    <t>University of Maryland Baltimore Washington Medical Center</t>
  </si>
  <si>
    <t>Kim Davidson</t>
  </si>
  <si>
    <t>410-787-4391</t>
  </si>
  <si>
    <t>kdavidson@bwmc.umms.org</t>
  </si>
  <si>
    <t>Partial Hospitalization Program/Inpatient Psychiatry</t>
  </si>
  <si>
    <t>Physcian Subsidies</t>
  </si>
  <si>
    <t>University of Maryland Charles Regional Medical Center</t>
  </si>
  <si>
    <t>21-0035</t>
  </si>
  <si>
    <t>Emergency &amp; Trauma Services</t>
  </si>
  <si>
    <t>Other- Surgical Physician Practice</t>
  </si>
  <si>
    <t>Other resources</t>
  </si>
  <si>
    <t>HARFORD MEMORIAL HOSPITAL</t>
  </si>
  <si>
    <t>21-0006</t>
  </si>
  <si>
    <t>CHARLES ELLY</t>
  </si>
  <si>
    <t>443-843-5736</t>
  </si>
  <si>
    <t>CELLY@UCHS.ORG</t>
  </si>
  <si>
    <t>HMH ED/BHU PHYSICIAN SUBSIDIES</t>
  </si>
  <si>
    <t>HMH ANESTHESIOLOGISTS SUBSIDIES</t>
  </si>
  <si>
    <t>SUBSIDIZED CONTINUING CARE</t>
  </si>
  <si>
    <t>PALLIATIVE CARE</t>
  </si>
  <si>
    <t>Board &amp; Advisory Board Participation</t>
  </si>
  <si>
    <t>Physician Subsidy</t>
  </si>
  <si>
    <t>Medical Library</t>
  </si>
  <si>
    <t>Red Cross Blood Drives</t>
  </si>
  <si>
    <t>glhoward@umm.edu</t>
  </si>
  <si>
    <t>410-225-8218</t>
  </si>
  <si>
    <t>Garet Howard</t>
  </si>
  <si>
    <t>1,120</t>
  </si>
  <si>
    <t>0038</t>
  </si>
  <si>
    <t>University of Maryland Midtown Campus</t>
  </si>
  <si>
    <t>University of Maryland St. Joseph Medical Center</t>
  </si>
  <si>
    <t>21-0007</t>
  </si>
  <si>
    <t>Other Community Health Services</t>
  </si>
  <si>
    <t>Specialty Care</t>
  </si>
  <si>
    <t>Emergency Dept</t>
  </si>
  <si>
    <t>Mental Health</t>
  </si>
  <si>
    <t>Women's Health Associates</t>
  </si>
  <si>
    <t>OB/GYN</t>
  </si>
  <si>
    <t>Lab</t>
  </si>
  <si>
    <t>Non-Resident House Staff</t>
  </si>
  <si>
    <t xml:space="preserve">Tumor Registry </t>
  </si>
  <si>
    <t>UPPER CHESAPEAKE MEDICAL CENTER</t>
  </si>
  <si>
    <t>21-0049</t>
  </si>
  <si>
    <t>UCMC  ED PHYSICIAN SUBSIDIES</t>
  </si>
  <si>
    <t>UCMC ANESTHESIOLOGISTS SUBSIDIES</t>
  </si>
  <si>
    <t>UNIVERSITY OF MARYLAND MEDICAL CENTER</t>
  </si>
  <si>
    <t>0002, 8992, 8994</t>
  </si>
  <si>
    <t>ALICIA CUNNINGHAM</t>
  </si>
  <si>
    <t>410-328-1380</t>
  </si>
  <si>
    <t>ACUNNINGHAM@UMM.EDU</t>
  </si>
  <si>
    <t>UNIVERSITY CARE COMMUNITY CLINICS/UCARE</t>
  </si>
  <si>
    <t>COMMUNITY OUTPATIENT PSYCHIATRIC CLINICS</t>
  </si>
  <si>
    <t>Cindy Kelleher</t>
  </si>
  <si>
    <t>410 448 6447</t>
  </si>
  <si>
    <t>ckelleher@umm,edu</t>
  </si>
  <si>
    <t>BIAM</t>
  </si>
  <si>
    <t>Bllod Drives</t>
  </si>
  <si>
    <t>Other - Social Work</t>
  </si>
  <si>
    <t>Adapted Golf Program</t>
  </si>
  <si>
    <t>Adapted Sports Festival</t>
  </si>
  <si>
    <t>Athletic Traning Services</t>
  </si>
  <si>
    <t>Wheelchair Basketball Clinic</t>
  </si>
  <si>
    <t xml:space="preserve">Wheelchair Rugby </t>
  </si>
  <si>
    <t>Physician Services &amp; Activities</t>
  </si>
  <si>
    <t>University of Maryland Rehabilitation &amp; Orthopaedic Institute</t>
  </si>
  <si>
    <t>Jean-Marie Donahoo</t>
  </si>
  <si>
    <t xml:space="preserve">(443) 674-1290 </t>
  </si>
  <si>
    <t>jmdonahoo@uhcc.com</t>
  </si>
  <si>
    <t>Social and Environmental Improvements</t>
  </si>
  <si>
    <t>Palliative Care</t>
  </si>
  <si>
    <t>Scott Lutton</t>
  </si>
  <si>
    <t>240-964-8032</t>
  </si>
  <si>
    <t>slutton@wmhs.com</t>
  </si>
  <si>
    <t>Prescription  Medications</t>
  </si>
  <si>
    <t>Other Education Support</t>
  </si>
  <si>
    <t>Organizationally Owned Urgent Care Centers Frostburg and Hunt Club</t>
  </si>
  <si>
    <t>Psychiatric Physician Practice</t>
  </si>
  <si>
    <t>Obstetric Physician Practice</t>
  </si>
  <si>
    <t>Primary Care Physician Practices</t>
  </si>
  <si>
    <t>Outpatient Dialysis and Peritoneal Dialysis</t>
  </si>
  <si>
    <t>Congestive Heart Failure Clinic</t>
  </si>
  <si>
    <t>Diabetic Medical Home</t>
  </si>
  <si>
    <t>Center for Clinical Resources</t>
  </si>
  <si>
    <t>ACHI &amp; CBISA</t>
  </si>
  <si>
    <t>Net Community Benefit W/Indirect Cost</t>
  </si>
  <si>
    <t>Net Community Benefit W/O Indirect Cost</t>
  </si>
  <si>
    <t>Direct Cost ($)</t>
  </si>
  <si>
    <t>Indirect Cost ($)</t>
  </si>
  <si>
    <t>B.</t>
  </si>
  <si>
    <t>C.</t>
  </si>
  <si>
    <t>MISSION DRIVEN HEALTH SERVICES</t>
  </si>
  <si>
    <t>D.</t>
  </si>
  <si>
    <t>E.</t>
  </si>
  <si>
    <t>F.</t>
  </si>
  <si>
    <t>Physical Improvements/Housing</t>
  </si>
  <si>
    <t>Support System Enhancements</t>
  </si>
  <si>
    <t>Community Health Improvement Advocacy</t>
  </si>
  <si>
    <t>Workforce Enhancement</t>
  </si>
  <si>
    <t>F11</t>
  </si>
  <si>
    <t>G.</t>
  </si>
  <si>
    <t>Dedicated Staff</t>
  </si>
  <si>
    <t>H.</t>
  </si>
  <si>
    <t>J.</t>
  </si>
  <si>
    <t>K</t>
  </si>
  <si>
    <t>A</t>
  </si>
  <si>
    <t>B</t>
  </si>
  <si>
    <t>C</t>
  </si>
  <si>
    <t>D</t>
  </si>
  <si>
    <t>E</t>
  </si>
  <si>
    <t>F</t>
  </si>
  <si>
    <t>G</t>
  </si>
  <si>
    <t>H</t>
  </si>
  <si>
    <t>J</t>
  </si>
  <si>
    <t>TOTAL OPERATING EXPENSE</t>
  </si>
  <si>
    <t>% OF OPERATING EXPENSES W/IC</t>
  </si>
  <si>
    <t>% OF OPERATING EXPENSES W/O IC</t>
  </si>
  <si>
    <t>Attachment III - Aggregated Hospital CBR Data FY14-Including Specialty Hospitals</t>
  </si>
  <si>
    <t>J3</t>
  </si>
  <si>
    <t>J4</t>
  </si>
  <si>
    <t>J5</t>
  </si>
  <si>
    <t xml:space="preserve">Other </t>
  </si>
  <si>
    <t>Shady Grove</t>
  </si>
  <si>
    <t>Uncompensated Care Amounts In Rates For Maryland Hospitals In FY 2014</t>
  </si>
  <si>
    <t>FY2014Regulated Total Patient Revenue</t>
  </si>
  <si>
    <t>UCC PROVIDED IN RATES</t>
  </si>
  <si>
    <t>% CHARITY CARE</t>
  </si>
  <si>
    <t>Amount of Charity Care in Rates</t>
  </si>
  <si>
    <t xml:space="preserve">Univ. of Maryland Medical System             </t>
  </si>
  <si>
    <t>University and Shock Trauma</t>
  </si>
  <si>
    <t xml:space="preserve">Prince Georges Hospital                      </t>
  </si>
  <si>
    <t xml:space="preserve">Holy Cross Hospital of Silver Spring         </t>
  </si>
  <si>
    <t xml:space="preserve">Frederick Memorial Hospital                  </t>
  </si>
  <si>
    <t xml:space="preserve">Harford Memorial Hospital                    </t>
  </si>
  <si>
    <t xml:space="preserve">Mercy Medical Center, Inc.                   </t>
  </si>
  <si>
    <t xml:space="preserve">Johns Hopkins Hospital                       </t>
  </si>
  <si>
    <t xml:space="preserve">Dorchester General Hospital                  </t>
  </si>
  <si>
    <t xml:space="preserve">St. Agnes Hospital                           </t>
  </si>
  <si>
    <t xml:space="preserve">Sinai Hospital                               </t>
  </si>
  <si>
    <t xml:space="preserve">Bon Secours Hospital                         </t>
  </si>
  <si>
    <t xml:space="preserve">Franklin Square Hospital                     </t>
  </si>
  <si>
    <t xml:space="preserve">Washington Adventist Hospital                </t>
  </si>
  <si>
    <t xml:space="preserve">Garrett County Memorial Hospital             </t>
  </si>
  <si>
    <t xml:space="preserve">Montgomery General Hospital                  </t>
  </si>
  <si>
    <t xml:space="preserve">Peninsula Regional Medical Center            </t>
  </si>
  <si>
    <t xml:space="preserve">Suburban Hospital Association,Inc            </t>
  </si>
  <si>
    <t xml:space="preserve">Anne Arundel General Hospital                </t>
  </si>
  <si>
    <t xml:space="preserve">Union Memorial Hospital                      </t>
  </si>
  <si>
    <t xml:space="preserve">Braddock Hospital                            </t>
  </si>
  <si>
    <t xml:space="preserve">St. Marys Hospital                           </t>
  </si>
  <si>
    <t xml:space="preserve">Johns Hopkins Bayview Med. Center            </t>
  </si>
  <si>
    <t xml:space="preserve">Chester River Hospital Center                </t>
  </si>
  <si>
    <t xml:space="preserve">Harbor Hospital Center                       </t>
  </si>
  <si>
    <t xml:space="preserve">Civista Medical Center                       </t>
  </si>
  <si>
    <t xml:space="preserve">Memorial Hospital at Easton                  </t>
  </si>
  <si>
    <t xml:space="preserve">Maryland General Hospital                    </t>
  </si>
  <si>
    <t xml:space="preserve">Calvert Memorial Hospital                    </t>
  </si>
  <si>
    <t xml:space="preserve">Northwest Hospital Center, Inc.              </t>
  </si>
  <si>
    <t xml:space="preserve">North Arundel General Hospital               </t>
  </si>
  <si>
    <t xml:space="preserve">Greater Baltimore Medical Center             </t>
  </si>
  <si>
    <t xml:space="preserve">McCready Foundation, Inc.                    </t>
  </si>
  <si>
    <t xml:space="preserve">Howard County General Hospital               </t>
  </si>
  <si>
    <t xml:space="preserve">Upper Chesepeake Medical Center              </t>
  </si>
  <si>
    <t xml:space="preserve">Doctors Community Hospital                   </t>
  </si>
  <si>
    <t xml:space="preserve">Laurel Regional Hospital                     </t>
  </si>
  <si>
    <t xml:space="preserve">Southern Maryland Hospital                   </t>
  </si>
  <si>
    <t xml:space="preserve">St. Josephs Hospital                         </t>
  </si>
  <si>
    <t>UMMC*</t>
  </si>
  <si>
    <t>* UMMC contains Shock Trauma and Cancer Center</t>
  </si>
  <si>
    <t>FY2008-FY2014 - Net expense with &amp; without rate support</t>
  </si>
  <si>
    <t>FY2014</t>
  </si>
  <si>
    <t>210002*</t>
  </si>
  <si>
    <t>*Contains both UMMC and Shock Trauma</t>
  </si>
  <si>
    <t>Total Rate Support</t>
  </si>
  <si>
    <t>FY 2014 Amount in Rates for Charity Care, DME, and NSPI*</t>
  </si>
  <si>
    <t>* The Adventist Hospital System has requested and received permission to report their Community Benefit activities on a CY Basis.  This allows them to more acurately reflect their true activities during the Community Benefit Cycle.  The numbers listed in the 'FY 2014 Amount in Rates for Charity Care, DME, and NSPI' Column reflect the Commission's activities for FY14 and therefore will be different from the numbers reported by the Adventist Hospitals.</t>
  </si>
  <si>
    <t>Total operating Expense</t>
  </si>
  <si>
    <t>* Rate supported expenditures</t>
  </si>
  <si>
    <t>Attachment I - All Hospitals</t>
  </si>
  <si>
    <t>Ft. Washington</t>
  </si>
  <si>
    <t>UM Rehab &amp; Ortho (Kernan)</t>
  </si>
  <si>
    <t>MedStar Good Samiratan</t>
  </si>
  <si>
    <t>UM Shock Trauma</t>
  </si>
  <si>
    <t>Attachment III - Aggregated Hospital CBR Data FY14- Specialty Hospitals</t>
  </si>
  <si>
    <t>Attachment III - Aggregated Hospital CBR Data FY14-Acute Hospitals</t>
  </si>
  <si>
    <t>Attachment I A -All Hospitals</t>
  </si>
  <si>
    <t>Net Benefit less rate support</t>
  </si>
  <si>
    <t>Adventist Washington Adventist*</t>
  </si>
  <si>
    <t>Shady Grove*</t>
  </si>
  <si>
    <t>Adventist Rehab of Maryland*</t>
  </si>
  <si>
    <t>Adventist Behavioral Health at Eastern Shore*</t>
  </si>
  <si>
    <t>Adventist Behavioral Health Rockville*</t>
  </si>
  <si>
    <t>FY 2014 Analysis - All Hospitals</t>
  </si>
  <si>
    <t>FY2008 - FY2014 - Rate Support - for all hospitals</t>
  </si>
  <si>
    <t>Charts based on All Hospitals</t>
  </si>
  <si>
    <t>Table I All Hospitals Community Benefit Expenditures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</si>
</sst>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quot;$&quot;#,##0.00"/>
    <numFmt numFmtId="165" formatCode="[&lt;=9999999]###\-####;\(###\)\ ###\-####"/>
    <numFmt numFmtId="166" formatCode="_(* #,##0_);_(* \(#,##0\);_(* &quot;-&quot;??_);_(@_)"/>
    <numFmt numFmtId="167" formatCode="&quot;$&quot;#,##0"/>
    <numFmt numFmtId="168" formatCode="_(&quot;$&quot;* #,##0_);_(&quot;$&quot;* \(#,##0\);_(&quot;$&quot;* &quot;-&quot;??_);_(@_)"/>
    <numFmt numFmtId="169" formatCode="0.0%"/>
    <numFmt numFmtId="170" formatCode="0.0"/>
    <numFmt numFmtId="171" formatCode="_-[$$-409]* #,##0.00_ ;_-[$$-409]* \-#,##0.00\ ;_-[$$-409]* &quot;-&quot;??_ ;\-@\ "/>
    <numFmt numFmtId="172" formatCode="##,###%"/>
  </numFmts>
  <fonts count="6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i/>
      <sz val="10"/>
      <name val="Arial"/>
      <family val="2"/>
    </font>
    <font>
      <sz val="8"/>
      <name val="Arial"/>
      <family val="2"/>
    </font>
    <font>
      <b/>
      <sz val="12"/>
      <name val="Arial"/>
      <family val="2"/>
    </font>
    <font>
      <b/>
      <i/>
      <sz val="9"/>
      <name val="Arial"/>
      <family val="2"/>
    </font>
    <font>
      <sz val="9"/>
      <name val="Arial"/>
      <family val="2"/>
    </font>
    <font>
      <b/>
      <sz val="11"/>
      <color theme="1"/>
      <name val="Calibri"/>
      <family val="2"/>
      <scheme val="minor"/>
    </font>
    <font>
      <sz val="24"/>
      <name val="Times New Roman"/>
      <family val="1"/>
    </font>
    <font>
      <sz val="12"/>
      <name val="Arial"/>
      <family val="2"/>
    </font>
    <font>
      <sz val="12"/>
      <name val="Times New Roman"/>
      <family val="1"/>
    </font>
    <font>
      <sz val="12"/>
      <color indexed="8"/>
      <name val="Times New Roman"/>
      <family val="1"/>
    </font>
    <font>
      <sz val="11"/>
      <color theme="1"/>
      <name val="Calibri"/>
      <family val="2"/>
    </font>
    <font>
      <sz val="11"/>
      <name val="Calibri"/>
      <family val="2"/>
    </font>
    <font>
      <b/>
      <sz val="11"/>
      <color rgb="FF000000"/>
      <name val="Calibri"/>
      <family val="2"/>
    </font>
    <font>
      <u/>
      <sz val="11"/>
      <color rgb="FF000000"/>
      <name val="Calibri"/>
      <family val="2"/>
    </font>
    <font>
      <b/>
      <u/>
      <sz val="11"/>
      <color rgb="FF000000"/>
      <name val="Calibri"/>
      <family val="2"/>
    </font>
    <font>
      <sz val="10"/>
      <name val="System"/>
      <family val="2"/>
    </font>
    <font>
      <sz val="10"/>
      <name val="Times New Roman"/>
      <family val="1"/>
    </font>
    <font>
      <b/>
      <sz val="18"/>
      <color theme="1"/>
      <name val="Calibri"/>
      <family val="2"/>
      <scheme val="minor"/>
    </font>
    <font>
      <b/>
      <sz val="12"/>
      <color theme="1"/>
      <name val="Calibri"/>
      <family val="2"/>
      <scheme val="minor"/>
    </font>
    <font>
      <b/>
      <sz val="14"/>
      <color theme="1"/>
      <name val="Calibri"/>
      <family val="2"/>
      <scheme val="minor"/>
    </font>
    <font>
      <u/>
      <sz val="11"/>
      <color theme="1"/>
      <name val="Calibri"/>
      <family val="2"/>
      <scheme val="minor"/>
    </font>
    <font>
      <b/>
      <sz val="10"/>
      <color theme="1"/>
      <name val="Calibri"/>
      <family val="2"/>
      <scheme val="minor"/>
    </font>
    <font>
      <sz val="10"/>
      <color theme="1"/>
      <name val="Calibri"/>
      <family val="2"/>
      <scheme val="minor"/>
    </font>
    <font>
      <b/>
      <i/>
      <u val="double"/>
      <sz val="14"/>
      <color theme="1"/>
      <name val="Calibri"/>
      <family val="2"/>
      <scheme val="minor"/>
    </font>
    <font>
      <b/>
      <i/>
      <sz val="14"/>
      <color theme="1"/>
      <name val="Calibri"/>
      <family val="2"/>
      <scheme val="minor"/>
    </font>
    <font>
      <b/>
      <i/>
      <u val="singleAccounting"/>
      <sz val="11"/>
      <color theme="1"/>
      <name val="Calibri"/>
      <family val="2"/>
      <scheme val="minor"/>
    </font>
    <font>
      <u val="singleAccounting"/>
      <sz val="11"/>
      <color theme="1"/>
      <name val="Calibri"/>
      <family val="2"/>
      <scheme val="minor"/>
    </font>
    <font>
      <b/>
      <i/>
      <u val="doubleAccounting"/>
      <sz val="11"/>
      <color theme="1"/>
      <name val="Calibri"/>
      <family val="2"/>
      <scheme val="minor"/>
    </font>
    <font>
      <b/>
      <i/>
      <sz val="11"/>
      <color theme="1"/>
      <name val="Calibri"/>
      <family val="2"/>
      <scheme val="minor"/>
    </font>
    <font>
      <i/>
      <sz val="11"/>
      <color theme="1"/>
      <name val="Calibri"/>
      <family val="2"/>
      <scheme val="minor"/>
    </font>
    <font>
      <b/>
      <u/>
      <sz val="14"/>
      <color theme="1"/>
      <name val="Calibri"/>
      <family val="2"/>
      <scheme val="minor"/>
    </font>
    <font>
      <u/>
      <sz val="10"/>
      <color theme="10"/>
      <name val="Arial"/>
      <family val="2"/>
    </font>
    <font>
      <b/>
      <i/>
      <sz val="12"/>
      <name val="Arial"/>
      <family val="2"/>
    </font>
    <font>
      <u/>
      <sz val="12"/>
      <color theme="10"/>
      <name val="Arial"/>
      <family val="2"/>
    </font>
    <font>
      <sz val="10"/>
      <name val="Arial"/>
      <family val="2"/>
    </font>
    <font>
      <sz val="10"/>
      <color theme="1"/>
      <name val="Arial"/>
      <family val="2"/>
    </font>
    <font>
      <sz val="12"/>
      <name val="Times New Roman"/>
      <family val="1"/>
    </font>
    <font>
      <u/>
      <sz val="11"/>
      <color theme="10"/>
      <name val="Calibri"/>
      <family val="2"/>
      <scheme val="minor"/>
    </font>
    <font>
      <sz val="11"/>
      <color theme="1"/>
      <name val="Cambria"/>
      <family val="1"/>
      <scheme val="major"/>
    </font>
    <font>
      <sz val="10"/>
      <color rgb="FFFFFF00"/>
      <name val="Arial"/>
      <family val="2"/>
    </font>
    <font>
      <b/>
      <u/>
      <sz val="10"/>
      <name val="Arial"/>
      <family val="2"/>
    </font>
    <font>
      <sz val="10"/>
      <color indexed="12"/>
      <name val="Arial"/>
      <family val="2"/>
    </font>
    <font>
      <b/>
      <sz val="10"/>
      <color indexed="12"/>
      <name val="Arial"/>
      <family val="2"/>
    </font>
    <font>
      <u/>
      <sz val="10"/>
      <color theme="10"/>
      <name val="Arial"/>
      <family val="2"/>
    </font>
    <font>
      <b/>
      <sz val="16"/>
      <name val="Arial"/>
      <family val="2"/>
    </font>
    <font>
      <b/>
      <sz val="8"/>
      <name val="Arial"/>
      <family val="2"/>
    </font>
    <font>
      <sz val="12"/>
      <color theme="1"/>
      <name val="Times New Roman"/>
      <family val="1"/>
    </font>
    <font>
      <sz val="12"/>
      <color indexed="8"/>
      <name val="SWISS"/>
    </font>
    <font>
      <sz val="9"/>
      <color theme="1"/>
      <name val="Calibri"/>
      <family val="2"/>
      <scheme val="minor"/>
    </font>
    <font>
      <b/>
      <sz val="9"/>
      <color theme="1"/>
      <name val="Calibri"/>
      <family val="2"/>
      <scheme val="minor"/>
    </font>
    <font>
      <b/>
      <i/>
      <sz val="11"/>
      <color rgb="FFFF0000"/>
      <name val="Calibri"/>
      <family val="2"/>
      <scheme val="minor"/>
    </font>
  </fonts>
  <fills count="1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rgb="FFFFFF00"/>
        <bgColor indexed="64"/>
      </patternFill>
    </fill>
    <fill>
      <patternFill patternType="solid">
        <fgColor rgb="FFFFCC00"/>
        <bgColor indexed="64"/>
      </patternFill>
    </fill>
    <fill>
      <patternFill patternType="solid">
        <fgColor rgb="FFFFFF00"/>
        <bgColor rgb="FF000000"/>
      </patternFill>
    </fill>
    <fill>
      <patternFill patternType="solid">
        <fgColor rgb="FFFFFFFF"/>
        <bgColor rgb="FF000000"/>
      </patternFill>
    </fill>
    <fill>
      <patternFill patternType="solid">
        <fgColor indexed="65"/>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1">
    <xf numFmtId="0" fontId="0" fillId="0" borderId="0"/>
    <xf numFmtId="9" fontId="12" fillId="0" borderId="0" applyFont="0" applyFill="0" applyBorder="0" applyAlignment="0" applyProtection="0"/>
    <xf numFmtId="0" fontId="12" fillId="0" borderId="0"/>
    <xf numFmtId="0" fontId="11" fillId="0" borderId="0"/>
    <xf numFmtId="0" fontId="22" fillId="0" borderId="0"/>
    <xf numFmtId="43" fontId="11" fillId="0" borderId="0" applyFont="0" applyFill="0" applyBorder="0" applyAlignment="0" applyProtection="0"/>
    <xf numFmtId="9" fontId="11" fillId="0" borderId="0" applyFont="0" applyFill="0" applyBorder="0" applyAlignment="0" applyProtection="0"/>
    <xf numFmtId="0" fontId="30" fillId="0" borderId="0"/>
    <xf numFmtId="44" fontId="11" fillId="0" borderId="0" applyFont="0" applyFill="0" applyBorder="0" applyAlignment="0" applyProtection="0"/>
    <xf numFmtId="0" fontId="10" fillId="0" borderId="0"/>
    <xf numFmtId="0" fontId="10" fillId="0" borderId="0"/>
    <xf numFmtId="0" fontId="46" fillId="0" borderId="0" applyNumberFormat="0" applyFill="0" applyBorder="0" applyAlignment="0" applyProtection="0"/>
    <xf numFmtId="9" fontId="49" fillId="0" borderId="0" applyFont="0" applyFill="0" applyBorder="0" applyAlignment="0" applyProtection="0"/>
    <xf numFmtId="0" fontId="9" fillId="0" borderId="0"/>
    <xf numFmtId="0" fontId="51" fillId="0" borderId="0"/>
    <xf numFmtId="43" fontId="23" fillId="0" borderId="0" applyFont="0" applyFill="0" applyBorder="0" applyAlignment="0" applyProtection="0"/>
    <xf numFmtId="9" fontId="12" fillId="0" borderId="0" applyFont="0" applyFill="0" applyBorder="0" applyAlignment="0" applyProtection="0"/>
    <xf numFmtId="0" fontId="52" fillId="0" borderId="0" applyNumberFormat="0" applyFill="0" applyBorder="0" applyAlignment="0" applyProtection="0"/>
    <xf numFmtId="0" fontId="8" fillId="0" borderId="0"/>
    <xf numFmtId="43" fontId="49" fillId="0" borderId="0" applyFont="0" applyFill="0" applyBorder="0" applyAlignment="0" applyProtection="0"/>
    <xf numFmtId="44" fontId="49" fillId="0" borderId="0" applyFont="0" applyFill="0" applyBorder="0" applyAlignment="0" applyProtection="0"/>
    <xf numFmtId="0" fontId="7" fillId="0" borderId="0"/>
    <xf numFmtId="0" fontId="58" fillId="0" borderId="0" applyNumberFormat="0" applyFill="0" applyBorder="0" applyAlignment="0" applyProtection="0"/>
    <xf numFmtId="0" fontId="12" fillId="0" borderId="0"/>
    <xf numFmtId="44" fontId="7" fillId="0" borderId="0" applyFont="0" applyFill="0" applyBorder="0" applyAlignment="0" applyProtection="0"/>
    <xf numFmtId="9" fontId="12"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44" fontId="6" fillId="0" borderId="0" applyFont="0" applyFill="0" applyBorder="0" applyAlignment="0" applyProtection="0"/>
    <xf numFmtId="0" fontId="22" fillId="0" borderId="0"/>
  </cellStyleXfs>
  <cellXfs count="798">
    <xf numFmtId="0" fontId="0" fillId="0" borderId="0" xfId="0"/>
    <xf numFmtId="0" fontId="13" fillId="0" borderId="0" xfId="0" applyFont="1"/>
    <xf numFmtId="0" fontId="14" fillId="0" borderId="0" xfId="0" applyFont="1"/>
    <xf numFmtId="0" fontId="14" fillId="0" borderId="0" xfId="0" applyFont="1" applyAlignment="1">
      <alignment horizontal="centerContinuous"/>
    </xf>
    <xf numFmtId="0" fontId="0" fillId="0" borderId="0" xfId="0" applyAlignment="1">
      <alignment horizontal="centerContinuous"/>
    </xf>
    <xf numFmtId="0" fontId="14" fillId="0" borderId="0" xfId="0" applyFont="1" applyAlignment="1">
      <alignment horizontal="right"/>
    </xf>
    <xf numFmtId="0" fontId="14" fillId="0" borderId="0" xfId="0" applyFont="1" applyAlignment="1">
      <alignment horizontal="left"/>
    </xf>
    <xf numFmtId="0" fontId="15" fillId="0" borderId="0" xfId="0" applyFont="1" applyFill="1" applyBorder="1" applyAlignment="1">
      <alignment horizontal="left"/>
    </xf>
    <xf numFmtId="0" fontId="0" fillId="0" borderId="0" xfId="0" applyAlignment="1">
      <alignment horizontal="left"/>
    </xf>
    <xf numFmtId="0" fontId="14" fillId="0" borderId="0" xfId="0" applyFont="1" applyAlignment="1">
      <alignment horizontal="center" wrapText="1"/>
    </xf>
    <xf numFmtId="0" fontId="0" fillId="0" borderId="0" xfId="0" applyBorder="1"/>
    <xf numFmtId="0" fontId="0" fillId="0" borderId="1" xfId="0" applyBorder="1" applyAlignment="1">
      <alignment horizontal="left"/>
    </xf>
    <xf numFmtId="0" fontId="14" fillId="0" borderId="1" xfId="0" applyFont="1" applyBorder="1"/>
    <xf numFmtId="0" fontId="0" fillId="0" borderId="1" xfId="0" applyBorder="1"/>
    <xf numFmtId="3" fontId="0" fillId="2" borderId="2" xfId="0" applyNumberFormat="1" applyFill="1" applyBorder="1" applyProtection="1">
      <protection locked="0"/>
    </xf>
    <xf numFmtId="164" fontId="0" fillId="2" borderId="2" xfId="0" applyNumberFormat="1" applyFill="1" applyBorder="1" applyProtection="1">
      <protection locked="0"/>
    </xf>
    <xf numFmtId="164" fontId="0" fillId="2" borderId="2" xfId="0" applyNumberFormat="1" applyFill="1" applyBorder="1"/>
    <xf numFmtId="164" fontId="0" fillId="2" borderId="2" xfId="0" applyNumberFormat="1" applyFill="1" applyBorder="1" applyProtection="1"/>
    <xf numFmtId="3" fontId="0" fillId="2" borderId="2" xfId="0" applyNumberFormat="1" applyFill="1" applyBorder="1"/>
    <xf numFmtId="3" fontId="0" fillId="0" borderId="3" xfId="0" applyNumberFormat="1" applyFill="1" applyBorder="1"/>
    <xf numFmtId="164" fontId="0" fillId="0" borderId="3" xfId="0" applyNumberFormat="1" applyFill="1" applyBorder="1"/>
    <xf numFmtId="0" fontId="0" fillId="2" borderId="2" xfId="0" applyFill="1" applyBorder="1" applyProtection="1"/>
    <xf numFmtId="0" fontId="0" fillId="0" borderId="0" xfId="0" applyFill="1" applyBorder="1"/>
    <xf numFmtId="1" fontId="0" fillId="2" borderId="2" xfId="0" applyNumberFormat="1" applyFill="1" applyBorder="1"/>
    <xf numFmtId="0" fontId="0" fillId="0" borderId="3" xfId="0" applyBorder="1"/>
    <xf numFmtId="10" fontId="0" fillId="2" borderId="2" xfId="0" applyNumberFormat="1" applyFill="1" applyBorder="1" applyProtection="1">
      <protection locked="0"/>
    </xf>
    <xf numFmtId="49" fontId="0" fillId="2" borderId="4" xfId="0" applyNumberFormat="1" applyFill="1" applyBorder="1" applyAlignment="1" applyProtection="1">
      <protection locked="0"/>
    </xf>
    <xf numFmtId="49" fontId="0" fillId="2" borderId="5" xfId="0" applyNumberFormat="1" applyFill="1" applyBorder="1" applyAlignment="1" applyProtection="1">
      <protection locked="0"/>
    </xf>
    <xf numFmtId="49" fontId="0" fillId="2" borderId="6" xfId="0" applyNumberFormat="1" applyFill="1" applyBorder="1" applyAlignment="1" applyProtection="1">
      <protection locked="0"/>
    </xf>
    <xf numFmtId="49" fontId="16" fillId="2" borderId="4" xfId="0" applyNumberFormat="1" applyFont="1" applyFill="1" applyBorder="1" applyAlignment="1" applyProtection="1">
      <protection locked="0"/>
    </xf>
    <xf numFmtId="49" fontId="16" fillId="2" borderId="5" xfId="0" applyNumberFormat="1" applyFont="1" applyFill="1" applyBorder="1" applyAlignment="1" applyProtection="1">
      <protection locked="0"/>
    </xf>
    <xf numFmtId="49" fontId="16" fillId="2" borderId="6" xfId="0" applyNumberFormat="1" applyFont="1" applyFill="1" applyBorder="1" applyAlignment="1" applyProtection="1">
      <protection locked="0"/>
    </xf>
    <xf numFmtId="49" fontId="0" fillId="2" borderId="7" xfId="0" applyNumberFormat="1" applyFill="1" applyBorder="1" applyAlignment="1" applyProtection="1">
      <protection locked="0"/>
    </xf>
    <xf numFmtId="49" fontId="0" fillId="2" borderId="1" xfId="0" applyNumberFormat="1" applyFill="1" applyBorder="1" applyAlignment="1" applyProtection="1">
      <protection locked="0"/>
    </xf>
    <xf numFmtId="49" fontId="0" fillId="2" borderId="8" xfId="0" applyNumberFormat="1" applyFill="1" applyBorder="1" applyAlignment="1" applyProtection="1">
      <protection locked="0"/>
    </xf>
    <xf numFmtId="3" fontId="0" fillId="2" borderId="9" xfId="0" applyNumberFormat="1" applyFill="1" applyBorder="1" applyProtection="1">
      <protection locked="0"/>
    </xf>
    <xf numFmtId="164" fontId="0" fillId="2" borderId="9" xfId="0" applyNumberFormat="1" applyFill="1" applyBorder="1" applyProtection="1">
      <protection locked="0"/>
    </xf>
    <xf numFmtId="164" fontId="0" fillId="2" borderId="9" xfId="0" applyNumberFormat="1" applyFill="1" applyBorder="1"/>
    <xf numFmtId="3" fontId="0" fillId="2" borderId="10" xfId="0" applyNumberFormat="1" applyFill="1" applyBorder="1" applyProtection="1">
      <protection locked="0"/>
    </xf>
    <xf numFmtId="164" fontId="0" fillId="2" borderId="10" xfId="0" applyNumberFormat="1" applyFill="1" applyBorder="1" applyProtection="1">
      <protection locked="0"/>
    </xf>
    <xf numFmtId="164" fontId="0" fillId="3" borderId="2" xfId="0" applyNumberFormat="1" applyFill="1" applyBorder="1"/>
    <xf numFmtId="3" fontId="0" fillId="2" borderId="9" xfId="0" applyNumberFormat="1" applyFill="1" applyBorder="1"/>
    <xf numFmtId="3" fontId="0" fillId="3" borderId="9" xfId="0" applyNumberFormat="1" applyFill="1" applyBorder="1"/>
    <xf numFmtId="164" fontId="0" fillId="3" borderId="9" xfId="0" applyNumberFormat="1" applyFill="1" applyBorder="1"/>
    <xf numFmtId="164" fontId="0" fillId="0" borderId="2" xfId="0" applyNumberFormat="1" applyFill="1" applyBorder="1"/>
    <xf numFmtId="164" fontId="0" fillId="3" borderId="11" xfId="0" applyNumberFormat="1" applyFill="1" applyBorder="1"/>
    <xf numFmtId="164" fontId="0" fillId="3" borderId="4" xfId="0" applyNumberFormat="1" applyFill="1" applyBorder="1" applyProtection="1"/>
    <xf numFmtId="0" fontId="13" fillId="0" borderId="0" xfId="0" applyFont="1" applyBorder="1"/>
    <xf numFmtId="0" fontId="0" fillId="0" borderId="12" xfId="0" applyBorder="1"/>
    <xf numFmtId="3" fontId="0" fillId="2" borderId="13" xfId="0" applyNumberFormat="1" applyFill="1" applyBorder="1"/>
    <xf numFmtId="164" fontId="0" fillId="2" borderId="4" xfId="0" applyNumberFormat="1" applyFill="1" applyBorder="1" applyProtection="1">
      <protection locked="0"/>
    </xf>
    <xf numFmtId="0" fontId="0" fillId="2" borderId="2" xfId="0" applyFill="1" applyBorder="1" applyProtection="1">
      <protection locked="0"/>
    </xf>
    <xf numFmtId="3" fontId="13" fillId="2" borderId="2" xfId="0" applyNumberFormat="1" applyFont="1" applyFill="1" applyBorder="1" applyProtection="1">
      <protection locked="0"/>
    </xf>
    <xf numFmtId="164" fontId="0" fillId="2" borderId="4" xfId="0" applyNumberFormat="1" applyFill="1" applyBorder="1" applyProtection="1"/>
    <xf numFmtId="3" fontId="0" fillId="5" borderId="2" xfId="0" applyNumberFormat="1" applyFill="1" applyBorder="1" applyProtection="1">
      <protection locked="0"/>
    </xf>
    <xf numFmtId="164" fontId="0" fillId="5" borderId="4" xfId="0" applyNumberFormat="1" applyFill="1" applyBorder="1" applyProtection="1">
      <protection locked="0"/>
    </xf>
    <xf numFmtId="164" fontId="0" fillId="5" borderId="2" xfId="0" applyNumberFormat="1" applyFill="1" applyBorder="1" applyProtection="1"/>
    <xf numFmtId="0" fontId="14" fillId="0" borderId="0" xfId="0" applyFont="1" applyBorder="1" applyAlignment="1">
      <alignment horizontal="center" wrapText="1"/>
    </xf>
    <xf numFmtId="0" fontId="0" fillId="3" borderId="0" xfId="0" applyFill="1" applyBorder="1"/>
    <xf numFmtId="164" fontId="0" fillId="3" borderId="0" xfId="0" applyNumberFormat="1" applyFill="1" applyBorder="1" applyProtection="1"/>
    <xf numFmtId="164" fontId="0" fillId="3" borderId="0" xfId="0" applyNumberFormat="1" applyFill="1" applyBorder="1"/>
    <xf numFmtId="3" fontId="0" fillId="3" borderId="0" xfId="0" applyNumberFormat="1" applyFill="1" applyBorder="1" applyProtection="1">
      <protection locked="0"/>
    </xf>
    <xf numFmtId="164" fontId="0" fillId="3" borderId="0" xfId="0" applyNumberFormat="1" applyFill="1" applyBorder="1" applyProtection="1">
      <protection locked="0"/>
    </xf>
    <xf numFmtId="0" fontId="14" fillId="0" borderId="0" xfId="0" applyFont="1" applyBorder="1"/>
    <xf numFmtId="10" fontId="0" fillId="2" borderId="2" xfId="1" applyNumberFormat="1" applyFont="1" applyFill="1" applyBorder="1" applyProtection="1"/>
    <xf numFmtId="49" fontId="0" fillId="2" borderId="4" xfId="0" applyNumberFormat="1" applyFill="1" applyBorder="1" applyAlignment="1" applyProtection="1">
      <protection locked="0"/>
    </xf>
    <xf numFmtId="49" fontId="0" fillId="2" borderId="5" xfId="0" applyNumberFormat="1" applyFill="1" applyBorder="1" applyAlignment="1" applyProtection="1">
      <protection locked="0"/>
    </xf>
    <xf numFmtId="49" fontId="0" fillId="2" borderId="6" xfId="0" applyNumberFormat="1" applyFill="1" applyBorder="1" applyAlignment="1" applyProtection="1">
      <protection locked="0"/>
    </xf>
    <xf numFmtId="164" fontId="12" fillId="2" borderId="2" xfId="0" applyNumberFormat="1" applyFont="1" applyFill="1" applyBorder="1" applyProtection="1">
      <protection locked="0"/>
    </xf>
    <xf numFmtId="38" fontId="0" fillId="2" borderId="2" xfId="0" applyNumberFormat="1" applyFill="1" applyBorder="1" applyProtection="1">
      <protection locked="0"/>
    </xf>
    <xf numFmtId="0" fontId="11" fillId="0" borderId="0" xfId="3"/>
    <xf numFmtId="0" fontId="11" fillId="0" borderId="0" xfId="3" applyAlignment="1">
      <alignment horizontal="center" wrapText="1"/>
    </xf>
    <xf numFmtId="3" fontId="11" fillId="0" borderId="0" xfId="3" applyNumberFormat="1" applyBorder="1"/>
    <xf numFmtId="166" fontId="0" fillId="0" borderId="0" xfId="5" applyNumberFormat="1" applyFont="1" applyBorder="1"/>
    <xf numFmtId="11" fontId="25" fillId="0" borderId="0" xfId="3" applyNumberFormat="1" applyFont="1" applyFill="1" applyBorder="1" applyAlignment="1" applyProtection="1"/>
    <xf numFmtId="1" fontId="25" fillId="0" borderId="0" xfId="3" applyNumberFormat="1" applyFont="1" applyFill="1" applyBorder="1" applyAlignment="1" applyProtection="1"/>
    <xf numFmtId="43" fontId="27" fillId="0" borderId="0" xfId="3" applyNumberFormat="1" applyFont="1" applyFill="1" applyBorder="1"/>
    <xf numFmtId="0" fontId="11" fillId="0" borderId="0" xfId="3" applyBorder="1"/>
    <xf numFmtId="3" fontId="11" fillId="0" borderId="0" xfId="3" applyNumberFormat="1"/>
    <xf numFmtId="11" fontId="28" fillId="0" borderId="0" xfId="3" applyNumberFormat="1" applyFont="1" applyFill="1" applyBorder="1" applyAlignment="1" applyProtection="1">
      <alignment horizontal="center"/>
    </xf>
    <xf numFmtId="1" fontId="28" fillId="0" borderId="0" xfId="3" applyNumberFormat="1" applyFont="1" applyFill="1" applyBorder="1" applyAlignment="1" applyProtection="1"/>
    <xf numFmtId="0" fontId="29" fillId="0" borderId="0" xfId="3" applyFont="1" applyFill="1" applyBorder="1" applyAlignment="1">
      <alignment horizontal="center"/>
    </xf>
    <xf numFmtId="0" fontId="20" fillId="0" borderId="0" xfId="3" applyFont="1"/>
    <xf numFmtId="0" fontId="11" fillId="0" borderId="0" xfId="3" applyFill="1"/>
    <xf numFmtId="43" fontId="0" fillId="0" borderId="0" xfId="5" applyFont="1"/>
    <xf numFmtId="41" fontId="27" fillId="0" borderId="0" xfId="3" applyNumberFormat="1" applyFont="1" applyFill="1" applyBorder="1"/>
    <xf numFmtId="0" fontId="32" fillId="0" borderId="0" xfId="3" applyFont="1"/>
    <xf numFmtId="38" fontId="11" fillId="0" borderId="0" xfId="3" applyNumberFormat="1"/>
    <xf numFmtId="5" fontId="11" fillId="0" borderId="0" xfId="3" applyNumberFormat="1"/>
    <xf numFmtId="0" fontId="33" fillId="0" borderId="4" xfId="3" applyFont="1" applyBorder="1" applyAlignment="1">
      <alignment horizontal="center" wrapText="1"/>
    </xf>
    <xf numFmtId="37" fontId="33" fillId="0" borderId="2" xfId="3" applyNumberFormat="1" applyFont="1" applyBorder="1" applyAlignment="1">
      <alignment horizontal="center" wrapText="1"/>
    </xf>
    <xf numFmtId="38" fontId="33" fillId="0" borderId="5" xfId="3" applyNumberFormat="1" applyFont="1" applyBorder="1" applyAlignment="1">
      <alignment horizontal="center" wrapText="1"/>
    </xf>
    <xf numFmtId="0" fontId="11" fillId="0" borderId="0" xfId="3" applyAlignment="1">
      <alignment wrapText="1"/>
    </xf>
    <xf numFmtId="168" fontId="0" fillId="0" borderId="0" xfId="8" applyNumberFormat="1" applyFont="1"/>
    <xf numFmtId="166" fontId="0" fillId="0" borderId="0" xfId="5" applyNumberFormat="1" applyFont="1"/>
    <xf numFmtId="38" fontId="11" fillId="0" borderId="0" xfId="3" applyNumberFormat="1" applyFill="1"/>
    <xf numFmtId="5" fontId="20" fillId="0" borderId="0" xfId="3" applyNumberFormat="1" applyFont="1"/>
    <xf numFmtId="9" fontId="0" fillId="0" borderId="0" xfId="6" applyFont="1"/>
    <xf numFmtId="0" fontId="36" fillId="0" borderId="2" xfId="3" applyFont="1" applyBorder="1" applyAlignment="1">
      <alignment horizontal="center" vertical="center" wrapText="1"/>
    </xf>
    <xf numFmtId="3" fontId="37" fillId="0" borderId="2" xfId="3" applyNumberFormat="1" applyFont="1" applyBorder="1"/>
    <xf numFmtId="10" fontId="38" fillId="0" borderId="0" xfId="6" applyNumberFormat="1" applyFont="1"/>
    <xf numFmtId="0" fontId="39" fillId="0" borderId="0" xfId="3" applyFont="1"/>
    <xf numFmtId="168" fontId="40" fillId="0" borderId="0" xfId="8" applyNumberFormat="1" applyFont="1"/>
    <xf numFmtId="168" fontId="41" fillId="0" borderId="0" xfId="3" applyNumberFormat="1" applyFont="1"/>
    <xf numFmtId="168" fontId="40" fillId="0" borderId="0" xfId="3" applyNumberFormat="1" applyFont="1"/>
    <xf numFmtId="168" fontId="42" fillId="0" borderId="0" xfId="8" applyNumberFormat="1" applyFont="1"/>
    <xf numFmtId="166" fontId="42" fillId="0" borderId="0" xfId="3" applyNumberFormat="1" applyFont="1"/>
    <xf numFmtId="44" fontId="43" fillId="0" borderId="0" xfId="8" applyFont="1"/>
    <xf numFmtId="0" fontId="43" fillId="0" borderId="0" xfId="3" applyFont="1"/>
    <xf numFmtId="166" fontId="43" fillId="0" borderId="0" xfId="3" applyNumberFormat="1" applyFont="1"/>
    <xf numFmtId="166" fontId="41" fillId="0" borderId="0" xfId="5" applyNumberFormat="1" applyFont="1"/>
    <xf numFmtId="0" fontId="44" fillId="0" borderId="0" xfId="3" applyFont="1"/>
    <xf numFmtId="0" fontId="11" fillId="0" borderId="0" xfId="3" applyFont="1"/>
    <xf numFmtId="5" fontId="43" fillId="0" borderId="0" xfId="3" applyNumberFormat="1" applyFont="1"/>
    <xf numFmtId="38" fontId="43" fillId="0" borderId="0" xfId="3" applyNumberFormat="1" applyFont="1"/>
    <xf numFmtId="0" fontId="34" fillId="0" borderId="1" xfId="3" applyFont="1" applyBorder="1" applyAlignment="1">
      <alignment horizontal="center" wrapText="1"/>
    </xf>
    <xf numFmtId="0" fontId="34" fillId="0" borderId="1" xfId="3" applyFont="1" applyBorder="1" applyAlignment="1">
      <alignment horizontal="center"/>
    </xf>
    <xf numFmtId="0" fontId="45" fillId="0" borderId="0" xfId="3" applyFont="1"/>
    <xf numFmtId="166" fontId="11" fillId="0" borderId="0" xfId="3" applyNumberFormat="1"/>
    <xf numFmtId="169" fontId="11" fillId="0" borderId="0" xfId="3" applyNumberFormat="1"/>
    <xf numFmtId="169" fontId="0" fillId="0" borderId="0" xfId="6" applyNumberFormat="1" applyFont="1"/>
    <xf numFmtId="0" fontId="11" fillId="0" borderId="2" xfId="3" applyBorder="1" applyAlignment="1">
      <alignment horizontal="center" wrapText="1"/>
    </xf>
    <xf numFmtId="6" fontId="11" fillId="0" borderId="0" xfId="3" applyNumberFormat="1"/>
    <xf numFmtId="0" fontId="34" fillId="0" borderId="0" xfId="3" applyFont="1"/>
    <xf numFmtId="49" fontId="20" fillId="0" borderId="2" xfId="3" applyNumberFormat="1" applyFont="1" applyBorder="1" applyAlignment="1">
      <alignment wrapText="1"/>
    </xf>
    <xf numFmtId="49" fontId="20" fillId="0" borderId="2" xfId="3" applyNumberFormat="1" applyFont="1" applyBorder="1" applyAlignment="1">
      <alignment horizontal="right" wrapText="1"/>
    </xf>
    <xf numFmtId="49" fontId="20" fillId="0" borderId="2" xfId="3" applyNumberFormat="1" applyFont="1" applyBorder="1" applyAlignment="1">
      <alignment horizontal="center" wrapText="1"/>
    </xf>
    <xf numFmtId="167" fontId="20" fillId="0" borderId="2" xfId="3" applyNumberFormat="1" applyFont="1" applyBorder="1" applyAlignment="1">
      <alignment horizontal="center" wrapText="1"/>
    </xf>
    <xf numFmtId="9" fontId="20" fillId="0" borderId="2" xfId="6" applyFont="1" applyBorder="1" applyAlignment="1">
      <alignment horizontal="center" wrapText="1"/>
    </xf>
    <xf numFmtId="167" fontId="20" fillId="0" borderId="2" xfId="8" applyNumberFormat="1" applyFont="1" applyBorder="1" applyAlignment="1">
      <alignment horizontal="center" wrapText="1"/>
    </xf>
    <xf numFmtId="0" fontId="11" fillId="0" borderId="2" xfId="3" applyBorder="1"/>
    <xf numFmtId="3" fontId="11" fillId="0" borderId="2" xfId="3" applyNumberFormat="1" applyBorder="1" applyAlignment="1">
      <alignment horizontal="right"/>
    </xf>
    <xf numFmtId="10" fontId="0" fillId="0" borderId="2" xfId="6" applyNumberFormat="1" applyFont="1" applyBorder="1"/>
    <xf numFmtId="166" fontId="0" fillId="0" borderId="2" xfId="5" applyNumberFormat="1" applyFont="1" applyBorder="1"/>
    <xf numFmtId="167" fontId="0" fillId="0" borderId="2" xfId="8" applyNumberFormat="1" applyFont="1" applyBorder="1"/>
    <xf numFmtId="0" fontId="11" fillId="0" borderId="2" xfId="3" applyBorder="1" applyAlignment="1">
      <alignment horizontal="right"/>
    </xf>
    <xf numFmtId="0" fontId="20" fillId="0" borderId="2" xfId="3" applyFont="1" applyBorder="1"/>
    <xf numFmtId="37" fontId="20" fillId="0" borderId="2" xfId="3" applyNumberFormat="1" applyFont="1" applyBorder="1" applyAlignment="1">
      <alignment horizontal="right"/>
    </xf>
    <xf numFmtId="37" fontId="20" fillId="0" borderId="2" xfId="3" applyNumberFormat="1" applyFont="1" applyBorder="1"/>
    <xf numFmtId="167" fontId="20" fillId="0" borderId="2" xfId="3" applyNumberFormat="1" applyFont="1" applyBorder="1"/>
    <xf numFmtId="10" fontId="20" fillId="0" borderId="2" xfId="6" applyNumberFormat="1" applyFont="1" applyBorder="1" applyAlignment="1">
      <alignment horizontal="right"/>
    </xf>
    <xf numFmtId="167" fontId="20" fillId="0" borderId="2" xfId="8" applyNumberFormat="1" applyFont="1" applyBorder="1"/>
    <xf numFmtId="167" fontId="20" fillId="0" borderId="2" xfId="3" applyNumberFormat="1" applyFont="1" applyBorder="1" applyAlignment="1">
      <alignment horizontal="right"/>
    </xf>
    <xf numFmtId="167" fontId="11" fillId="0" borderId="0" xfId="3" applyNumberFormat="1"/>
    <xf numFmtId="0" fontId="20" fillId="0" borderId="0" xfId="3" applyFont="1" applyAlignment="1">
      <alignment horizontal="right"/>
    </xf>
    <xf numFmtId="0" fontId="20" fillId="0" borderId="0" xfId="3" applyFont="1" applyAlignment="1"/>
    <xf numFmtId="167" fontId="20" fillId="0" borderId="0" xfId="3" applyNumberFormat="1" applyFont="1" applyAlignment="1"/>
    <xf numFmtId="9" fontId="20" fillId="0" borderId="0" xfId="6" applyFont="1"/>
    <xf numFmtId="167" fontId="20" fillId="0" borderId="0" xfId="8" applyNumberFormat="1" applyFont="1"/>
    <xf numFmtId="0" fontId="11" fillId="0" borderId="0" xfId="3" applyAlignment="1">
      <alignment horizontal="right"/>
    </xf>
    <xf numFmtId="37" fontId="11" fillId="0" borderId="0" xfId="3" applyNumberFormat="1"/>
    <xf numFmtId="167" fontId="0" fillId="0" borderId="0" xfId="8" applyNumberFormat="1" applyFont="1"/>
    <xf numFmtId="0" fontId="26" fillId="0" borderId="0" xfId="0" applyFont="1" applyBorder="1" applyAlignment="1">
      <alignment vertical="center" wrapText="1"/>
    </xf>
    <xf numFmtId="0" fontId="26" fillId="0" borderId="0" xfId="0" applyFont="1" applyBorder="1" applyAlignment="1">
      <alignment vertical="center"/>
    </xf>
    <xf numFmtId="0" fontId="11" fillId="0" borderId="0" xfId="3" applyBorder="1" applyAlignment="1">
      <alignment horizontal="center" wrapText="1"/>
    </xf>
    <xf numFmtId="3" fontId="11" fillId="0" borderId="0" xfId="3" applyNumberFormat="1" applyBorder="1" applyAlignment="1">
      <alignment horizontal="center" wrapText="1"/>
    </xf>
    <xf numFmtId="0" fontId="10" fillId="0" borderId="0" xfId="9"/>
    <xf numFmtId="0" fontId="26" fillId="0" borderId="0" xfId="9" applyFont="1" applyBorder="1" applyAlignment="1">
      <alignment vertical="center"/>
    </xf>
    <xf numFmtId="11" fontId="25" fillId="0" borderId="0" xfId="10" applyNumberFormat="1" applyFont="1" applyFill="1" applyBorder="1" applyAlignment="1" applyProtection="1"/>
    <xf numFmtId="41" fontId="20" fillId="0" borderId="2" xfId="9" applyNumberFormat="1" applyFont="1" applyBorder="1"/>
    <xf numFmtId="1" fontId="25" fillId="0" borderId="0" xfId="10" applyNumberFormat="1" applyFont="1" applyFill="1" applyBorder="1" applyAlignment="1" applyProtection="1"/>
    <xf numFmtId="43" fontId="20" fillId="0" borderId="2" xfId="9" applyNumberFormat="1" applyFont="1" applyBorder="1"/>
    <xf numFmtId="41" fontId="10" fillId="0" borderId="2" xfId="9" applyNumberFormat="1" applyBorder="1"/>
    <xf numFmtId="1" fontId="10" fillId="0" borderId="2" xfId="9" applyNumberFormat="1" applyFill="1" applyBorder="1" applyAlignment="1" applyProtection="1"/>
    <xf numFmtId="11" fontId="10" fillId="0" borderId="2" xfId="9" applyNumberFormat="1" applyFill="1" applyBorder="1" applyAlignment="1" applyProtection="1"/>
    <xf numFmtId="43" fontId="10" fillId="0" borderId="2" xfId="9" applyNumberFormat="1" applyFont="1" applyBorder="1"/>
    <xf numFmtId="41" fontId="10" fillId="0" borderId="2" xfId="9" applyNumberFormat="1" applyFont="1" applyBorder="1"/>
    <xf numFmtId="1" fontId="10" fillId="0" borderId="2" xfId="9" applyNumberFormat="1" applyFont="1" applyFill="1" applyBorder="1" applyAlignment="1" applyProtection="1"/>
    <xf numFmtId="11" fontId="10" fillId="0" borderId="2" xfId="9" applyNumberFormat="1" applyFont="1" applyFill="1" applyBorder="1" applyAlignment="1" applyProtection="1"/>
    <xf numFmtId="43" fontId="10" fillId="0" borderId="2" xfId="9" applyNumberFormat="1" applyBorder="1"/>
    <xf numFmtId="43" fontId="10" fillId="0" borderId="0" xfId="9" applyNumberFormat="1"/>
    <xf numFmtId="3" fontId="10" fillId="0" borderId="2" xfId="9" applyNumberFormat="1" applyFont="1" applyBorder="1"/>
    <xf numFmtId="0" fontId="20" fillId="0" borderId="2" xfId="9" applyFont="1" applyBorder="1" applyAlignment="1">
      <alignment horizontal="center" wrapText="1"/>
    </xf>
    <xf numFmtId="10" fontId="10" fillId="0" borderId="2" xfId="9" applyNumberFormat="1" applyBorder="1" applyAlignment="1">
      <alignment horizontal="center" wrapText="1"/>
    </xf>
    <xf numFmtId="170" fontId="10" fillId="0" borderId="2" xfId="9" applyNumberFormat="1" applyBorder="1" applyAlignment="1">
      <alignment horizontal="center" wrapText="1"/>
    </xf>
    <xf numFmtId="11" fontId="12" fillId="0" borderId="0" xfId="9" applyNumberFormat="1" applyFont="1" applyFill="1" applyBorder="1" applyAlignment="1" applyProtection="1"/>
    <xf numFmtId="11" fontId="35" fillId="0" borderId="2" xfId="9" applyNumberFormat="1" applyFont="1" applyFill="1" applyBorder="1" applyAlignment="1" applyProtection="1">
      <alignment horizontal="center"/>
    </xf>
    <xf numFmtId="0" fontId="12" fillId="0" borderId="0" xfId="2" applyAlignment="1">
      <alignment horizontal="left"/>
    </xf>
    <xf numFmtId="0" fontId="12" fillId="0" borderId="0" xfId="2"/>
    <xf numFmtId="0" fontId="12" fillId="0" borderId="0" xfId="2" applyAlignment="1">
      <alignment horizontal="centerContinuous"/>
    </xf>
    <xf numFmtId="0" fontId="14" fillId="0" borderId="0" xfId="2" applyFont="1" applyAlignment="1">
      <alignment horizontal="centerContinuous"/>
    </xf>
    <xf numFmtId="0" fontId="14" fillId="0" borderId="0" xfId="2" applyFont="1"/>
    <xf numFmtId="0" fontId="14" fillId="0" borderId="0" xfId="2" applyFont="1" applyAlignment="1">
      <alignment horizontal="right"/>
    </xf>
    <xf numFmtId="0" fontId="15" fillId="0" borderId="0" xfId="2" applyFont="1" applyFill="1" applyBorder="1" applyAlignment="1">
      <alignment horizontal="left"/>
    </xf>
    <xf numFmtId="0" fontId="14" fillId="0" borderId="0" xfId="2" applyFont="1" applyAlignment="1">
      <alignment horizontal="center" wrapText="1"/>
    </xf>
    <xf numFmtId="0" fontId="14" fillId="0" borderId="0" xfId="2" applyFont="1" applyAlignment="1">
      <alignment horizontal="left"/>
    </xf>
    <xf numFmtId="0" fontId="12" fillId="0" borderId="0" xfId="2" applyFont="1"/>
    <xf numFmtId="3" fontId="12" fillId="2" borderId="2" xfId="2" applyNumberFormat="1" applyFill="1" applyBorder="1" applyProtection="1">
      <protection locked="0"/>
    </xf>
    <xf numFmtId="164" fontId="12" fillId="2" borderId="2" xfId="2" applyNumberFormat="1" applyFill="1" applyBorder="1" applyProtection="1">
      <protection locked="0"/>
    </xf>
    <xf numFmtId="164" fontId="12" fillId="2" borderId="4" xfId="2" applyNumberFormat="1" applyFill="1" applyBorder="1" applyProtection="1">
      <protection locked="0"/>
    </xf>
    <xf numFmtId="164" fontId="12" fillId="2" borderId="2" xfId="2" applyNumberFormat="1" applyFill="1" applyBorder="1"/>
    <xf numFmtId="3" fontId="12" fillId="2" borderId="2" xfId="2" applyNumberFormat="1" applyFont="1" applyFill="1" applyBorder="1" applyProtection="1">
      <protection locked="0"/>
    </xf>
    <xf numFmtId="49" fontId="16" fillId="2" borderId="4" xfId="2" applyNumberFormat="1" applyFont="1" applyFill="1" applyBorder="1" applyAlignment="1" applyProtection="1">
      <protection locked="0"/>
    </xf>
    <xf numFmtId="49" fontId="16" fillId="2" borderId="5" xfId="2" applyNumberFormat="1" applyFont="1" applyFill="1" applyBorder="1" applyAlignment="1" applyProtection="1">
      <protection locked="0"/>
    </xf>
    <xf numFmtId="49" fontId="16" fillId="2" borderId="6" xfId="2" applyNumberFormat="1" applyFont="1" applyFill="1" applyBorder="1" applyAlignment="1" applyProtection="1">
      <protection locked="0"/>
    </xf>
    <xf numFmtId="164" fontId="12" fillId="0" borderId="2" xfId="2" applyNumberFormat="1" applyFill="1" applyBorder="1"/>
    <xf numFmtId="3" fontId="12" fillId="2" borderId="2" xfId="2" applyNumberFormat="1" applyFill="1" applyBorder="1"/>
    <xf numFmtId="3" fontId="12" fillId="0" borderId="3" xfId="2" applyNumberFormat="1" applyFill="1" applyBorder="1"/>
    <xf numFmtId="164" fontId="12" fillId="0" borderId="3" xfId="2" applyNumberFormat="1" applyFill="1" applyBorder="1"/>
    <xf numFmtId="164" fontId="12" fillId="3" borderId="11" xfId="2" applyNumberFormat="1" applyFill="1" applyBorder="1"/>
    <xf numFmtId="0" fontId="12" fillId="0" borderId="0" xfId="2" applyFont="1" applyBorder="1"/>
    <xf numFmtId="0" fontId="12" fillId="0" borderId="0" xfId="2" applyBorder="1"/>
    <xf numFmtId="3" fontId="12" fillId="5" borderId="2" xfId="2" applyNumberFormat="1" applyFill="1" applyBorder="1" applyProtection="1">
      <protection locked="0"/>
    </xf>
    <xf numFmtId="164" fontId="12" fillId="5" borderId="4" xfId="2" applyNumberFormat="1" applyFill="1" applyBorder="1" applyProtection="1">
      <protection locked="0"/>
    </xf>
    <xf numFmtId="164" fontId="12" fillId="5" borderId="2" xfId="2" applyNumberFormat="1" applyFill="1" applyBorder="1" applyProtection="1"/>
    <xf numFmtId="1" fontId="12" fillId="2" borderId="2" xfId="2" applyNumberFormat="1" applyFill="1" applyBorder="1"/>
    <xf numFmtId="0" fontId="12" fillId="0" borderId="3" xfId="2" applyBorder="1"/>
    <xf numFmtId="49" fontId="12" fillId="2" borderId="4" xfId="2" applyNumberFormat="1" applyFill="1" applyBorder="1" applyAlignment="1" applyProtection="1">
      <protection locked="0"/>
    </xf>
    <xf numFmtId="49" fontId="12" fillId="2" borderId="5" xfId="2" applyNumberFormat="1" applyFill="1" applyBorder="1" applyAlignment="1" applyProtection="1">
      <protection locked="0"/>
    </xf>
    <xf numFmtId="49" fontId="12" fillId="2" borderId="6" xfId="2" applyNumberFormat="1" applyFill="1" applyBorder="1" applyAlignment="1" applyProtection="1">
      <protection locked="0"/>
    </xf>
    <xf numFmtId="49" fontId="12" fillId="2" borderId="4" xfId="2" applyNumberFormat="1" applyFill="1" applyBorder="1" applyAlignment="1" applyProtection="1">
      <protection locked="0"/>
    </xf>
    <xf numFmtId="49" fontId="12" fillId="2" borderId="5" xfId="2" applyNumberFormat="1" applyFill="1" applyBorder="1" applyAlignment="1" applyProtection="1">
      <protection locked="0"/>
    </xf>
    <xf numFmtId="164" fontId="12" fillId="3" borderId="4" xfId="2" applyNumberFormat="1" applyFill="1" applyBorder="1" applyProtection="1"/>
    <xf numFmtId="0" fontId="12" fillId="0" borderId="12" xfId="2" applyBorder="1"/>
    <xf numFmtId="0" fontId="14" fillId="0" borderId="0" xfId="2" applyFont="1" applyBorder="1" applyAlignment="1">
      <alignment horizontal="center" wrapText="1"/>
    </xf>
    <xf numFmtId="0" fontId="12" fillId="3" borderId="0" xfId="2" applyFill="1" applyBorder="1"/>
    <xf numFmtId="164" fontId="12" fillId="3" borderId="0" xfId="2" applyNumberFormat="1" applyFill="1" applyBorder="1" applyProtection="1"/>
    <xf numFmtId="164" fontId="12" fillId="3" borderId="0" xfId="2" applyNumberFormat="1" applyFill="1" applyBorder="1"/>
    <xf numFmtId="38" fontId="12" fillId="2" borderId="2" xfId="2" applyNumberFormat="1" applyFill="1" applyBorder="1" applyProtection="1">
      <protection locked="0"/>
    </xf>
    <xf numFmtId="0" fontId="12" fillId="2" borderId="2" xfId="2" applyFill="1" applyBorder="1" applyProtection="1">
      <protection locked="0"/>
    </xf>
    <xf numFmtId="3" fontId="12" fillId="2" borderId="9" xfId="2" applyNumberFormat="1" applyFill="1" applyBorder="1" applyProtection="1">
      <protection locked="0"/>
    </xf>
    <xf numFmtId="164" fontId="12" fillId="2" borderId="9" xfId="2" applyNumberFormat="1" applyFill="1" applyBorder="1" applyProtection="1">
      <protection locked="0"/>
    </xf>
    <xf numFmtId="49" fontId="12" fillId="2" borderId="7" xfId="2" applyNumberFormat="1" applyFill="1" applyBorder="1" applyAlignment="1" applyProtection="1">
      <protection locked="0"/>
    </xf>
    <xf numFmtId="49" fontId="12" fillId="2" borderId="1" xfId="2" applyNumberFormat="1" applyFill="1" applyBorder="1" applyAlignment="1" applyProtection="1">
      <protection locked="0"/>
    </xf>
    <xf numFmtId="49" fontId="12" fillId="2" borderId="8" xfId="2" applyNumberFormat="1" applyFill="1" applyBorder="1" applyAlignment="1" applyProtection="1">
      <protection locked="0"/>
    </xf>
    <xf numFmtId="3" fontId="12" fillId="3" borderId="0" xfId="2" applyNumberFormat="1" applyFill="1" applyBorder="1" applyProtection="1">
      <protection locked="0"/>
    </xf>
    <xf numFmtId="164" fontId="12" fillId="3" borderId="0" xfId="2" applyNumberFormat="1" applyFill="1" applyBorder="1" applyProtection="1">
      <protection locked="0"/>
    </xf>
    <xf numFmtId="0" fontId="12" fillId="2" borderId="2" xfId="2" applyFill="1" applyBorder="1" applyProtection="1"/>
    <xf numFmtId="164" fontId="12" fillId="2" borderId="4" xfId="2" applyNumberFormat="1" applyFill="1" applyBorder="1" applyProtection="1"/>
    <xf numFmtId="164" fontId="12" fillId="2" borderId="2" xfId="2" applyNumberFormat="1" applyFill="1" applyBorder="1" applyProtection="1"/>
    <xf numFmtId="164" fontId="12" fillId="3" borderId="2" xfId="2" applyNumberFormat="1" applyFill="1" applyBorder="1"/>
    <xf numFmtId="3" fontId="12" fillId="2" borderId="10" xfId="2" applyNumberFormat="1" applyFill="1" applyBorder="1" applyProtection="1">
      <protection locked="0"/>
    </xf>
    <xf numFmtId="164" fontId="12" fillId="2" borderId="10" xfId="2" applyNumberFormat="1" applyFill="1" applyBorder="1" applyProtection="1">
      <protection locked="0"/>
    </xf>
    <xf numFmtId="0" fontId="14" fillId="0" borderId="0" xfId="2" applyFont="1" applyBorder="1"/>
    <xf numFmtId="0" fontId="12" fillId="0" borderId="1" xfId="2" applyBorder="1" applyAlignment="1">
      <alignment horizontal="left"/>
    </xf>
    <xf numFmtId="0" fontId="14" fillId="0" borderId="1" xfId="2" applyFont="1" applyBorder="1"/>
    <xf numFmtId="0" fontId="12" fillId="0" borderId="1" xfId="2" applyBorder="1"/>
    <xf numFmtId="0" fontId="12" fillId="0" borderId="0" xfId="2" applyFill="1" applyBorder="1"/>
    <xf numFmtId="10" fontId="12" fillId="2" borderId="2" xfId="2" applyNumberFormat="1" applyFill="1" applyBorder="1" applyProtection="1">
      <protection locked="0"/>
    </xf>
    <xf numFmtId="3" fontId="12" fillId="2" borderId="9" xfId="2" applyNumberFormat="1" applyFill="1" applyBorder="1"/>
    <xf numFmtId="3" fontId="12" fillId="3" borderId="9" xfId="2" applyNumberFormat="1" applyFill="1" applyBorder="1"/>
    <xf numFmtId="164" fontId="12" fillId="3" borderId="9" xfId="2" applyNumberFormat="1" applyFill="1" applyBorder="1"/>
    <xf numFmtId="164" fontId="12" fillId="2" borderId="9" xfId="2" applyNumberFormat="1" applyFill="1" applyBorder="1"/>
    <xf numFmtId="3" fontId="12" fillId="2" borderId="13" xfId="2" applyNumberFormat="1" applyFill="1" applyBorder="1"/>
    <xf numFmtId="49" fontId="0" fillId="2" borderId="4" xfId="0" applyNumberFormat="1" applyFill="1" applyBorder="1" applyAlignment="1" applyProtection="1">
      <protection locked="0"/>
    </xf>
    <xf numFmtId="49" fontId="0" fillId="2" borderId="5" xfId="0" applyNumberFormat="1" applyFill="1" applyBorder="1" applyAlignment="1" applyProtection="1">
      <protection locked="0"/>
    </xf>
    <xf numFmtId="49" fontId="0" fillId="2" borderId="6" xfId="0" applyNumberFormat="1" applyFill="1" applyBorder="1" applyAlignment="1" applyProtection="1">
      <protection locked="0"/>
    </xf>
    <xf numFmtId="49" fontId="16" fillId="2" borderId="4" xfId="0" applyNumberFormat="1" applyFont="1" applyFill="1" applyBorder="1" applyAlignment="1" applyProtection="1">
      <protection locked="0"/>
    </xf>
    <xf numFmtId="49" fontId="16" fillId="2" borderId="5" xfId="0" applyNumberFormat="1" applyFont="1" applyFill="1" applyBorder="1" applyAlignment="1" applyProtection="1">
      <protection locked="0"/>
    </xf>
    <xf numFmtId="49" fontId="16" fillId="2" borderId="6" xfId="0" applyNumberFormat="1" applyFont="1" applyFill="1" applyBorder="1" applyAlignment="1" applyProtection="1">
      <protection locked="0"/>
    </xf>
    <xf numFmtId="49" fontId="12" fillId="2" borderId="4" xfId="2" applyNumberFormat="1" applyFont="1" applyFill="1" applyBorder="1" applyAlignment="1" applyProtection="1">
      <protection locked="0"/>
    </xf>
    <xf numFmtId="0" fontId="22" fillId="0" borderId="0" xfId="2" applyFont="1" applyAlignment="1">
      <alignment horizontal="left"/>
    </xf>
    <xf numFmtId="0" fontId="22" fillId="0" borderId="0" xfId="2" applyFont="1"/>
    <xf numFmtId="0" fontId="22" fillId="0" borderId="0" xfId="2" applyFont="1" applyAlignment="1">
      <alignment horizontal="centerContinuous"/>
    </xf>
    <xf numFmtId="0" fontId="17" fillId="0" borderId="0" xfId="2" applyFont="1" applyAlignment="1">
      <alignment horizontal="centerContinuous"/>
    </xf>
    <xf numFmtId="0" fontId="17" fillId="0" borderId="0" xfId="2" applyFont="1" applyAlignment="1"/>
    <xf numFmtId="0" fontId="47" fillId="0" borderId="0" xfId="2" applyFont="1" applyAlignment="1"/>
    <xf numFmtId="0" fontId="17" fillId="0" borderId="0" xfId="2" applyFont="1"/>
    <xf numFmtId="0" fontId="17" fillId="0" borderId="0" xfId="2" applyFont="1" applyAlignment="1">
      <alignment horizontal="right"/>
    </xf>
    <xf numFmtId="0" fontId="47" fillId="0" borderId="0" xfId="2" applyFont="1" applyFill="1" applyBorder="1" applyAlignment="1">
      <alignment horizontal="left"/>
    </xf>
    <xf numFmtId="0" fontId="17" fillId="0" borderId="0" xfId="2" applyFont="1" applyAlignment="1">
      <alignment horizontal="center" wrapText="1"/>
    </xf>
    <xf numFmtId="0" fontId="17" fillId="0" borderId="0" xfId="2" applyFont="1" applyAlignment="1">
      <alignment horizontal="left"/>
    </xf>
    <xf numFmtId="3" fontId="22" fillId="2" borderId="2" xfId="2" applyNumberFormat="1" applyFont="1" applyFill="1" applyBorder="1" applyProtection="1">
      <protection locked="0"/>
    </xf>
    <xf numFmtId="167" fontId="22" fillId="2" borderId="2" xfId="2" applyNumberFormat="1" applyFont="1" applyFill="1" applyBorder="1" applyProtection="1">
      <protection locked="0"/>
    </xf>
    <xf numFmtId="164" fontId="22" fillId="2" borderId="4" xfId="2" applyNumberFormat="1" applyFont="1" applyFill="1" applyBorder="1" applyProtection="1">
      <protection locked="0"/>
    </xf>
    <xf numFmtId="167" fontId="22" fillId="2" borderId="2" xfId="2" applyNumberFormat="1" applyFont="1" applyFill="1" applyBorder="1"/>
    <xf numFmtId="167" fontId="17" fillId="0" borderId="0" xfId="2" applyNumberFormat="1" applyFont="1" applyAlignment="1">
      <alignment horizontal="center" wrapText="1"/>
    </xf>
    <xf numFmtId="167" fontId="22" fillId="0" borderId="0" xfId="2" applyNumberFormat="1" applyFont="1"/>
    <xf numFmtId="167" fontId="22" fillId="2" borderId="4" xfId="2" applyNumberFormat="1" applyFont="1" applyFill="1" applyBorder="1" applyProtection="1">
      <protection locked="0"/>
    </xf>
    <xf numFmtId="167" fontId="22" fillId="0" borderId="2" xfId="2" applyNumberFormat="1" applyFont="1" applyFill="1" applyBorder="1"/>
    <xf numFmtId="3" fontId="22" fillId="2" borderId="2" xfId="2" applyNumberFormat="1" applyFont="1" applyFill="1" applyBorder="1"/>
    <xf numFmtId="3" fontId="22" fillId="0" borderId="3" xfId="2" applyNumberFormat="1" applyFont="1" applyFill="1" applyBorder="1"/>
    <xf numFmtId="164" fontId="22" fillId="0" borderId="3" xfId="2" applyNumberFormat="1" applyFont="1" applyFill="1" applyBorder="1"/>
    <xf numFmtId="164" fontId="22" fillId="3" borderId="11" xfId="2" applyNumberFormat="1" applyFont="1" applyFill="1" applyBorder="1"/>
    <xf numFmtId="164" fontId="22" fillId="2" borderId="2" xfId="2" applyNumberFormat="1" applyFont="1" applyFill="1" applyBorder="1" applyProtection="1">
      <protection locked="0"/>
    </xf>
    <xf numFmtId="0" fontId="22" fillId="0" borderId="0" xfId="2" applyFont="1" applyBorder="1"/>
    <xf numFmtId="3" fontId="22" fillId="5" borderId="2" xfId="2" applyNumberFormat="1" applyFont="1" applyFill="1" applyBorder="1" applyProtection="1">
      <protection locked="0"/>
    </xf>
    <xf numFmtId="167" fontId="22" fillId="5" borderId="2" xfId="2" applyNumberFormat="1" applyFont="1" applyFill="1" applyBorder="1" applyProtection="1">
      <protection locked="0"/>
    </xf>
    <xf numFmtId="164" fontId="22" fillId="5" borderId="4" xfId="2" applyNumberFormat="1" applyFont="1" applyFill="1" applyBorder="1" applyProtection="1">
      <protection locked="0"/>
    </xf>
    <xf numFmtId="167" fontId="22" fillId="5" borderId="2" xfId="2" applyNumberFormat="1" applyFont="1" applyFill="1" applyBorder="1" applyProtection="1"/>
    <xf numFmtId="1" fontId="22" fillId="2" borderId="2" xfId="2" applyNumberFormat="1" applyFont="1" applyFill="1" applyBorder="1"/>
    <xf numFmtId="164" fontId="22" fillId="2" borderId="2" xfId="2" applyNumberFormat="1" applyFont="1" applyFill="1" applyBorder="1"/>
    <xf numFmtId="0" fontId="22" fillId="0" borderId="3" xfId="2" applyFont="1" applyBorder="1"/>
    <xf numFmtId="49" fontId="22" fillId="2" borderId="4" xfId="2" applyNumberFormat="1" applyFont="1" applyFill="1" applyBorder="1" applyAlignment="1" applyProtection="1">
      <protection locked="0"/>
    </xf>
    <xf numFmtId="49" fontId="22" fillId="2" borderId="5" xfId="2" applyNumberFormat="1" applyFont="1" applyFill="1" applyBorder="1" applyAlignment="1" applyProtection="1">
      <protection locked="0"/>
    </xf>
    <xf numFmtId="49" fontId="22" fillId="2" borderId="6" xfId="2" applyNumberFormat="1" applyFont="1" applyFill="1" applyBorder="1" applyAlignment="1" applyProtection="1">
      <protection locked="0"/>
    </xf>
    <xf numFmtId="0" fontId="22" fillId="5" borderId="4" xfId="2" applyFont="1" applyFill="1" applyBorder="1"/>
    <xf numFmtId="0" fontId="22" fillId="5" borderId="5" xfId="2" applyFont="1" applyFill="1" applyBorder="1"/>
    <xf numFmtId="0" fontId="22" fillId="5" borderId="6" xfId="2" applyFont="1" applyFill="1" applyBorder="1"/>
    <xf numFmtId="0" fontId="22" fillId="5" borderId="2" xfId="2" applyFont="1" applyFill="1" applyBorder="1"/>
    <xf numFmtId="167" fontId="22" fillId="5" borderId="2" xfId="2" applyNumberFormat="1" applyFont="1" applyFill="1" applyBorder="1"/>
    <xf numFmtId="164" fontId="22" fillId="3" borderId="0" xfId="2" applyNumberFormat="1" applyFont="1" applyFill="1" applyBorder="1" applyProtection="1"/>
    <xf numFmtId="0" fontId="22" fillId="0" borderId="12" xfId="2" applyFont="1" applyBorder="1"/>
    <xf numFmtId="0" fontId="17" fillId="0" borderId="0" xfId="2" applyFont="1" applyBorder="1" applyAlignment="1">
      <alignment horizontal="center" wrapText="1"/>
    </xf>
    <xf numFmtId="0" fontId="22" fillId="3" borderId="0" xfId="2" applyFont="1" applyFill="1" applyBorder="1"/>
    <xf numFmtId="164" fontId="22" fillId="3" borderId="0" xfId="2" applyNumberFormat="1" applyFont="1" applyFill="1" applyBorder="1"/>
    <xf numFmtId="0" fontId="22" fillId="2" borderId="2" xfId="2" applyFont="1" applyFill="1" applyBorder="1" applyProtection="1">
      <protection locked="0"/>
    </xf>
    <xf numFmtId="3" fontId="22" fillId="2" borderId="9" xfId="2" applyNumberFormat="1" applyFont="1" applyFill="1" applyBorder="1" applyProtection="1">
      <protection locked="0"/>
    </xf>
    <xf numFmtId="167" fontId="22" fillId="2" borderId="9" xfId="2" applyNumberFormat="1" applyFont="1" applyFill="1" applyBorder="1" applyProtection="1">
      <protection locked="0"/>
    </xf>
    <xf numFmtId="49" fontId="22" fillId="2" borderId="7" xfId="2" applyNumberFormat="1" applyFont="1" applyFill="1" applyBorder="1" applyAlignment="1" applyProtection="1">
      <protection locked="0"/>
    </xf>
    <xf numFmtId="49" fontId="22" fillId="2" borderId="1" xfId="2" applyNumberFormat="1" applyFont="1" applyFill="1" applyBorder="1" applyAlignment="1" applyProtection="1">
      <protection locked="0"/>
    </xf>
    <xf numFmtId="49" fontId="22" fillId="2" borderId="8" xfId="2" applyNumberFormat="1" applyFont="1" applyFill="1" applyBorder="1" applyAlignment="1" applyProtection="1">
      <protection locked="0"/>
    </xf>
    <xf numFmtId="3" fontId="22" fillId="3" borderId="0" xfId="2" applyNumberFormat="1" applyFont="1" applyFill="1" applyBorder="1" applyProtection="1">
      <protection locked="0"/>
    </xf>
    <xf numFmtId="168" fontId="22" fillId="3" borderId="0" xfId="2" applyNumberFormat="1" applyFont="1" applyFill="1" applyBorder="1" applyProtection="1">
      <protection locked="0"/>
    </xf>
    <xf numFmtId="164" fontId="22" fillId="3" borderId="0" xfId="2" applyNumberFormat="1" applyFont="1" applyFill="1" applyBorder="1" applyProtection="1">
      <protection locked="0"/>
    </xf>
    <xf numFmtId="0" fontId="22" fillId="2" borderId="2" xfId="2" applyFont="1" applyFill="1" applyBorder="1" applyProtection="1"/>
    <xf numFmtId="164" fontId="22" fillId="2" borderId="4" xfId="2" applyNumberFormat="1" applyFont="1" applyFill="1" applyBorder="1" applyProtection="1"/>
    <xf numFmtId="164" fontId="22" fillId="2" borderId="2" xfId="2" applyNumberFormat="1" applyFont="1" applyFill="1" applyBorder="1" applyProtection="1"/>
    <xf numFmtId="167" fontId="22" fillId="3" borderId="2" xfId="2" applyNumberFormat="1" applyFont="1" applyFill="1" applyBorder="1"/>
    <xf numFmtId="167" fontId="22" fillId="2" borderId="2" xfId="2" applyNumberFormat="1" applyFont="1" applyFill="1" applyBorder="1" applyProtection="1"/>
    <xf numFmtId="3" fontId="22" fillId="2" borderId="10" xfId="2" applyNumberFormat="1" applyFont="1" applyFill="1" applyBorder="1" applyProtection="1">
      <protection locked="0"/>
    </xf>
    <xf numFmtId="167" fontId="22" fillId="2" borderId="10" xfId="2" applyNumberFormat="1" applyFont="1" applyFill="1" applyBorder="1" applyProtection="1">
      <protection locked="0"/>
    </xf>
    <xf numFmtId="164" fontId="22" fillId="2" borderId="10" xfId="2" applyNumberFormat="1" applyFont="1" applyFill="1" applyBorder="1" applyProtection="1">
      <protection locked="0"/>
    </xf>
    <xf numFmtId="0" fontId="17" fillId="0" borderId="0" xfId="2" applyFont="1" applyBorder="1"/>
    <xf numFmtId="0" fontId="22" fillId="0" borderId="1" xfId="2" applyFont="1" applyBorder="1" applyAlignment="1">
      <alignment horizontal="left"/>
    </xf>
    <xf numFmtId="0" fontId="17" fillId="0" borderId="1" xfId="2" applyFont="1" applyBorder="1"/>
    <xf numFmtId="0" fontId="22" fillId="0" borderId="1" xfId="2" applyFont="1" applyBorder="1"/>
    <xf numFmtId="167" fontId="22" fillId="0" borderId="3" xfId="2" applyNumberFormat="1" applyFont="1" applyBorder="1"/>
    <xf numFmtId="0" fontId="22" fillId="0" borderId="0" xfId="2" applyFont="1" applyFill="1" applyBorder="1"/>
    <xf numFmtId="10" fontId="22" fillId="2" borderId="2" xfId="2" applyNumberFormat="1" applyFont="1" applyFill="1" applyBorder="1" applyProtection="1">
      <protection locked="0"/>
    </xf>
    <xf numFmtId="3" fontId="22" fillId="2" borderId="9" xfId="2" applyNumberFormat="1" applyFont="1" applyFill="1" applyBorder="1"/>
    <xf numFmtId="3" fontId="22" fillId="3" borderId="9" xfId="2" applyNumberFormat="1" applyFont="1" applyFill="1" applyBorder="1"/>
    <xf numFmtId="164" fontId="22" fillId="3" borderId="9" xfId="2" applyNumberFormat="1" applyFont="1" applyFill="1" applyBorder="1"/>
    <xf numFmtId="164" fontId="22" fillId="2" borderId="9" xfId="2" applyNumberFormat="1" applyFont="1" applyFill="1" applyBorder="1"/>
    <xf numFmtId="3" fontId="22" fillId="2" borderId="13" xfId="2" applyNumberFormat="1" applyFont="1" applyFill="1" applyBorder="1"/>
    <xf numFmtId="10" fontId="22" fillId="2" borderId="2" xfId="1" applyNumberFormat="1" applyFont="1" applyFill="1" applyBorder="1" applyProtection="1"/>
    <xf numFmtId="49" fontId="16" fillId="2" borderId="4" xfId="2" applyNumberFormat="1" applyFont="1" applyFill="1" applyBorder="1" applyAlignment="1" applyProtection="1">
      <protection locked="0"/>
    </xf>
    <xf numFmtId="49" fontId="16" fillId="2" borderId="5" xfId="2" applyNumberFormat="1" applyFont="1" applyFill="1" applyBorder="1" applyAlignment="1" applyProtection="1">
      <protection locked="0"/>
    </xf>
    <xf numFmtId="49" fontId="16" fillId="2" borderId="6" xfId="2" applyNumberFormat="1" applyFont="1" applyFill="1" applyBorder="1" applyAlignment="1" applyProtection="1">
      <protection locked="0"/>
    </xf>
    <xf numFmtId="49" fontId="12" fillId="2" borderId="4" xfId="2" applyNumberFormat="1" applyFill="1" applyBorder="1" applyAlignment="1" applyProtection="1">
      <protection locked="0"/>
    </xf>
    <xf numFmtId="49" fontId="12" fillId="2" borderId="5" xfId="2" applyNumberFormat="1" applyFill="1" applyBorder="1" applyAlignment="1" applyProtection="1">
      <protection locked="0"/>
    </xf>
    <xf numFmtId="49" fontId="12" fillId="2" borderId="6" xfId="2" applyNumberFormat="1" applyFill="1" applyBorder="1" applyAlignment="1" applyProtection="1">
      <protection locked="0"/>
    </xf>
    <xf numFmtId="49" fontId="12" fillId="2" borderId="4" xfId="2" applyNumberFormat="1" applyFont="1" applyFill="1" applyBorder="1" applyAlignment="1" applyProtection="1">
      <protection locked="0"/>
    </xf>
    <xf numFmtId="49" fontId="12" fillId="2" borderId="1" xfId="2" applyNumberFormat="1" applyFill="1" applyBorder="1" applyAlignment="1" applyProtection="1">
      <protection locked="0"/>
    </xf>
    <xf numFmtId="49" fontId="12" fillId="2" borderId="7" xfId="2" applyNumberFormat="1" applyFill="1" applyBorder="1" applyAlignment="1" applyProtection="1">
      <protection locked="0"/>
    </xf>
    <xf numFmtId="49" fontId="16" fillId="2" borderId="4" xfId="0" applyNumberFormat="1" applyFont="1" applyFill="1" applyBorder="1" applyAlignment="1" applyProtection="1">
      <protection locked="0"/>
    </xf>
    <xf numFmtId="49" fontId="16" fillId="2" borderId="5" xfId="0" applyNumberFormat="1" applyFont="1" applyFill="1" applyBorder="1" applyAlignment="1" applyProtection="1">
      <protection locked="0"/>
    </xf>
    <xf numFmtId="49" fontId="16" fillId="2" borderId="6" xfId="0" applyNumberFormat="1" applyFont="1" applyFill="1" applyBorder="1" applyAlignment="1" applyProtection="1">
      <protection locked="0"/>
    </xf>
    <xf numFmtId="49" fontId="0" fillId="2" borderId="4" xfId="0" applyNumberFormat="1" applyFill="1" applyBorder="1" applyAlignment="1" applyProtection="1">
      <protection locked="0"/>
    </xf>
    <xf numFmtId="49" fontId="0" fillId="2" borderId="5" xfId="0" applyNumberFormat="1" applyFill="1" applyBorder="1" applyAlignment="1" applyProtection="1">
      <protection locked="0"/>
    </xf>
    <xf numFmtId="49" fontId="0" fillId="2" borderId="6" xfId="0" applyNumberFormat="1" applyFill="1" applyBorder="1" applyAlignment="1" applyProtection="1">
      <protection locked="0"/>
    </xf>
    <xf numFmtId="0" fontId="12" fillId="0" borderId="0" xfId="0" applyFont="1"/>
    <xf numFmtId="3" fontId="12" fillId="2" borderId="2" xfId="0" applyNumberFormat="1" applyFont="1" applyFill="1" applyBorder="1" applyProtection="1">
      <protection locked="0"/>
    </xf>
    <xf numFmtId="0" fontId="12" fillId="0" borderId="0" xfId="0" applyFont="1" applyBorder="1"/>
    <xf numFmtId="49" fontId="0" fillId="2" borderId="7" xfId="0" applyNumberFormat="1" applyFill="1" applyBorder="1" applyAlignment="1" applyProtection="1">
      <protection locked="0"/>
    </xf>
    <xf numFmtId="49" fontId="0" fillId="2" borderId="1" xfId="0" applyNumberFormat="1" applyFill="1" applyBorder="1" applyAlignment="1" applyProtection="1">
      <protection locked="0"/>
    </xf>
    <xf numFmtId="49" fontId="12" fillId="2" borderId="4" xfId="0" applyNumberFormat="1" applyFont="1" applyFill="1" applyBorder="1" applyAlignment="1" applyProtection="1">
      <protection locked="0"/>
    </xf>
    <xf numFmtId="3" fontId="0" fillId="2" borderId="2" xfId="0" applyNumberFormat="1" applyFill="1" applyBorder="1" applyAlignment="1" applyProtection="1">
      <alignment wrapText="1"/>
      <protection locked="0"/>
    </xf>
    <xf numFmtId="10" fontId="0" fillId="2" borderId="2" xfId="12" applyNumberFormat="1" applyFont="1" applyFill="1" applyBorder="1" applyProtection="1"/>
    <xf numFmtId="0" fontId="50" fillId="0" borderId="0" xfId="13" applyFont="1"/>
    <xf numFmtId="0" fontId="9" fillId="0" borderId="0" xfId="13"/>
    <xf numFmtId="0" fontId="20" fillId="0" borderId="0" xfId="13" applyFont="1" applyAlignment="1"/>
    <xf numFmtId="0" fontId="20" fillId="0" borderId="0" xfId="13" applyFont="1" applyAlignment="1">
      <alignment horizontal="right"/>
    </xf>
    <xf numFmtId="0" fontId="20" fillId="0" borderId="0" xfId="13" applyFont="1"/>
    <xf numFmtId="0" fontId="20" fillId="0" borderId="0" xfId="13" applyFont="1" applyAlignment="1">
      <alignment horizontal="left"/>
    </xf>
    <xf numFmtId="0" fontId="9" fillId="5" borderId="0" xfId="13" applyFill="1"/>
    <xf numFmtId="171" fontId="9" fillId="5" borderId="0" xfId="13" applyNumberFormat="1" applyFill="1"/>
    <xf numFmtId="172" fontId="9" fillId="5" borderId="0" xfId="13" applyNumberFormat="1" applyFill="1"/>
    <xf numFmtId="0" fontId="0" fillId="0" borderId="0" xfId="0" applyProtection="1">
      <protection locked="0"/>
    </xf>
    <xf numFmtId="0" fontId="31" fillId="0" borderId="0" xfId="0" applyFont="1" applyProtection="1">
      <protection locked="0"/>
    </xf>
    <xf numFmtId="49" fontId="0" fillId="2" borderId="4" xfId="0" applyNumberFormat="1" applyFill="1" applyBorder="1" applyAlignment="1" applyProtection="1">
      <protection locked="0"/>
    </xf>
    <xf numFmtId="49" fontId="0" fillId="2" borderId="5" xfId="0" applyNumberFormat="1" applyFill="1" applyBorder="1" applyAlignment="1" applyProtection="1">
      <protection locked="0"/>
    </xf>
    <xf numFmtId="49" fontId="0" fillId="2" borderId="6" xfId="0" applyNumberFormat="1" applyFill="1" applyBorder="1" applyAlignment="1" applyProtection="1">
      <protection locked="0"/>
    </xf>
    <xf numFmtId="49" fontId="16" fillId="2" borderId="4" xfId="0" applyNumberFormat="1" applyFont="1" applyFill="1" applyBorder="1" applyAlignment="1" applyProtection="1">
      <protection locked="0"/>
    </xf>
    <xf numFmtId="49" fontId="16" fillId="2" borderId="5" xfId="0" applyNumberFormat="1" applyFont="1" applyFill="1" applyBorder="1" applyAlignment="1" applyProtection="1">
      <protection locked="0"/>
    </xf>
    <xf numFmtId="49" fontId="16" fillId="2" borderId="6" xfId="0" applyNumberFormat="1" applyFont="1" applyFill="1" applyBorder="1" applyAlignment="1" applyProtection="1">
      <protection locked="0"/>
    </xf>
    <xf numFmtId="49" fontId="0" fillId="2" borderId="7" xfId="0" applyNumberFormat="1" applyFill="1" applyBorder="1" applyAlignment="1" applyProtection="1">
      <protection locked="0"/>
    </xf>
    <xf numFmtId="49" fontId="0" fillId="2" borderId="1" xfId="0" applyNumberFormat="1" applyFill="1" applyBorder="1" applyAlignment="1" applyProtection="1">
      <protection locked="0"/>
    </xf>
    <xf numFmtId="49" fontId="12" fillId="2" borderId="4" xfId="2" applyNumberFormat="1" applyFill="1" applyBorder="1" applyAlignment="1" applyProtection="1">
      <protection locked="0"/>
    </xf>
    <xf numFmtId="49" fontId="12" fillId="2" borderId="4" xfId="0" applyNumberFormat="1" applyFont="1" applyFill="1" applyBorder="1" applyAlignment="1" applyProtection="1">
      <protection locked="0"/>
    </xf>
    <xf numFmtId="49" fontId="12" fillId="2" borderId="5" xfId="0" applyNumberFormat="1" applyFont="1" applyFill="1" applyBorder="1" applyAlignment="1" applyProtection="1">
      <protection locked="0"/>
    </xf>
    <xf numFmtId="49" fontId="12" fillId="2" borderId="6" xfId="0" applyNumberFormat="1" applyFont="1" applyFill="1" applyBorder="1" applyAlignment="1" applyProtection="1">
      <protection locked="0"/>
    </xf>
    <xf numFmtId="37" fontId="0" fillId="2" borderId="2" xfId="0" applyNumberFormat="1" applyFill="1" applyBorder="1" applyProtection="1">
      <protection locked="0"/>
    </xf>
    <xf numFmtId="44" fontId="0" fillId="2" borderId="2" xfId="0" applyNumberFormat="1" applyFill="1" applyBorder="1" applyProtection="1">
      <protection locked="0"/>
    </xf>
    <xf numFmtId="0" fontId="12" fillId="0" borderId="0" xfId="2" applyAlignment="1">
      <alignment horizontal="center"/>
    </xf>
    <xf numFmtId="0" fontId="14" fillId="0" borderId="0" xfId="2" applyFont="1" applyAlignment="1">
      <alignment horizontal="center"/>
    </xf>
    <xf numFmtId="0" fontId="51" fillId="0" borderId="0" xfId="14"/>
    <xf numFmtId="49" fontId="12" fillId="2" borderId="5" xfId="2" applyNumberFormat="1" applyFont="1" applyFill="1" applyBorder="1" applyAlignment="1" applyProtection="1">
      <protection locked="0"/>
    </xf>
    <xf numFmtId="49" fontId="12" fillId="2" borderId="6" xfId="2" applyNumberFormat="1" applyFont="1" applyFill="1" applyBorder="1" applyAlignment="1" applyProtection="1">
      <protection locked="0"/>
    </xf>
    <xf numFmtId="3" fontId="12" fillId="2" borderId="0" xfId="2" applyNumberFormat="1" applyFill="1" applyBorder="1" applyProtection="1">
      <protection locked="0"/>
    </xf>
    <xf numFmtId="164" fontId="12" fillId="2" borderId="0" xfId="2" applyNumberFormat="1" applyFill="1" applyBorder="1" applyProtection="1">
      <protection locked="0"/>
    </xf>
    <xf numFmtId="164" fontId="12" fillId="2" borderId="0" xfId="2" applyNumberFormat="1" applyFill="1" applyBorder="1"/>
    <xf numFmtId="166" fontId="12" fillId="2" borderId="2" xfId="15" applyNumberFormat="1" applyFont="1" applyFill="1" applyBorder="1"/>
    <xf numFmtId="49" fontId="12" fillId="2" borderId="4" xfId="14" quotePrefix="1" applyNumberFormat="1" applyFont="1" applyFill="1" applyBorder="1" applyAlignment="1" applyProtection="1">
      <alignment horizontal="left"/>
      <protection locked="0"/>
    </xf>
    <xf numFmtId="49" fontId="22" fillId="2" borderId="5" xfId="14" quotePrefix="1" applyNumberFormat="1" applyFont="1" applyFill="1" applyBorder="1" applyAlignment="1" applyProtection="1">
      <alignment horizontal="left"/>
      <protection locked="0"/>
    </xf>
    <xf numFmtId="49" fontId="22" fillId="2" borderId="6" xfId="14" quotePrefix="1" applyNumberFormat="1" applyFont="1" applyFill="1" applyBorder="1" applyAlignment="1" applyProtection="1">
      <alignment horizontal="left"/>
      <protection locked="0"/>
    </xf>
    <xf numFmtId="49" fontId="12" fillId="2" borderId="4" xfId="14" applyNumberFormat="1" applyFont="1" applyFill="1" applyBorder="1" applyAlignment="1" applyProtection="1">
      <alignment horizontal="left"/>
      <protection locked="0"/>
    </xf>
    <xf numFmtId="49" fontId="22" fillId="2" borderId="5" xfId="14" applyNumberFormat="1" applyFont="1" applyFill="1" applyBorder="1" applyAlignment="1" applyProtection="1">
      <alignment horizontal="left"/>
      <protection locked="0"/>
    </xf>
    <xf numFmtId="49" fontId="22" fillId="2" borderId="6" xfId="14" applyNumberFormat="1" applyFont="1" applyFill="1" applyBorder="1" applyAlignment="1" applyProtection="1">
      <alignment horizontal="left"/>
      <protection locked="0"/>
    </xf>
    <xf numFmtId="49" fontId="12" fillId="2" borderId="0" xfId="2" applyNumberFormat="1" applyFill="1" applyBorder="1" applyAlignment="1" applyProtection="1">
      <protection locked="0"/>
    </xf>
    <xf numFmtId="3" fontId="12" fillId="2" borderId="2" xfId="2" applyNumberFormat="1" applyFill="1" applyBorder="1" applyProtection="1"/>
    <xf numFmtId="7" fontId="12" fillId="2" borderId="9" xfId="2" applyNumberFormat="1" applyFill="1" applyBorder="1"/>
    <xf numFmtId="7" fontId="12" fillId="2" borderId="2" xfId="2" applyNumberFormat="1" applyFill="1" applyBorder="1"/>
    <xf numFmtId="10" fontId="12" fillId="2" borderId="2" xfId="16" applyNumberFormat="1" applyFont="1" applyFill="1" applyBorder="1" applyProtection="1"/>
    <xf numFmtId="49" fontId="22" fillId="2" borderId="0" xfId="2" applyNumberFormat="1" applyFont="1" applyFill="1" applyBorder="1" applyAlignment="1" applyProtection="1">
      <protection locked="0"/>
    </xf>
    <xf numFmtId="3" fontId="22" fillId="2" borderId="0" xfId="2" applyNumberFormat="1" applyFont="1" applyFill="1" applyBorder="1" applyProtection="1">
      <protection locked="0"/>
    </xf>
    <xf numFmtId="167" fontId="22" fillId="2" borderId="0" xfId="2" applyNumberFormat="1" applyFont="1" applyFill="1" applyBorder="1" applyProtection="1">
      <protection locked="0"/>
    </xf>
    <xf numFmtId="167" fontId="12" fillId="2" borderId="9" xfId="2" applyNumberFormat="1" applyFill="1" applyBorder="1"/>
    <xf numFmtId="10" fontId="0" fillId="2" borderId="2" xfId="16" applyNumberFormat="1" applyFont="1" applyFill="1" applyBorder="1" applyProtection="1"/>
    <xf numFmtId="0" fontId="50" fillId="0" borderId="0" xfId="18" applyFont="1"/>
    <xf numFmtId="0" fontId="8" fillId="0" borderId="0" xfId="18" applyAlignment="1">
      <alignment horizontal="left"/>
    </xf>
    <xf numFmtId="0" fontId="8" fillId="0" borderId="0" xfId="18"/>
    <xf numFmtId="0" fontId="20" fillId="0" borderId="0" xfId="18" applyFont="1" applyAlignment="1">
      <alignment horizontal="right"/>
    </xf>
    <xf numFmtId="0" fontId="8" fillId="0" borderId="0" xfId="18" applyAlignment="1">
      <alignment horizontal="right"/>
    </xf>
    <xf numFmtId="0" fontId="20" fillId="0" borderId="0" xfId="18" applyFont="1"/>
    <xf numFmtId="0" fontId="20" fillId="0" borderId="0" xfId="18" applyFont="1" applyAlignment="1">
      <alignment horizontal="left"/>
    </xf>
    <xf numFmtId="0" fontId="8" fillId="5" borderId="0" xfId="18" applyFill="1"/>
    <xf numFmtId="171" fontId="8" fillId="5" borderId="0" xfId="18" applyNumberFormat="1" applyFill="1"/>
    <xf numFmtId="172" fontId="8" fillId="5" borderId="0" xfId="18" applyNumberFormat="1" applyFill="1"/>
    <xf numFmtId="0" fontId="20" fillId="0" borderId="0" xfId="18" applyFont="1" applyAlignment="1"/>
    <xf numFmtId="0" fontId="50" fillId="0" borderId="0" xfId="21" applyFont="1"/>
    <xf numFmtId="0" fontId="7" fillId="0" borderId="0" xfId="21"/>
    <xf numFmtId="0" fontId="20" fillId="0" borderId="0" xfId="21" applyFont="1" applyAlignment="1"/>
    <xf numFmtId="0" fontId="20" fillId="0" borderId="0" xfId="21" applyFont="1" applyAlignment="1">
      <alignment horizontal="right"/>
    </xf>
    <xf numFmtId="0" fontId="20" fillId="0" borderId="0" xfId="21" applyFont="1"/>
    <xf numFmtId="0" fontId="20" fillId="0" borderId="0" xfId="21" applyFont="1" applyAlignment="1">
      <alignment horizontal="left"/>
    </xf>
    <xf numFmtId="0" fontId="7" fillId="5" borderId="0" xfId="21" applyFill="1"/>
    <xf numFmtId="171" fontId="7" fillId="5" borderId="0" xfId="21" applyNumberFormat="1" applyFill="1"/>
    <xf numFmtId="172" fontId="7" fillId="5" borderId="0" xfId="21" applyNumberFormat="1" applyFill="1"/>
    <xf numFmtId="171" fontId="7" fillId="0" borderId="0" xfId="21" applyNumberFormat="1" applyFill="1"/>
    <xf numFmtId="0" fontId="20" fillId="0" borderId="0" xfId="21" applyFont="1" applyFill="1" applyAlignment="1">
      <alignment horizontal="left"/>
    </xf>
    <xf numFmtId="0" fontId="20" fillId="0" borderId="0" xfId="21" applyFont="1" applyFill="1" applyAlignment="1">
      <alignment horizontal="right"/>
    </xf>
    <xf numFmtId="0" fontId="7" fillId="0" borderId="0" xfId="21" applyFill="1"/>
    <xf numFmtId="168" fontId="0" fillId="0" borderId="0" xfId="20" applyNumberFormat="1" applyFont="1" applyAlignment="1">
      <alignment horizontal="centerContinuous"/>
    </xf>
    <xf numFmtId="0" fontId="17" fillId="0" borderId="0" xfId="0" applyFont="1" applyAlignment="1">
      <alignment horizontal="left"/>
    </xf>
    <xf numFmtId="168" fontId="0" fillId="0" borderId="0" xfId="20" applyNumberFormat="1" applyFont="1"/>
    <xf numFmtId="168" fontId="14" fillId="0" borderId="0" xfId="20" applyNumberFormat="1" applyFont="1" applyAlignment="1">
      <alignment horizontal="center" wrapText="1"/>
    </xf>
    <xf numFmtId="168" fontId="0" fillId="2" borderId="2" xfId="20" applyNumberFormat="1" applyFont="1" applyFill="1" applyBorder="1" applyProtection="1">
      <protection locked="0"/>
    </xf>
    <xf numFmtId="168" fontId="0" fillId="2" borderId="4" xfId="20" applyNumberFormat="1" applyFont="1" applyFill="1" applyBorder="1" applyProtection="1">
      <protection locked="0"/>
    </xf>
    <xf numFmtId="168" fontId="0" fillId="2" borderId="2" xfId="20" applyNumberFormat="1" applyFont="1" applyFill="1" applyBorder="1"/>
    <xf numFmtId="168" fontId="0" fillId="0" borderId="3" xfId="20" applyNumberFormat="1" applyFont="1" applyFill="1" applyBorder="1"/>
    <xf numFmtId="168" fontId="0" fillId="0" borderId="3" xfId="20" applyNumberFormat="1" applyFont="1" applyBorder="1"/>
    <xf numFmtId="49" fontId="12" fillId="2" borderId="4" xfId="0" applyNumberFormat="1" applyFont="1" applyFill="1" applyBorder="1" applyAlignment="1" applyProtection="1">
      <alignment horizontal="left"/>
      <protection locked="0"/>
    </xf>
    <xf numFmtId="168" fontId="0" fillId="3" borderId="4" xfId="20" applyNumberFormat="1" applyFont="1" applyFill="1" applyBorder="1" applyProtection="1"/>
    <xf numFmtId="168" fontId="0" fillId="0" borderId="12" xfId="20" applyNumberFormat="1" applyFont="1" applyBorder="1"/>
    <xf numFmtId="168" fontId="14" fillId="0" borderId="0" xfId="20" applyNumberFormat="1" applyFont="1" applyBorder="1" applyAlignment="1">
      <alignment horizontal="center" wrapText="1"/>
    </xf>
    <xf numFmtId="168" fontId="0" fillId="3" borderId="0" xfId="20" applyNumberFormat="1" applyFont="1" applyFill="1" applyBorder="1"/>
    <xf numFmtId="168" fontId="0" fillId="3" borderId="0" xfId="20" applyNumberFormat="1" applyFont="1" applyFill="1" applyBorder="1" applyProtection="1"/>
    <xf numFmtId="168" fontId="0" fillId="2" borderId="9" xfId="20" applyNumberFormat="1" applyFont="1" applyFill="1" applyBorder="1" applyProtection="1">
      <protection locked="0"/>
    </xf>
    <xf numFmtId="168" fontId="0" fillId="3" borderId="0" xfId="20" applyNumberFormat="1" applyFont="1" applyFill="1" applyBorder="1" applyProtection="1">
      <protection locked="0"/>
    </xf>
    <xf numFmtId="168" fontId="0" fillId="2" borderId="2" xfId="20" applyNumberFormat="1" applyFont="1" applyFill="1" applyBorder="1" applyProtection="1"/>
    <xf numFmtId="168" fontId="0" fillId="2" borderId="4" xfId="20" applyNumberFormat="1" applyFont="1" applyFill="1" applyBorder="1" applyProtection="1"/>
    <xf numFmtId="167" fontId="0" fillId="2" borderId="2" xfId="0" applyNumberFormat="1" applyFill="1" applyBorder="1" applyProtection="1">
      <protection locked="0"/>
    </xf>
    <xf numFmtId="167" fontId="0" fillId="2" borderId="2" xfId="0" applyNumberFormat="1" applyFill="1" applyBorder="1" applyProtection="1"/>
    <xf numFmtId="167" fontId="0" fillId="0" borderId="0" xfId="0" applyNumberFormat="1"/>
    <xf numFmtId="168" fontId="0" fillId="2" borderId="9" xfId="20" applyNumberFormat="1" applyFont="1" applyFill="1" applyBorder="1"/>
    <xf numFmtId="168" fontId="0" fillId="3" borderId="9" xfId="20" applyNumberFormat="1" applyFont="1" applyFill="1" applyBorder="1"/>
    <xf numFmtId="168" fontId="0" fillId="2" borderId="13" xfId="20" applyNumberFormat="1" applyFont="1" applyFill="1" applyBorder="1"/>
    <xf numFmtId="10" fontId="49" fillId="2" borderId="2" xfId="12" applyNumberFormat="1" applyFont="1" applyFill="1" applyBorder="1" applyProtection="1"/>
    <xf numFmtId="0" fontId="55" fillId="0" borderId="0" xfId="0" applyFont="1"/>
    <xf numFmtId="166" fontId="14" fillId="0" borderId="2" xfId="19" applyNumberFormat="1" applyFont="1" applyBorder="1"/>
    <xf numFmtId="3" fontId="14" fillId="0" borderId="2" xfId="0" applyNumberFormat="1" applyFont="1" applyBorder="1"/>
    <xf numFmtId="166" fontId="14" fillId="0" borderId="2" xfId="0" applyNumberFormat="1" applyFont="1" applyBorder="1"/>
    <xf numFmtId="0" fontId="14" fillId="0" borderId="2" xfId="0" applyFont="1" applyBorder="1"/>
    <xf numFmtId="168" fontId="14" fillId="0" borderId="2" xfId="20" applyNumberFormat="1" applyFont="1" applyBorder="1"/>
    <xf numFmtId="167" fontId="14" fillId="0" borderId="2" xfId="0" applyNumberFormat="1" applyFont="1" applyBorder="1"/>
    <xf numFmtId="3" fontId="14" fillId="0" borderId="0" xfId="0" applyNumberFormat="1" applyFont="1" applyBorder="1"/>
    <xf numFmtId="10" fontId="14" fillId="2" borderId="2" xfId="12" applyNumberFormat="1" applyFont="1" applyFill="1" applyBorder="1" applyProtection="1"/>
    <xf numFmtId="0" fontId="56" fillId="0" borderId="0" xfId="0" applyFont="1" applyAlignment="1">
      <alignment horizontal="left"/>
    </xf>
    <xf numFmtId="0" fontId="57" fillId="0" borderId="0" xfId="0" applyFont="1" applyAlignment="1">
      <alignment horizontal="centerContinuous"/>
    </xf>
    <xf numFmtId="0" fontId="57" fillId="0" borderId="0" xfId="0" applyFont="1" applyAlignment="1">
      <alignment horizontal="left"/>
    </xf>
    <xf numFmtId="0" fontId="57" fillId="0" borderId="0" xfId="0" applyFont="1" applyAlignment="1">
      <alignment horizontal="right"/>
    </xf>
    <xf numFmtId="168" fontId="0" fillId="0" borderId="2" xfId="20" applyNumberFormat="1" applyFont="1" applyFill="1" applyBorder="1"/>
    <xf numFmtId="168" fontId="0" fillId="3" borderId="11" xfId="20" applyNumberFormat="1" applyFont="1" applyFill="1" applyBorder="1"/>
    <xf numFmtId="168" fontId="0" fillId="3" borderId="2" xfId="20" applyNumberFormat="1" applyFont="1" applyFill="1" applyBorder="1"/>
    <xf numFmtId="0" fontId="56" fillId="0" borderId="1" xfId="0" applyFont="1" applyBorder="1" applyAlignment="1">
      <alignment horizontal="left"/>
    </xf>
    <xf numFmtId="0" fontId="56" fillId="0" borderId="0" xfId="0" applyFont="1"/>
    <xf numFmtId="166" fontId="0" fillId="2" borderId="2" xfId="19" applyNumberFormat="1" applyFont="1" applyFill="1" applyBorder="1" applyProtection="1">
      <protection locked="0"/>
    </xf>
    <xf numFmtId="164" fontId="14" fillId="0" borderId="2" xfId="0" applyNumberFormat="1" applyFont="1" applyBorder="1"/>
    <xf numFmtId="164" fontId="0" fillId="5" borderId="2" xfId="0" applyNumberFormat="1" applyFill="1" applyBorder="1" applyProtection="1">
      <protection locked="0"/>
    </xf>
    <xf numFmtId="164" fontId="0" fillId="5" borderId="2" xfId="0" applyNumberFormat="1" applyFill="1" applyBorder="1"/>
    <xf numFmtId="164" fontId="0" fillId="0" borderId="0" xfId="0" applyNumberFormat="1"/>
    <xf numFmtId="1" fontId="0" fillId="2" borderId="2" xfId="0" applyNumberFormat="1" applyFill="1" applyBorder="1" applyProtection="1">
      <protection locked="0"/>
    </xf>
    <xf numFmtId="1" fontId="0" fillId="2" borderId="2" xfId="0" applyNumberFormat="1" applyFill="1" applyBorder="1" applyProtection="1"/>
    <xf numFmtId="3" fontId="0" fillId="2" borderId="2" xfId="0" applyNumberFormat="1" applyFill="1" applyBorder="1" applyProtection="1"/>
    <xf numFmtId="167" fontId="12" fillId="2" borderId="2" xfId="23" applyNumberFormat="1" applyFont="1" applyFill="1" applyBorder="1" applyProtection="1">
      <protection locked="0"/>
    </xf>
    <xf numFmtId="37" fontId="12" fillId="2" borderId="2" xfId="23" applyNumberFormat="1" applyFont="1" applyFill="1" applyBorder="1" applyProtection="1">
      <protection locked="0"/>
    </xf>
    <xf numFmtId="167" fontId="12" fillId="2" borderId="4" xfId="23" applyNumberFormat="1" applyFont="1" applyFill="1" applyBorder="1" applyProtection="1">
      <protection locked="0"/>
    </xf>
    <xf numFmtId="49" fontId="12" fillId="2" borderId="4" xfId="23" applyNumberFormat="1" applyFont="1" applyFill="1" applyBorder="1" applyAlignment="1" applyProtection="1">
      <protection locked="0"/>
    </xf>
    <xf numFmtId="49" fontId="12" fillId="2" borderId="5" xfId="23" applyNumberFormat="1" applyFont="1" applyFill="1" applyBorder="1" applyAlignment="1" applyProtection="1">
      <protection locked="0"/>
    </xf>
    <xf numFmtId="49" fontId="12" fillId="2" borderId="6" xfId="23" applyNumberFormat="1" applyFont="1" applyFill="1" applyBorder="1" applyAlignment="1" applyProtection="1">
      <protection locked="0"/>
    </xf>
    <xf numFmtId="167" fontId="50" fillId="2" borderId="2" xfId="24" applyNumberFormat="1" applyFont="1" applyFill="1" applyBorder="1" applyProtection="1">
      <protection locked="0"/>
    </xf>
    <xf numFmtId="44" fontId="49" fillId="5" borderId="4" xfId="20" applyFont="1" applyFill="1" applyBorder="1" applyAlignment="1" applyProtection="1">
      <protection locked="0"/>
    </xf>
    <xf numFmtId="0" fontId="12" fillId="0" borderId="0" xfId="21" applyFont="1" applyFill="1" applyBorder="1"/>
    <xf numFmtId="49" fontId="59" fillId="0" borderId="0" xfId="21" applyNumberFormat="1" applyFont="1" applyFill="1" applyBorder="1" applyAlignment="1"/>
    <xf numFmtId="0" fontId="14" fillId="0" borderId="0" xfId="21" applyFont="1" applyFill="1" applyBorder="1" applyAlignment="1">
      <alignment horizontal="center"/>
    </xf>
    <xf numFmtId="0" fontId="14" fillId="0" borderId="0" xfId="21" applyFont="1" applyFill="1" applyBorder="1" applyAlignment="1">
      <alignment horizontal="left"/>
    </xf>
    <xf numFmtId="0" fontId="12" fillId="0" borderId="0" xfId="21" applyFont="1" applyFill="1" applyBorder="1" applyAlignment="1">
      <alignment horizontal="left"/>
    </xf>
    <xf numFmtId="0" fontId="12" fillId="0" borderId="0" xfId="21" applyFont="1" applyFill="1" applyBorder="1" applyAlignment="1">
      <alignment horizontal="center"/>
    </xf>
    <xf numFmtId="0" fontId="14" fillId="0" borderId="0" xfId="21" applyFont="1" applyFill="1" applyBorder="1" applyAlignment="1">
      <alignment horizontal="center" wrapText="1"/>
    </xf>
    <xf numFmtId="164" fontId="14" fillId="0" borderId="0" xfId="21" applyNumberFormat="1" applyFont="1" applyFill="1" applyBorder="1" applyAlignment="1">
      <alignment horizontal="center" wrapText="1"/>
    </xf>
    <xf numFmtId="0" fontId="14" fillId="0" borderId="0" xfId="21" applyFont="1" applyFill="1" applyBorder="1" applyAlignment="1"/>
    <xf numFmtId="0" fontId="14" fillId="0" borderId="0" xfId="21" applyFont="1" applyFill="1" applyBorder="1"/>
    <xf numFmtId="3" fontId="12" fillId="0" borderId="0" xfId="21" applyNumberFormat="1" applyFont="1" applyFill="1" applyBorder="1"/>
    <xf numFmtId="3" fontId="14" fillId="7" borderId="2" xfId="21" applyNumberFormat="1" applyFont="1" applyFill="1" applyBorder="1"/>
    <xf numFmtId="7" fontId="14" fillId="0" borderId="0" xfId="21" applyNumberFormat="1" applyFont="1" applyFill="1" applyBorder="1" applyAlignment="1">
      <alignment horizontal="center" wrapText="1"/>
    </xf>
    <xf numFmtId="164" fontId="12" fillId="0" borderId="0" xfId="21" applyNumberFormat="1" applyFont="1" applyFill="1" applyBorder="1"/>
    <xf numFmtId="7" fontId="12" fillId="0" borderId="0" xfId="21" applyNumberFormat="1" applyFont="1" applyFill="1" applyBorder="1"/>
    <xf numFmtId="0" fontId="14" fillId="0" borderId="0" xfId="21" applyFont="1" applyFill="1" applyBorder="1" applyAlignment="1">
      <alignment horizontal="right"/>
    </xf>
    <xf numFmtId="3" fontId="12" fillId="0" borderId="2" xfId="21" applyNumberFormat="1" applyFont="1" applyFill="1" applyBorder="1" applyProtection="1">
      <protection locked="0"/>
    </xf>
    <xf numFmtId="3" fontId="12" fillId="0" borderId="2" xfId="21" applyNumberFormat="1" applyFont="1" applyFill="1" applyBorder="1"/>
    <xf numFmtId="167" fontId="14" fillId="7" borderId="2" xfId="21" applyNumberFormat="1" applyFont="1" applyFill="1" applyBorder="1"/>
    <xf numFmtId="3" fontId="14" fillId="0" borderId="0" xfId="21" applyNumberFormat="1" applyFont="1" applyFill="1" applyBorder="1"/>
    <xf numFmtId="167" fontId="14" fillId="0" borderId="0" xfId="21" applyNumberFormat="1" applyFont="1" applyFill="1" applyBorder="1"/>
    <xf numFmtId="167" fontId="12" fillId="8" borderId="0" xfId="21" applyNumberFormat="1" applyFont="1" applyFill="1" applyBorder="1"/>
    <xf numFmtId="167" fontId="12" fillId="0" borderId="0" xfId="21" applyNumberFormat="1" applyFont="1" applyFill="1" applyBorder="1"/>
    <xf numFmtId="0" fontId="12" fillId="0" borderId="0" xfId="21" applyFont="1" applyFill="1" applyBorder="1" applyAlignment="1"/>
    <xf numFmtId="0" fontId="12" fillId="0" borderId="16" xfId="21" applyFont="1" applyFill="1" applyBorder="1" applyAlignment="1"/>
    <xf numFmtId="0" fontId="14" fillId="0" borderId="0" xfId="21" applyFont="1" applyFill="1" applyBorder="1" applyAlignment="1">
      <alignment wrapText="1"/>
    </xf>
    <xf numFmtId="3" fontId="14" fillId="0" borderId="12" xfId="21" applyNumberFormat="1" applyFont="1" applyFill="1" applyBorder="1"/>
    <xf numFmtId="3" fontId="12" fillId="0" borderId="12" xfId="21" applyNumberFormat="1" applyFont="1" applyFill="1" applyBorder="1"/>
    <xf numFmtId="3" fontId="14" fillId="7" borderId="2" xfId="21" applyNumberFormat="1" applyFont="1" applyFill="1" applyBorder="1" applyProtection="1"/>
    <xf numFmtId="3" fontId="14" fillId="0" borderId="0" xfId="21" applyNumberFormat="1" applyFont="1" applyFill="1" applyBorder="1" applyProtection="1">
      <protection locked="0"/>
    </xf>
    <xf numFmtId="49" fontId="17" fillId="0" borderId="0" xfId="21" applyNumberFormat="1" applyFont="1" applyFill="1" applyBorder="1" applyAlignment="1">
      <alignment horizontal="left"/>
    </xf>
    <xf numFmtId="0" fontId="60" fillId="0" borderId="0" xfId="21" applyFont="1" applyFill="1" applyBorder="1" applyAlignment="1">
      <alignment horizontal="center" wrapText="1"/>
    </xf>
    <xf numFmtId="49" fontId="12" fillId="8" borderId="0" xfId="21" applyNumberFormat="1" applyFont="1" applyFill="1" applyBorder="1" applyAlignment="1" applyProtection="1">
      <protection locked="0"/>
    </xf>
    <xf numFmtId="3" fontId="12" fillId="0" borderId="2" xfId="21" applyNumberFormat="1" applyFont="1" applyFill="1" applyBorder="1" applyProtection="1"/>
    <xf numFmtId="3" fontId="12" fillId="0" borderId="12" xfId="21" applyNumberFormat="1" applyFont="1" applyFill="1" applyBorder="1" applyProtection="1"/>
    <xf numFmtId="3" fontId="14" fillId="7" borderId="9" xfId="21" applyNumberFormat="1" applyFont="1" applyFill="1" applyBorder="1"/>
    <xf numFmtId="0" fontId="14" fillId="0" borderId="16" xfId="21" applyFont="1" applyFill="1" applyBorder="1" applyAlignment="1"/>
    <xf numFmtId="3" fontId="12" fillId="0" borderId="10" xfId="21" applyNumberFormat="1" applyFont="1" applyFill="1" applyBorder="1" applyProtection="1"/>
    <xf numFmtId="0" fontId="12" fillId="0" borderId="0" xfId="21" applyFont="1" applyFill="1" applyBorder="1" applyProtection="1"/>
    <xf numFmtId="3" fontId="12" fillId="0" borderId="12" xfId="21" applyNumberFormat="1" applyFont="1" applyFill="1" applyBorder="1" applyProtection="1">
      <protection locked="0"/>
    </xf>
    <xf numFmtId="3" fontId="14" fillId="0" borderId="0" xfId="21" applyNumberFormat="1" applyFont="1" applyFill="1" applyBorder="1" applyProtection="1"/>
    <xf numFmtId="167" fontId="14" fillId="0" borderId="0" xfId="21" applyNumberFormat="1" applyFont="1" applyFill="1" applyBorder="1" applyProtection="1"/>
    <xf numFmtId="0" fontId="12" fillId="0" borderId="12" xfId="21" applyFont="1" applyFill="1" applyBorder="1"/>
    <xf numFmtId="164" fontId="14" fillId="7" borderId="2" xfId="21" applyNumberFormat="1" applyFont="1" applyFill="1" applyBorder="1"/>
    <xf numFmtId="164" fontId="14" fillId="0" borderId="0" xfId="21" applyNumberFormat="1" applyFont="1" applyFill="1" applyBorder="1"/>
    <xf numFmtId="10" fontId="14" fillId="7" borderId="2" xfId="25" applyNumberFormat="1" applyFont="1" applyFill="1" applyBorder="1" applyProtection="1"/>
    <xf numFmtId="10" fontId="14" fillId="0" borderId="0" xfId="25" applyNumberFormat="1" applyFont="1" applyFill="1" applyBorder="1" applyProtection="1"/>
    <xf numFmtId="10" fontId="14" fillId="7" borderId="2" xfId="21" applyNumberFormat="1" applyFont="1" applyFill="1" applyBorder="1"/>
    <xf numFmtId="166" fontId="12" fillId="0" borderId="0" xfId="26" applyNumberFormat="1" applyFont="1" applyFill="1" applyBorder="1"/>
    <xf numFmtId="10" fontId="14" fillId="0" borderId="0" xfId="21" applyNumberFormat="1" applyFont="1" applyFill="1" applyBorder="1"/>
    <xf numFmtId="10" fontId="12" fillId="0" borderId="0" xfId="27" applyNumberFormat="1" applyFont="1" applyFill="1" applyBorder="1"/>
    <xf numFmtId="168" fontId="14" fillId="7" borderId="2" xfId="20" applyNumberFormat="1" applyFont="1" applyFill="1" applyBorder="1"/>
    <xf numFmtId="49" fontId="12" fillId="0" borderId="16" xfId="21" applyNumberFormat="1" applyFont="1" applyFill="1" applyBorder="1" applyAlignment="1" applyProtection="1">
      <protection locked="0"/>
    </xf>
    <xf numFmtId="3" fontId="0" fillId="0" borderId="0" xfId="0" applyNumberFormat="1" applyFill="1" applyBorder="1" applyProtection="1">
      <protection locked="0"/>
    </xf>
    <xf numFmtId="0" fontId="20" fillId="0" borderId="0" xfId="13" applyFont="1" applyFill="1" applyAlignment="1">
      <alignment horizontal="right"/>
    </xf>
    <xf numFmtId="0" fontId="9" fillId="0" borderId="0" xfId="13" applyFill="1"/>
    <xf numFmtId="171" fontId="9" fillId="0" borderId="0" xfId="13" applyNumberFormat="1" applyFill="1"/>
    <xf numFmtId="0" fontId="14" fillId="5" borderId="0" xfId="21" applyFont="1" applyFill="1" applyBorder="1"/>
    <xf numFmtId="168" fontId="14" fillId="7" borderId="9" xfId="20" applyNumberFormat="1" applyFont="1" applyFill="1" applyBorder="1"/>
    <xf numFmtId="168" fontId="14" fillId="7" borderId="2" xfId="20" applyNumberFormat="1" applyFont="1" applyFill="1" applyBorder="1" applyProtection="1"/>
    <xf numFmtId="3" fontId="14" fillId="0" borderId="9" xfId="21" applyNumberFormat="1" applyFont="1" applyFill="1" applyBorder="1"/>
    <xf numFmtId="3" fontId="14" fillId="0" borderId="2" xfId="21" applyNumberFormat="1" applyFont="1" applyFill="1" applyBorder="1"/>
    <xf numFmtId="0" fontId="14" fillId="0" borderId="0" xfId="0" applyFont="1" applyFill="1" applyAlignment="1">
      <alignment horizontal="right"/>
    </xf>
    <xf numFmtId="49" fontId="16" fillId="0" borderId="0" xfId="0" applyNumberFormat="1" applyFont="1" applyFill="1" applyBorder="1" applyAlignment="1" applyProtection="1">
      <protection locked="0"/>
    </xf>
    <xf numFmtId="0" fontId="0" fillId="0" borderId="0" xfId="0" applyFill="1"/>
    <xf numFmtId="168" fontId="14" fillId="0" borderId="2" xfId="20" applyNumberFormat="1" applyFont="1" applyFill="1" applyBorder="1"/>
    <xf numFmtId="0" fontId="21" fillId="0" borderId="0" xfId="28" applyNumberFormat="1" applyFont="1" applyAlignment="1">
      <alignment horizontal="centerContinuous" wrapText="1"/>
    </xf>
    <xf numFmtId="168" fontId="21" fillId="0" borderId="0" xfId="28" applyNumberFormat="1" applyFont="1" applyAlignment="1">
      <alignment horizontal="centerContinuous" wrapText="1"/>
    </xf>
    <xf numFmtId="0" fontId="6" fillId="0" borderId="0" xfId="28"/>
    <xf numFmtId="0" fontId="23" fillId="0" borderId="0" xfId="28" applyNumberFormat="1" applyFont="1" applyBorder="1" applyAlignment="1">
      <alignment horizontal="center" wrapText="1"/>
    </xf>
    <xf numFmtId="3" fontId="23" fillId="0" borderId="0" xfId="28" applyNumberFormat="1" applyFont="1" applyBorder="1" applyAlignment="1">
      <alignment horizontal="center" wrapText="1"/>
    </xf>
    <xf numFmtId="10" fontId="24" fillId="0" borderId="0" xfId="28" applyNumberFormat="1" applyFont="1" applyBorder="1" applyAlignment="1">
      <alignment horizontal="center" wrapText="1"/>
    </xf>
    <xf numFmtId="168" fontId="23" fillId="0" borderId="0" xfId="28" applyNumberFormat="1" applyFont="1" applyBorder="1" applyAlignment="1">
      <alignment horizontal="center" wrapText="1"/>
    </xf>
    <xf numFmtId="0" fontId="61" fillId="0" borderId="0" xfId="28" applyFont="1"/>
    <xf numFmtId="0" fontId="23" fillId="0" borderId="0" xfId="28" applyNumberFormat="1" applyFont="1" applyBorder="1" applyAlignment="1"/>
    <xf numFmtId="168" fontId="62" fillId="0" borderId="0" xfId="29" applyNumberFormat="1" applyFont="1" applyBorder="1" applyAlignment="1"/>
    <xf numFmtId="10" fontId="62" fillId="0" borderId="0" xfId="30" applyNumberFormat="1" applyFont="1" applyBorder="1" applyAlignment="1"/>
    <xf numFmtId="10" fontId="24" fillId="0" borderId="0" xfId="28" applyNumberFormat="1" applyFont="1" applyBorder="1" applyAlignment="1"/>
    <xf numFmtId="167" fontId="6" fillId="0" borderId="0" xfId="28" applyNumberFormat="1" applyBorder="1"/>
    <xf numFmtId="164" fontId="6" fillId="0" borderId="0" xfId="28" applyNumberFormat="1"/>
    <xf numFmtId="168" fontId="62" fillId="0" borderId="1" xfId="29" applyNumberFormat="1" applyFont="1" applyBorder="1" applyAlignment="1"/>
    <xf numFmtId="10" fontId="62" fillId="0" borderId="1" xfId="30" applyNumberFormat="1" applyFont="1" applyBorder="1" applyAlignment="1"/>
    <xf numFmtId="10" fontId="24" fillId="0" borderId="1" xfId="28" applyNumberFormat="1" applyFont="1" applyBorder="1" applyAlignment="1"/>
    <xf numFmtId="167" fontId="6" fillId="0" borderId="1" xfId="28" applyNumberFormat="1" applyBorder="1"/>
    <xf numFmtId="0" fontId="23" fillId="0" borderId="0" xfId="28" applyNumberFormat="1" applyFont="1" applyAlignment="1"/>
    <xf numFmtId="168" fontId="23" fillId="0" borderId="0" xfId="29" applyNumberFormat="1" applyFont="1" applyAlignment="1"/>
    <xf numFmtId="10" fontId="6" fillId="0" borderId="0" xfId="28" applyNumberFormat="1"/>
    <xf numFmtId="167" fontId="6" fillId="0" borderId="0" xfId="28" applyNumberFormat="1"/>
    <xf numFmtId="3" fontId="6" fillId="0" borderId="0" xfId="28" applyNumberFormat="1"/>
    <xf numFmtId="3" fontId="23" fillId="0" borderId="0" xfId="28" applyNumberFormat="1" applyFont="1" applyAlignment="1"/>
    <xf numFmtId="168" fontId="23" fillId="0" borderId="0" xfId="28" applyNumberFormat="1" applyFont="1" applyAlignment="1"/>
    <xf numFmtId="0" fontId="6" fillId="0" borderId="0" xfId="3" applyFont="1"/>
    <xf numFmtId="11" fontId="6" fillId="0" borderId="0" xfId="9" applyNumberFormat="1" applyFont="1" applyFill="1" applyBorder="1" applyAlignment="1" applyProtection="1"/>
    <xf numFmtId="0" fontId="20" fillId="0" borderId="0" xfId="18" applyFont="1" applyFill="1" applyAlignment="1">
      <alignment horizontal="right"/>
    </xf>
    <xf numFmtId="0" fontId="20" fillId="0" borderId="0" xfId="18" applyFont="1" applyFill="1" applyAlignment="1">
      <alignment horizontal="left"/>
    </xf>
    <xf numFmtId="0" fontId="8" fillId="0" borderId="0" xfId="18" applyFill="1"/>
    <xf numFmtId="171" fontId="8" fillId="0" borderId="0" xfId="18" applyNumberFormat="1" applyFill="1"/>
    <xf numFmtId="0" fontId="6" fillId="0" borderId="0" xfId="9" applyFont="1"/>
    <xf numFmtId="168" fontId="11" fillId="0" borderId="0" xfId="20" applyNumberFormat="1" applyFont="1"/>
    <xf numFmtId="168" fontId="33" fillId="0" borderId="2" xfId="20" applyNumberFormat="1" applyFont="1" applyBorder="1" applyAlignment="1">
      <alignment horizontal="center" wrapText="1"/>
    </xf>
    <xf numFmtId="168" fontId="11" fillId="0" borderId="0" xfId="20" applyNumberFormat="1" applyFont="1" applyFill="1"/>
    <xf numFmtId="168" fontId="20" fillId="0" borderId="0" xfId="20" applyNumberFormat="1" applyFont="1"/>
    <xf numFmtId="168" fontId="0" fillId="0" borderId="0" xfId="20" applyNumberFormat="1" applyFont="1" applyFill="1"/>
    <xf numFmtId="0" fontId="5" fillId="0" borderId="0" xfId="3" applyFont="1"/>
    <xf numFmtId="0" fontId="63" fillId="0" borderId="2" xfId="0" applyNumberFormat="1" applyFont="1" applyFill="1" applyBorder="1" applyAlignment="1" applyProtection="1">
      <alignment horizontal="right" wrapText="1"/>
    </xf>
    <xf numFmtId="4" fontId="63" fillId="0" borderId="2" xfId="0" applyNumberFormat="1" applyFont="1" applyFill="1" applyBorder="1" applyAlignment="1" applyProtection="1">
      <alignment horizontal="right" wrapText="1"/>
    </xf>
    <xf numFmtId="4" fontId="63" fillId="9" borderId="2" xfId="0" applyNumberFormat="1" applyFont="1" applyFill="1" applyBorder="1" applyAlignment="1" applyProtection="1"/>
    <xf numFmtId="4" fontId="11" fillId="0" borderId="0" xfId="3" applyNumberFormat="1"/>
    <xf numFmtId="2" fontId="11" fillId="0" borderId="0" xfId="3" applyNumberFormat="1"/>
    <xf numFmtId="166" fontId="11" fillId="0" borderId="0" xfId="19" applyNumberFormat="1" applyFont="1"/>
    <xf numFmtId="43" fontId="0" fillId="0" borderId="0" xfId="5" applyNumberFormat="1" applyFont="1" applyBorder="1"/>
    <xf numFmtId="43" fontId="11" fillId="0" borderId="0" xfId="3" applyNumberFormat="1"/>
    <xf numFmtId="168" fontId="5" fillId="0" borderId="0" xfId="3" applyNumberFormat="1" applyFont="1"/>
    <xf numFmtId="0" fontId="4" fillId="0" borderId="0" xfId="3" applyFont="1"/>
    <xf numFmtId="0" fontId="64" fillId="0" borderId="2" xfId="3" applyFont="1" applyBorder="1" applyAlignment="1">
      <alignment horizontal="center" vertical="center" wrapText="1"/>
    </xf>
    <xf numFmtId="3" fontId="63" fillId="0" borderId="2" xfId="3" applyNumberFormat="1" applyFont="1" applyBorder="1"/>
    <xf numFmtId="169" fontId="63" fillId="0" borderId="2" xfId="6" applyNumberFormat="1" applyFont="1" applyBorder="1"/>
    <xf numFmtId="168" fontId="63" fillId="0" borderId="2" xfId="20" applyNumberFormat="1" applyFont="1" applyBorder="1"/>
    <xf numFmtId="166" fontId="63" fillId="0" borderId="2" xfId="19" applyNumberFormat="1" applyFont="1" applyBorder="1"/>
    <xf numFmtId="168" fontId="63" fillId="0" borderId="2" xfId="8" applyNumberFormat="1" applyFont="1" applyBorder="1"/>
    <xf numFmtId="10" fontId="11" fillId="0" borderId="0" xfId="1" applyNumberFormat="1" applyFont="1"/>
    <xf numFmtId="9" fontId="11" fillId="0" borderId="0" xfId="1" applyNumberFormat="1" applyFont="1"/>
    <xf numFmtId="0" fontId="36" fillId="0" borderId="0" xfId="3" applyFont="1" applyBorder="1" applyAlignment="1">
      <alignment horizontal="left" vertical="center"/>
    </xf>
    <xf numFmtId="0" fontId="11" fillId="0" borderId="12" xfId="3" applyBorder="1"/>
    <xf numFmtId="0" fontId="5" fillId="0" borderId="12" xfId="3" applyFont="1" applyBorder="1"/>
    <xf numFmtId="168" fontId="11" fillId="0" borderId="12" xfId="20" applyNumberFormat="1" applyFont="1" applyBorder="1"/>
    <xf numFmtId="38" fontId="11" fillId="0" borderId="12" xfId="3" applyNumberFormat="1" applyBorder="1"/>
    <xf numFmtId="168" fontId="11" fillId="0" borderId="12" xfId="3" applyNumberFormat="1" applyBorder="1"/>
    <xf numFmtId="0" fontId="65" fillId="0" borderId="0" xfId="3" applyFont="1"/>
    <xf numFmtId="0" fontId="4" fillId="0" borderId="0" xfId="3" applyFont="1" applyFill="1"/>
    <xf numFmtId="168" fontId="12" fillId="0" borderId="0" xfId="20" applyNumberFormat="1" applyFont="1" applyFill="1" applyBorder="1"/>
    <xf numFmtId="168" fontId="9" fillId="5" borderId="0" xfId="20" applyNumberFormat="1" applyFont="1" applyFill="1"/>
    <xf numFmtId="168" fontId="8" fillId="5" borderId="0" xfId="20" applyNumberFormat="1" applyFont="1" applyFill="1"/>
    <xf numFmtId="0" fontId="11" fillId="0" borderId="4" xfId="3" applyBorder="1" applyAlignment="1">
      <alignment horizontal="right"/>
    </xf>
    <xf numFmtId="0" fontId="4" fillId="0" borderId="2" xfId="3" applyFont="1" applyBorder="1" applyAlignment="1">
      <alignment horizontal="right"/>
    </xf>
    <xf numFmtId="0" fontId="4" fillId="0" borderId="2" xfId="3" applyFont="1" applyBorder="1" applyAlignment="1">
      <alignment wrapText="1"/>
    </xf>
    <xf numFmtId="0" fontId="5" fillId="0" borderId="2" xfId="3" applyFont="1" applyBorder="1" applyAlignment="1">
      <alignment horizontal="right"/>
    </xf>
    <xf numFmtId="0" fontId="36" fillId="0" borderId="0" xfId="0" applyFont="1" applyBorder="1" applyAlignment="1">
      <alignment horizontal="left" vertical="center" wrapText="1"/>
    </xf>
    <xf numFmtId="0" fontId="4" fillId="0" borderId="2" xfId="3" applyFont="1" applyFill="1" applyBorder="1" applyAlignment="1">
      <alignment horizontal="center" wrapText="1"/>
    </xf>
    <xf numFmtId="0" fontId="11" fillId="0" borderId="0" xfId="3" applyBorder="1" applyAlignment="1">
      <alignment horizontal="right"/>
    </xf>
    <xf numFmtId="167" fontId="11" fillId="0" borderId="0" xfId="3" applyNumberFormat="1" applyBorder="1"/>
    <xf numFmtId="10" fontId="0" fillId="0" borderId="0" xfId="6" applyNumberFormat="1" applyFont="1" applyBorder="1"/>
    <xf numFmtId="5" fontId="11" fillId="0" borderId="0" xfId="3" applyNumberFormat="1" applyBorder="1"/>
    <xf numFmtId="167" fontId="0" fillId="0" borderId="0" xfId="8" applyNumberFormat="1" applyFont="1" applyBorder="1"/>
    <xf numFmtId="9" fontId="0" fillId="0" borderId="0" xfId="6" applyFont="1" applyBorder="1"/>
    <xf numFmtId="0" fontId="3" fillId="0" borderId="0" xfId="3" applyFont="1"/>
    <xf numFmtId="0" fontId="3" fillId="0" borderId="0" xfId="3" applyFont="1" applyFill="1"/>
    <xf numFmtId="169" fontId="2" fillId="0" borderId="0" xfId="3" applyNumberFormat="1" applyFont="1"/>
    <xf numFmtId="0" fontId="11" fillId="0" borderId="1" xfId="3" applyBorder="1" applyAlignment="1">
      <alignment horizontal="center" wrapText="1"/>
    </xf>
    <xf numFmtId="0" fontId="4" fillId="0" borderId="0" xfId="3" applyFont="1" applyAlignment="1">
      <alignment horizontal="left" wrapText="1"/>
    </xf>
    <xf numFmtId="0" fontId="3" fillId="0" borderId="1" xfId="3" applyFont="1" applyBorder="1" applyAlignment="1">
      <alignment horizontal="center"/>
    </xf>
    <xf numFmtId="0" fontId="11" fillId="0" borderId="1" xfId="3" applyBorder="1" applyAlignment="1">
      <alignment horizontal="center"/>
    </xf>
    <xf numFmtId="0" fontId="20" fillId="0" borderId="0" xfId="3" applyFont="1" applyBorder="1" applyAlignment="1">
      <alignment horizontal="left"/>
    </xf>
    <xf numFmtId="49" fontId="16" fillId="2" borderId="4" xfId="0" applyNumberFormat="1" applyFont="1" applyFill="1" applyBorder="1" applyAlignment="1" applyProtection="1">
      <protection locked="0"/>
    </xf>
    <xf numFmtId="49" fontId="16" fillId="2" borderId="5" xfId="0" applyNumberFormat="1" applyFont="1" applyFill="1" applyBorder="1" applyAlignment="1" applyProtection="1">
      <protection locked="0"/>
    </xf>
    <xf numFmtId="49" fontId="16" fillId="2" borderId="6" xfId="0" applyNumberFormat="1" applyFont="1" applyFill="1" applyBorder="1" applyAlignment="1" applyProtection="1">
      <protection locked="0"/>
    </xf>
    <xf numFmtId="49" fontId="12" fillId="0" borderId="0" xfId="21" applyNumberFormat="1" applyFont="1" applyFill="1" applyBorder="1" applyAlignment="1" applyProtection="1">
      <protection locked="0"/>
    </xf>
    <xf numFmtId="49" fontId="12" fillId="0" borderId="16" xfId="21" applyNumberFormat="1" applyFont="1" applyFill="1" applyBorder="1" applyAlignment="1" applyProtection="1">
      <protection locked="0"/>
    </xf>
    <xf numFmtId="0" fontId="12" fillId="0" borderId="0" xfId="0" applyFont="1" applyAlignment="1"/>
    <xf numFmtId="49" fontId="0" fillId="2" borderId="4" xfId="0" applyNumberFormat="1" applyFill="1" applyBorder="1" applyAlignment="1" applyProtection="1">
      <protection locked="0"/>
    </xf>
    <xf numFmtId="49" fontId="0" fillId="2" borderId="5" xfId="0" applyNumberFormat="1" applyFill="1" applyBorder="1" applyAlignment="1" applyProtection="1">
      <protection locked="0"/>
    </xf>
    <xf numFmtId="49" fontId="0" fillId="2" borderId="6" xfId="0" applyNumberFormat="1" applyFill="1" applyBorder="1" applyAlignment="1" applyProtection="1">
      <protection locked="0"/>
    </xf>
    <xf numFmtId="0" fontId="14" fillId="0" borderId="1" xfId="0" applyFont="1" applyBorder="1" applyAlignment="1">
      <alignment wrapText="1"/>
    </xf>
    <xf numFmtId="0" fontId="0" fillId="0" borderId="1" xfId="0" applyBorder="1" applyAlignment="1">
      <alignment wrapText="1"/>
    </xf>
    <xf numFmtId="49" fontId="12" fillId="2" borderId="7" xfId="0" applyNumberFormat="1" applyFont="1" applyFill="1" applyBorder="1" applyAlignment="1" applyProtection="1">
      <protection locked="0"/>
    </xf>
    <xf numFmtId="49" fontId="0" fillId="2" borderId="1" xfId="0" applyNumberFormat="1" applyFill="1" applyBorder="1" applyAlignment="1" applyProtection="1">
      <protection locked="0"/>
    </xf>
    <xf numFmtId="0" fontId="0" fillId="0" borderId="0" xfId="0" applyAlignment="1"/>
    <xf numFmtId="49" fontId="12" fillId="2" borderId="4" xfId="0" applyNumberFormat="1" applyFont="1" applyFill="1" applyBorder="1" applyAlignment="1" applyProtection="1">
      <protection locked="0"/>
    </xf>
    <xf numFmtId="0" fontId="17" fillId="0" borderId="0" xfId="0" applyFont="1" applyAlignment="1">
      <alignment horizontal="center"/>
    </xf>
    <xf numFmtId="0" fontId="15" fillId="0" borderId="0" xfId="0" applyFont="1" applyAlignment="1">
      <alignment horizontal="center"/>
    </xf>
    <xf numFmtId="49" fontId="12" fillId="4" borderId="4" xfId="0" applyNumberFormat="1" applyFont="1" applyFill="1" applyBorder="1" applyAlignment="1" applyProtection="1">
      <alignment shrinkToFit="1"/>
      <protection locked="0"/>
    </xf>
    <xf numFmtId="49" fontId="0" fillId="0" borderId="5" xfId="0" applyNumberFormat="1" applyBorder="1" applyAlignment="1" applyProtection="1">
      <alignment shrinkToFit="1"/>
      <protection locked="0"/>
    </xf>
    <xf numFmtId="49" fontId="0" fillId="0" borderId="6" xfId="0" applyNumberFormat="1" applyBorder="1" applyAlignment="1" applyProtection="1">
      <alignment shrinkToFit="1"/>
      <protection locked="0"/>
    </xf>
    <xf numFmtId="1" fontId="12" fillId="4" borderId="4" xfId="0" quotePrefix="1" applyNumberFormat="1" applyFont="1" applyFill="1" applyBorder="1" applyAlignment="1" applyProtection="1">
      <alignment shrinkToFit="1"/>
      <protection locked="0"/>
    </xf>
    <xf numFmtId="0" fontId="0" fillId="0" borderId="5" xfId="0" applyBorder="1" applyAlignment="1" applyProtection="1">
      <alignment shrinkToFit="1"/>
      <protection locked="0"/>
    </xf>
    <xf numFmtId="0" fontId="0" fillId="0" borderId="6" xfId="0" applyBorder="1" applyAlignment="1" applyProtection="1">
      <alignment shrinkToFit="1"/>
      <protection locked="0"/>
    </xf>
    <xf numFmtId="3" fontId="0" fillId="4" borderId="4" xfId="0" applyNumberFormat="1" applyFill="1" applyBorder="1" applyAlignment="1" applyProtection="1">
      <alignment shrinkToFit="1"/>
      <protection locked="0"/>
    </xf>
    <xf numFmtId="3" fontId="0" fillId="0" borderId="5" xfId="0" applyNumberFormat="1" applyBorder="1" applyAlignment="1" applyProtection="1">
      <alignment shrinkToFit="1"/>
      <protection locked="0"/>
    </xf>
    <xf numFmtId="3" fontId="0" fillId="0" borderId="6" xfId="0" applyNumberFormat="1" applyBorder="1" applyAlignment="1" applyProtection="1">
      <alignment shrinkToFit="1"/>
      <protection locked="0"/>
    </xf>
    <xf numFmtId="165" fontId="12" fillId="4" borderId="4" xfId="0" applyNumberFormat="1" applyFont="1" applyFill="1" applyBorder="1" applyAlignment="1" applyProtection="1">
      <alignment shrinkToFit="1"/>
      <protection locked="0"/>
    </xf>
    <xf numFmtId="165" fontId="0" fillId="0" borderId="5" xfId="0" applyNumberFormat="1" applyBorder="1" applyAlignment="1" applyProtection="1">
      <alignment shrinkToFit="1"/>
      <protection locked="0"/>
    </xf>
    <xf numFmtId="165" fontId="0" fillId="0" borderId="6" xfId="0" applyNumberFormat="1" applyBorder="1" applyAlignment="1" applyProtection="1">
      <alignment shrinkToFit="1"/>
      <protection locked="0"/>
    </xf>
    <xf numFmtId="49" fontId="0" fillId="4" borderId="5" xfId="0" applyNumberFormat="1" applyFill="1" applyBorder="1" applyAlignment="1" applyProtection="1">
      <alignment shrinkToFit="1"/>
      <protection locked="0"/>
    </xf>
    <xf numFmtId="0" fontId="18" fillId="0" borderId="0" xfId="0" applyFont="1" applyFill="1" applyBorder="1" applyAlignment="1">
      <alignment vertical="justify" wrapText="1"/>
    </xf>
    <xf numFmtId="0" fontId="19" fillId="0" borderId="0" xfId="0" applyFont="1" applyAlignment="1">
      <alignment vertical="justify" wrapText="1"/>
    </xf>
    <xf numFmtId="0" fontId="19" fillId="0" borderId="0" xfId="0" applyFont="1" applyAlignment="1"/>
    <xf numFmtId="49" fontId="0" fillId="2" borderId="7" xfId="0" applyNumberFormat="1" applyFill="1" applyBorder="1" applyAlignment="1" applyProtection="1">
      <protection locked="0"/>
    </xf>
    <xf numFmtId="49" fontId="0" fillId="4" borderId="4" xfId="0" applyNumberFormat="1" applyFill="1" applyBorder="1" applyAlignment="1" applyProtection="1">
      <alignment shrinkToFit="1"/>
      <protection locked="0"/>
    </xf>
    <xf numFmtId="1" fontId="0" fillId="4" borderId="4" xfId="0" quotePrefix="1" applyNumberFormat="1" applyFill="1" applyBorder="1" applyAlignment="1" applyProtection="1">
      <alignment shrinkToFit="1"/>
      <protection locked="0"/>
    </xf>
    <xf numFmtId="0" fontId="0" fillId="0" borderId="5" xfId="0" applyNumberFormat="1" applyBorder="1" applyAlignment="1" applyProtection="1">
      <alignment shrinkToFit="1"/>
      <protection locked="0"/>
    </xf>
    <xf numFmtId="0" fontId="0" fillId="0" borderId="6" xfId="0" applyNumberFormat="1" applyBorder="1" applyAlignment="1" applyProtection="1">
      <alignment shrinkToFit="1"/>
      <protection locked="0"/>
    </xf>
    <xf numFmtId="165" fontId="0" fillId="4" borderId="4" xfId="0" applyNumberFormat="1" applyFill="1" applyBorder="1" applyAlignment="1" applyProtection="1">
      <alignment shrinkToFit="1"/>
      <protection locked="0"/>
    </xf>
    <xf numFmtId="49" fontId="0" fillId="4" borderId="6" xfId="0" applyNumberFormat="1" applyFill="1" applyBorder="1" applyAlignment="1" applyProtection="1">
      <alignment shrinkToFit="1"/>
      <protection locked="0"/>
    </xf>
    <xf numFmtId="3" fontId="0" fillId="4" borderId="4" xfId="0" quotePrefix="1" applyNumberFormat="1" applyFill="1" applyBorder="1" applyAlignment="1" applyProtection="1">
      <alignment shrinkToFit="1"/>
      <protection locked="0"/>
    </xf>
    <xf numFmtId="165" fontId="12" fillId="4" borderId="4" xfId="2" applyNumberFormat="1" applyFill="1" applyBorder="1" applyAlignment="1" applyProtection="1">
      <alignment shrinkToFit="1"/>
      <protection locked="0"/>
    </xf>
    <xf numFmtId="165" fontId="12" fillId="0" borderId="5" xfId="2" applyNumberFormat="1" applyBorder="1" applyAlignment="1" applyProtection="1">
      <alignment shrinkToFit="1"/>
      <protection locked="0"/>
    </xf>
    <xf numFmtId="165" fontId="12" fillId="0" borderId="6" xfId="2" applyNumberFormat="1" applyBorder="1" applyAlignment="1" applyProtection="1">
      <alignment shrinkToFit="1"/>
      <protection locked="0"/>
    </xf>
    <xf numFmtId="0" fontId="17" fillId="0" borderId="0" xfId="2" applyFont="1" applyAlignment="1">
      <alignment horizontal="center"/>
    </xf>
    <xf numFmtId="0" fontId="15" fillId="0" borderId="0" xfId="2" applyFont="1" applyAlignment="1">
      <alignment horizontal="center"/>
    </xf>
    <xf numFmtId="49" fontId="12" fillId="4" borderId="4" xfId="2" applyNumberFormat="1" applyFill="1" applyBorder="1" applyAlignment="1" applyProtection="1">
      <alignment shrinkToFit="1"/>
      <protection locked="0"/>
    </xf>
    <xf numFmtId="49" fontId="12" fillId="0" borderId="5" xfId="2" applyNumberFormat="1" applyBorder="1" applyAlignment="1" applyProtection="1">
      <alignment shrinkToFit="1"/>
      <protection locked="0"/>
    </xf>
    <xf numFmtId="49" fontId="12" fillId="0" borderId="6" xfId="2" applyNumberFormat="1" applyBorder="1" applyAlignment="1" applyProtection="1">
      <alignment shrinkToFit="1"/>
      <protection locked="0"/>
    </xf>
    <xf numFmtId="1" fontId="12" fillId="4" borderId="4" xfId="2" quotePrefix="1" applyNumberFormat="1" applyFill="1" applyBorder="1" applyAlignment="1" applyProtection="1">
      <alignment shrinkToFit="1"/>
      <protection locked="0"/>
    </xf>
    <xf numFmtId="1" fontId="12" fillId="4" borderId="5" xfId="2" quotePrefix="1" applyNumberFormat="1" applyFill="1" applyBorder="1" applyAlignment="1" applyProtection="1">
      <alignment shrinkToFit="1"/>
      <protection locked="0"/>
    </xf>
    <xf numFmtId="1" fontId="12" fillId="4" borderId="6" xfId="2" quotePrefix="1" applyNumberFormat="1" applyFill="1" applyBorder="1" applyAlignment="1" applyProtection="1">
      <alignment shrinkToFit="1"/>
      <protection locked="0"/>
    </xf>
    <xf numFmtId="3" fontId="12" fillId="4" borderId="4" xfId="2" applyNumberFormat="1" applyFill="1" applyBorder="1" applyAlignment="1" applyProtection="1">
      <alignment shrinkToFit="1"/>
      <protection locked="0"/>
    </xf>
    <xf numFmtId="3" fontId="12" fillId="0" borderId="5" xfId="2" applyNumberFormat="1" applyBorder="1" applyAlignment="1" applyProtection="1">
      <alignment shrinkToFit="1"/>
      <protection locked="0"/>
    </xf>
    <xf numFmtId="3" fontId="12" fillId="0" borderId="6" xfId="2" applyNumberFormat="1" applyBorder="1" applyAlignment="1" applyProtection="1">
      <alignment shrinkToFit="1"/>
      <protection locked="0"/>
    </xf>
    <xf numFmtId="49" fontId="12" fillId="2" borderId="7" xfId="2" applyNumberFormat="1" applyFill="1" applyBorder="1" applyAlignment="1" applyProtection="1">
      <protection locked="0"/>
    </xf>
    <xf numFmtId="49" fontId="12" fillId="2" borderId="1" xfId="2" applyNumberFormat="1" applyFill="1" applyBorder="1" applyAlignment="1" applyProtection="1">
      <protection locked="0"/>
    </xf>
    <xf numFmtId="49" fontId="12" fillId="2" borderId="6" xfId="2" applyNumberFormat="1" applyFill="1" applyBorder="1" applyAlignment="1" applyProtection="1">
      <protection locked="0"/>
    </xf>
    <xf numFmtId="49" fontId="52" fillId="4" borderId="4" xfId="17" applyNumberFormat="1" applyFill="1" applyBorder="1" applyAlignment="1" applyProtection="1">
      <alignment shrinkToFit="1"/>
      <protection locked="0"/>
    </xf>
    <xf numFmtId="49" fontId="12" fillId="4" borderId="5" xfId="2" applyNumberFormat="1" applyFill="1" applyBorder="1" applyAlignment="1" applyProtection="1">
      <alignment shrinkToFit="1"/>
      <protection locked="0"/>
    </xf>
    <xf numFmtId="0" fontId="18" fillId="0" borderId="0" xfId="2" applyFont="1" applyFill="1" applyBorder="1" applyAlignment="1">
      <alignment vertical="justify" wrapText="1"/>
    </xf>
    <xf numFmtId="0" fontId="19" fillId="0" borderId="0" xfId="2" applyFont="1" applyAlignment="1">
      <alignment vertical="justify" wrapText="1"/>
    </xf>
    <xf numFmtId="0" fontId="19" fillId="0" borderId="0" xfId="2" applyFont="1" applyAlignment="1"/>
    <xf numFmtId="49" fontId="16" fillId="2" borderId="4" xfId="2" applyNumberFormat="1" applyFont="1" applyFill="1" applyBorder="1" applyAlignment="1" applyProtection="1">
      <protection locked="0"/>
    </xf>
    <xf numFmtId="49" fontId="16" fillId="2" borderId="5" xfId="2" applyNumberFormat="1" applyFont="1" applyFill="1" applyBorder="1" applyAlignment="1" applyProtection="1">
      <protection locked="0"/>
    </xf>
    <xf numFmtId="49" fontId="16" fillId="2" borderId="6" xfId="2" applyNumberFormat="1" applyFont="1" applyFill="1" applyBorder="1" applyAlignment="1" applyProtection="1">
      <protection locked="0"/>
    </xf>
    <xf numFmtId="0" fontId="12" fillId="0" borderId="0" xfId="2" applyFont="1" applyAlignment="1"/>
    <xf numFmtId="0" fontId="12" fillId="0" borderId="0" xfId="2" applyAlignment="1"/>
    <xf numFmtId="0" fontId="14" fillId="0" borderId="1" xfId="2" applyFont="1" applyBorder="1" applyAlignment="1">
      <alignment wrapText="1"/>
    </xf>
    <xf numFmtId="0" fontId="12" fillId="0" borderId="1" xfId="2" applyBorder="1" applyAlignment="1">
      <alignment wrapText="1"/>
    </xf>
    <xf numFmtId="49" fontId="12" fillId="2" borderId="4" xfId="2" applyNumberFormat="1" applyFill="1" applyBorder="1" applyAlignment="1" applyProtection="1">
      <protection locked="0"/>
    </xf>
    <xf numFmtId="49" fontId="12" fillId="2" borderId="5" xfId="2" applyNumberFormat="1" applyFill="1" applyBorder="1" applyAlignment="1" applyProtection="1">
      <protection locked="0"/>
    </xf>
    <xf numFmtId="0" fontId="53" fillId="5" borderId="4" xfId="18" applyFont="1" applyFill="1" applyBorder="1" applyAlignment="1">
      <alignment horizontal="left" wrapText="1" shrinkToFit="1"/>
    </xf>
    <xf numFmtId="0" fontId="8" fillId="0" borderId="5" xfId="18" applyBorder="1" applyAlignment="1"/>
    <xf numFmtId="0" fontId="8" fillId="0" borderId="6" xfId="18" applyBorder="1" applyAlignment="1"/>
    <xf numFmtId="0" fontId="8" fillId="5" borderId="5" xfId="18" applyFill="1" applyBorder="1" applyAlignment="1"/>
    <xf numFmtId="0" fontId="8" fillId="5" borderId="6" xfId="18" applyFill="1" applyBorder="1" applyAlignment="1"/>
    <xf numFmtId="49" fontId="54" fillId="2" borderId="4" xfId="0" applyNumberFormat="1" applyFont="1" applyFill="1" applyBorder="1" applyAlignment="1" applyProtection="1">
      <protection locked="0"/>
    </xf>
    <xf numFmtId="49" fontId="54" fillId="2" borderId="5" xfId="0" applyNumberFormat="1" applyFont="1" applyFill="1" applyBorder="1" applyAlignment="1" applyProtection="1">
      <protection locked="0"/>
    </xf>
    <xf numFmtId="49" fontId="54" fillId="2" borderId="6" xfId="0" applyNumberFormat="1" applyFont="1" applyFill="1" applyBorder="1" applyAlignment="1" applyProtection="1">
      <protection locked="0"/>
    </xf>
    <xf numFmtId="3" fontId="0" fillId="4" borderId="4" xfId="0" applyNumberFormat="1" applyFill="1" applyBorder="1" applyAlignment="1" applyProtection="1">
      <alignment horizontal="left" shrinkToFit="1"/>
      <protection locked="0"/>
    </xf>
    <xf numFmtId="3" fontId="0" fillId="0" borderId="5" xfId="0" applyNumberFormat="1" applyBorder="1" applyAlignment="1" applyProtection="1">
      <alignment horizontal="left" shrinkToFit="1"/>
      <protection locked="0"/>
    </xf>
    <xf numFmtId="3" fontId="0" fillId="0" borderId="6" xfId="0" applyNumberFormat="1" applyBorder="1" applyAlignment="1" applyProtection="1">
      <alignment horizontal="left" shrinkToFit="1"/>
      <protection locked="0"/>
    </xf>
    <xf numFmtId="1" fontId="12" fillId="4" borderId="4" xfId="0" applyNumberFormat="1" applyFont="1" applyFill="1" applyBorder="1" applyAlignment="1" applyProtection="1">
      <alignment shrinkToFit="1"/>
      <protection locked="0"/>
    </xf>
    <xf numFmtId="0" fontId="9" fillId="6" borderId="0" xfId="13" applyFill="1" applyAlignment="1"/>
    <xf numFmtId="0" fontId="33" fillId="0" borderId="0" xfId="13" applyFont="1"/>
    <xf numFmtId="0" fontId="8" fillId="6" borderId="0" xfId="18" applyFill="1" applyAlignment="1"/>
    <xf numFmtId="0" fontId="33" fillId="0" borderId="0" xfId="18" applyFont="1"/>
    <xf numFmtId="0" fontId="12" fillId="0" borderId="5" xfId="2" applyBorder="1" applyAlignment="1" applyProtection="1">
      <alignment shrinkToFit="1"/>
      <protection locked="0"/>
    </xf>
    <xf numFmtId="0" fontId="12" fillId="0" borderId="6" xfId="2" applyBorder="1" applyAlignment="1" applyProtection="1">
      <alignment shrinkToFit="1"/>
      <protection locked="0"/>
    </xf>
    <xf numFmtId="3" fontId="12" fillId="4" borderId="4" xfId="2" quotePrefix="1" applyNumberFormat="1" applyFill="1" applyBorder="1" applyAlignment="1" applyProtection="1">
      <alignment shrinkToFit="1"/>
      <protection locked="0"/>
    </xf>
    <xf numFmtId="49" fontId="12" fillId="4" borderId="4" xfId="2" applyNumberFormat="1" applyFont="1" applyFill="1" applyBorder="1" applyAlignment="1" applyProtection="1">
      <alignment shrinkToFit="1"/>
      <protection locked="0"/>
    </xf>
    <xf numFmtId="165" fontId="12" fillId="4" borderId="4" xfId="2" applyNumberFormat="1" applyFont="1" applyFill="1" applyBorder="1" applyAlignment="1" applyProtection="1">
      <alignment shrinkToFit="1"/>
      <protection locked="0"/>
    </xf>
    <xf numFmtId="49" fontId="12" fillId="2" borderId="4" xfId="2" applyNumberFormat="1" applyFont="1" applyFill="1" applyBorder="1" applyAlignment="1" applyProtection="1">
      <protection locked="0"/>
    </xf>
    <xf numFmtId="49" fontId="12" fillId="2" borderId="7" xfId="2" applyNumberFormat="1" applyFont="1" applyFill="1" applyBorder="1" applyAlignment="1" applyProtection="1">
      <protection locked="0"/>
    </xf>
    <xf numFmtId="49" fontId="12" fillId="2" borderId="4" xfId="2" applyNumberFormat="1" applyFont="1" applyFill="1" applyBorder="1" applyAlignment="1" applyProtection="1">
      <alignment wrapText="1"/>
      <protection locked="0"/>
    </xf>
    <xf numFmtId="0" fontId="7" fillId="6" borderId="0" xfId="21" applyFill="1" applyAlignment="1"/>
    <xf numFmtId="0" fontId="33" fillId="0" borderId="0" xfId="21" applyFont="1"/>
    <xf numFmtId="3" fontId="7" fillId="6" borderId="0" xfId="21" applyNumberFormat="1" applyFill="1" applyAlignment="1"/>
    <xf numFmtId="49" fontId="12" fillId="2" borderId="5" xfId="0" applyNumberFormat="1" applyFont="1" applyFill="1" applyBorder="1" applyAlignment="1" applyProtection="1">
      <protection locked="0"/>
    </xf>
    <xf numFmtId="49" fontId="12" fillId="2" borderId="6" xfId="0" applyNumberFormat="1" applyFont="1" applyFill="1" applyBorder="1" applyAlignment="1" applyProtection="1">
      <protection locked="0"/>
    </xf>
    <xf numFmtId="1" fontId="0" fillId="4" borderId="4" xfId="0" applyNumberFormat="1" applyFill="1" applyBorder="1" applyAlignment="1" applyProtection="1">
      <alignment shrinkToFit="1"/>
      <protection locked="0"/>
    </xf>
    <xf numFmtId="165" fontId="46" fillId="4" borderId="4" xfId="11" applyNumberFormat="1" applyFill="1" applyBorder="1" applyAlignment="1" applyProtection="1">
      <alignment shrinkToFit="1"/>
      <protection locked="0"/>
    </xf>
    <xf numFmtId="49" fontId="22" fillId="2" borderId="4" xfId="2" applyNumberFormat="1" applyFont="1" applyFill="1" applyBorder="1" applyAlignment="1" applyProtection="1">
      <protection locked="0"/>
    </xf>
    <xf numFmtId="49" fontId="22" fillId="2" borderId="5" xfId="2" applyNumberFormat="1" applyFont="1" applyFill="1" applyBorder="1" applyAlignment="1" applyProtection="1">
      <protection locked="0"/>
    </xf>
    <xf numFmtId="49" fontId="22" fillId="2" borderId="6" xfId="2" applyNumberFormat="1" applyFont="1" applyFill="1" applyBorder="1" applyAlignment="1" applyProtection="1">
      <protection locked="0"/>
    </xf>
    <xf numFmtId="49" fontId="22" fillId="4" borderId="4" xfId="2" applyNumberFormat="1" applyFont="1" applyFill="1" applyBorder="1" applyAlignment="1" applyProtection="1">
      <alignment shrinkToFit="1"/>
      <protection locked="0"/>
    </xf>
    <xf numFmtId="49" fontId="22" fillId="0" borderId="5" xfId="2" applyNumberFormat="1" applyFont="1" applyBorder="1" applyAlignment="1" applyProtection="1">
      <alignment shrinkToFit="1"/>
      <protection locked="0"/>
    </xf>
    <xf numFmtId="49" fontId="22" fillId="0" borderId="6" xfId="2" applyNumberFormat="1" applyFont="1" applyBorder="1" applyAlignment="1" applyProtection="1">
      <alignment shrinkToFit="1"/>
      <protection locked="0"/>
    </xf>
    <xf numFmtId="1" fontId="22" fillId="4" borderId="4" xfId="2" quotePrefix="1" applyNumberFormat="1" applyFont="1" applyFill="1" applyBorder="1" applyAlignment="1" applyProtection="1">
      <alignment horizontal="left" shrinkToFit="1"/>
      <protection locked="0"/>
    </xf>
    <xf numFmtId="0" fontId="22" fillId="0" borderId="5" xfId="2" applyFont="1" applyBorder="1" applyAlignment="1" applyProtection="1">
      <alignment horizontal="left" shrinkToFit="1"/>
      <protection locked="0"/>
    </xf>
    <xf numFmtId="0" fontId="22" fillId="0" borderId="6" xfId="2" applyFont="1" applyBorder="1" applyAlignment="1" applyProtection="1">
      <alignment horizontal="left" shrinkToFit="1"/>
      <protection locked="0"/>
    </xf>
    <xf numFmtId="3" fontId="22" fillId="4" borderId="4" xfId="2" applyNumberFormat="1" applyFont="1" applyFill="1" applyBorder="1" applyAlignment="1" applyProtection="1">
      <alignment horizontal="left" shrinkToFit="1"/>
      <protection locked="0"/>
    </xf>
    <xf numFmtId="3" fontId="22" fillId="0" borderId="5" xfId="2" applyNumberFormat="1" applyFont="1" applyBorder="1" applyAlignment="1" applyProtection="1">
      <alignment horizontal="left" shrinkToFit="1"/>
      <protection locked="0"/>
    </xf>
    <xf numFmtId="3" fontId="22" fillId="0" borderId="6" xfId="2" applyNumberFormat="1" applyFont="1" applyBorder="1" applyAlignment="1" applyProtection="1">
      <alignment horizontal="left" shrinkToFit="1"/>
      <protection locked="0"/>
    </xf>
    <xf numFmtId="165" fontId="22" fillId="4" borderId="4" xfId="2" applyNumberFormat="1" applyFont="1" applyFill="1" applyBorder="1" applyAlignment="1" applyProtection="1">
      <alignment shrinkToFit="1"/>
      <protection locked="0"/>
    </xf>
    <xf numFmtId="165" fontId="22" fillId="0" borderId="5" xfId="2" applyNumberFormat="1" applyFont="1" applyBorder="1" applyAlignment="1" applyProtection="1">
      <alignment shrinkToFit="1"/>
      <protection locked="0"/>
    </xf>
    <xf numFmtId="165" fontId="22" fillId="0" borderId="6" xfId="2" applyNumberFormat="1" applyFont="1" applyBorder="1" applyAlignment="1" applyProtection="1">
      <alignment shrinkToFit="1"/>
      <protection locked="0"/>
    </xf>
    <xf numFmtId="49" fontId="48" fillId="4" borderId="4" xfId="11" applyNumberFormat="1" applyFont="1" applyFill="1" applyBorder="1" applyAlignment="1" applyProtection="1">
      <alignment shrinkToFit="1"/>
      <protection locked="0"/>
    </xf>
    <xf numFmtId="49" fontId="22" fillId="4" borderId="5" xfId="2" applyNumberFormat="1" applyFont="1" applyFill="1" applyBorder="1" applyAlignment="1" applyProtection="1">
      <alignment shrinkToFit="1"/>
      <protection locked="0"/>
    </xf>
    <xf numFmtId="0" fontId="47" fillId="0" borderId="0" xfId="2" applyFont="1" applyFill="1" applyBorder="1" applyAlignment="1">
      <alignment vertical="justify" wrapText="1"/>
    </xf>
    <xf numFmtId="0" fontId="22" fillId="0" borderId="0" xfId="2" applyFont="1" applyAlignment="1">
      <alignment vertical="justify" wrapText="1"/>
    </xf>
    <xf numFmtId="0" fontId="22" fillId="0" borderId="0" xfId="2" applyFont="1" applyAlignment="1"/>
    <xf numFmtId="0" fontId="17" fillId="0" borderId="1" xfId="2" applyFont="1" applyBorder="1" applyAlignment="1">
      <alignment wrapText="1"/>
    </xf>
    <xf numFmtId="0" fontId="22" fillId="0" borderId="1" xfId="2" applyFont="1" applyBorder="1" applyAlignment="1">
      <alignment wrapText="1"/>
    </xf>
    <xf numFmtId="165" fontId="12" fillId="4" borderId="5" xfId="2" applyNumberFormat="1" applyFill="1" applyBorder="1" applyAlignment="1" applyProtection="1">
      <alignment shrinkToFit="1"/>
      <protection locked="0"/>
    </xf>
    <xf numFmtId="165" fontId="12" fillId="4" borderId="6" xfId="2" applyNumberFormat="1" applyFill="1" applyBorder="1" applyAlignment="1" applyProtection="1">
      <alignment shrinkToFit="1"/>
      <protection locked="0"/>
    </xf>
    <xf numFmtId="49" fontId="12" fillId="4" borderId="6" xfId="2" applyNumberFormat="1" applyFill="1" applyBorder="1" applyAlignment="1" applyProtection="1">
      <alignment shrinkToFit="1"/>
      <protection locked="0"/>
    </xf>
    <xf numFmtId="3" fontId="12" fillId="4" borderId="4" xfId="2" applyNumberFormat="1" applyFill="1" applyBorder="1" applyAlignment="1" applyProtection="1">
      <alignment horizontal="left" shrinkToFit="1"/>
      <protection locked="0"/>
    </xf>
    <xf numFmtId="3" fontId="12" fillId="4" borderId="5" xfId="2" applyNumberFormat="1" applyFill="1" applyBorder="1" applyAlignment="1" applyProtection="1">
      <alignment horizontal="left" shrinkToFit="1"/>
      <protection locked="0"/>
    </xf>
    <xf numFmtId="3" fontId="12" fillId="4" borderId="6" xfId="2" applyNumberFormat="1" applyFill="1" applyBorder="1" applyAlignment="1" applyProtection="1">
      <alignment horizontal="left" shrinkToFit="1"/>
      <protection locked="0"/>
    </xf>
    <xf numFmtId="0" fontId="14" fillId="0" borderId="0" xfId="2" applyFont="1" applyAlignment="1">
      <alignment horizontal="center"/>
    </xf>
    <xf numFmtId="49" fontId="12" fillId="2" borderId="5" xfId="2" applyNumberFormat="1" applyFont="1" applyFill="1" applyBorder="1" applyAlignment="1" applyProtection="1">
      <protection locked="0"/>
    </xf>
    <xf numFmtId="49" fontId="12" fillId="2" borderId="6" xfId="2" applyNumberFormat="1" applyFont="1" applyFill="1" applyBorder="1" applyAlignment="1" applyProtection="1">
      <protection locked="0"/>
    </xf>
    <xf numFmtId="0" fontId="12" fillId="0" borderId="1" xfId="2" applyFont="1" applyBorder="1" applyAlignment="1"/>
    <xf numFmtId="1" fontId="22" fillId="4" borderId="2" xfId="0" quotePrefix="1" applyNumberFormat="1" applyFont="1" applyFill="1" applyBorder="1" applyAlignment="1" applyProtection="1">
      <alignment horizontal="left"/>
      <protection locked="0"/>
    </xf>
    <xf numFmtId="0" fontId="22" fillId="0" borderId="2" xfId="0" applyFont="1" applyBorder="1" applyAlignment="1">
      <alignment horizontal="left"/>
    </xf>
    <xf numFmtId="1" fontId="12" fillId="4" borderId="14" xfId="0" quotePrefix="1" applyNumberFormat="1" applyFont="1" applyFill="1" applyBorder="1" applyAlignment="1" applyProtection="1">
      <alignment horizontal="left"/>
      <protection locked="0"/>
    </xf>
    <xf numFmtId="0" fontId="0" fillId="0" borderId="12" xfId="0" applyBorder="1" applyAlignment="1">
      <alignment horizontal="left"/>
    </xf>
    <xf numFmtId="0" fontId="0" fillId="0" borderId="15" xfId="0" applyBorder="1" applyAlignment="1">
      <alignment horizontal="left"/>
    </xf>
    <xf numFmtId="1" fontId="0" fillId="4" borderId="14" xfId="0" quotePrefix="1" applyNumberFormat="1" applyFill="1" applyBorder="1" applyAlignment="1" applyProtection="1">
      <alignment horizontal="left"/>
      <protection locked="0"/>
    </xf>
    <xf numFmtId="1" fontId="0" fillId="4" borderId="2" xfId="0" quotePrefix="1" applyNumberFormat="1" applyFill="1" applyBorder="1" applyAlignment="1" applyProtection="1">
      <alignment horizontal="left"/>
      <protection locked="0"/>
    </xf>
    <xf numFmtId="0" fontId="0" fillId="0" borderId="2" xfId="0" applyBorder="1" applyAlignment="1">
      <alignment horizontal="left"/>
    </xf>
    <xf numFmtId="49" fontId="58" fillId="4" borderId="4" xfId="22" applyNumberFormat="1" applyFill="1" applyBorder="1" applyAlignment="1" applyProtection="1">
      <alignment shrinkToFit="1"/>
      <protection locked="0"/>
    </xf>
    <xf numFmtId="49" fontId="12" fillId="2" borderId="7" xfId="23" applyNumberFormat="1" applyFont="1" applyFill="1" applyBorder="1" applyAlignment="1" applyProtection="1">
      <protection locked="0"/>
    </xf>
    <xf numFmtId="49" fontId="12" fillId="2" borderId="1" xfId="23" applyNumberFormat="1" applyFont="1" applyFill="1" applyBorder="1" applyAlignment="1" applyProtection="1">
      <protection locked="0"/>
    </xf>
    <xf numFmtId="49" fontId="12" fillId="2" borderId="6" xfId="23" applyNumberFormat="1" applyFont="1" applyFill="1" applyBorder="1" applyAlignment="1" applyProtection="1">
      <protection locked="0"/>
    </xf>
    <xf numFmtId="49" fontId="12" fillId="2" borderId="4" xfId="23" applyNumberFormat="1" applyFont="1" applyFill="1" applyBorder="1" applyAlignment="1" applyProtection="1">
      <protection locked="0"/>
    </xf>
    <xf numFmtId="49" fontId="12" fillId="2" borderId="5" xfId="23" applyNumberFormat="1" applyFont="1" applyFill="1" applyBorder="1" applyAlignment="1" applyProtection="1">
      <protection locked="0"/>
    </xf>
    <xf numFmtId="49" fontId="12" fillId="4" borderId="4" xfId="23" applyNumberFormat="1" applyFont="1" applyFill="1" applyBorder="1" applyAlignment="1" applyProtection="1">
      <alignment shrinkToFit="1"/>
      <protection locked="0"/>
    </xf>
    <xf numFmtId="49" fontId="12" fillId="0" borderId="5" xfId="23" applyNumberFormat="1" applyFont="1" applyBorder="1" applyAlignment="1" applyProtection="1">
      <alignment shrinkToFit="1"/>
      <protection locked="0"/>
    </xf>
    <xf numFmtId="49" fontId="12" fillId="0" borderId="6" xfId="23" applyNumberFormat="1" applyFont="1" applyBorder="1" applyAlignment="1" applyProtection="1">
      <alignment shrinkToFit="1"/>
      <protection locked="0"/>
    </xf>
    <xf numFmtId="1" fontId="12" fillId="4" borderId="4" xfId="23" applyNumberFormat="1" applyFont="1" applyFill="1" applyBorder="1" applyAlignment="1" applyProtection="1">
      <alignment shrinkToFit="1"/>
      <protection locked="0"/>
    </xf>
    <xf numFmtId="0" fontId="12" fillId="0" borderId="5" xfId="23" applyFont="1" applyBorder="1" applyAlignment="1" applyProtection="1">
      <alignment shrinkToFit="1"/>
      <protection locked="0"/>
    </xf>
    <xf numFmtId="0" fontId="12" fillId="0" borderId="6" xfId="23" applyFont="1" applyBorder="1" applyAlignment="1" applyProtection="1">
      <alignment shrinkToFit="1"/>
      <protection locked="0"/>
    </xf>
    <xf numFmtId="3" fontId="12" fillId="4" borderId="4" xfId="23" applyNumberFormat="1" applyFont="1" applyFill="1" applyBorder="1" applyAlignment="1" applyProtection="1">
      <alignment horizontal="left" shrinkToFit="1"/>
      <protection locked="0"/>
    </xf>
    <xf numFmtId="3" fontId="12" fillId="0" borderId="5" xfId="23" applyNumberFormat="1" applyFont="1" applyBorder="1" applyAlignment="1" applyProtection="1">
      <alignment horizontal="left" shrinkToFit="1"/>
      <protection locked="0"/>
    </xf>
    <xf numFmtId="3" fontId="12" fillId="0" borderId="6" xfId="23" applyNumberFormat="1" applyFont="1" applyBorder="1" applyAlignment="1" applyProtection="1">
      <alignment horizontal="left" shrinkToFit="1"/>
      <protection locked="0"/>
    </xf>
    <xf numFmtId="0" fontId="13" fillId="0" borderId="0" xfId="0" applyFont="1" applyAlignment="1"/>
    <xf numFmtId="1" fontId="0" fillId="4" borderId="5" xfId="0" quotePrefix="1" applyNumberFormat="1" applyFill="1" applyBorder="1" applyAlignment="1" applyProtection="1">
      <alignment shrinkToFit="1"/>
      <protection locked="0"/>
    </xf>
    <xf numFmtId="1" fontId="0" fillId="4" borderId="6" xfId="0" quotePrefix="1" applyNumberFormat="1" applyFill="1" applyBorder="1" applyAlignment="1" applyProtection="1">
      <alignment shrinkToFit="1"/>
      <protection locked="0"/>
    </xf>
    <xf numFmtId="0" fontId="1" fillId="0" borderId="1" xfId="3" applyFont="1" applyBorder="1" applyAlignment="1">
      <alignment horizontal="center" wrapText="1"/>
    </xf>
  </cellXfs>
  <cellStyles count="31">
    <cellStyle name="Comma" xfId="19" builtinId="3"/>
    <cellStyle name="Comma 2" xfId="5"/>
    <cellStyle name="Comma 3" xfId="15"/>
    <cellStyle name="Comma 4" xfId="26"/>
    <cellStyle name="Currency" xfId="20" builtinId="4"/>
    <cellStyle name="Currency 2" xfId="8"/>
    <cellStyle name="Currency 2 2" xfId="24"/>
    <cellStyle name="Currency 3" xfId="29"/>
    <cellStyle name="Hyperlink" xfId="11" builtinId="8"/>
    <cellStyle name="Hyperlink 2" xfId="17"/>
    <cellStyle name="Hyperlink 3" xfId="22"/>
    <cellStyle name="Normal" xfId="0" builtinId="0"/>
    <cellStyle name="Normal 10" xfId="28"/>
    <cellStyle name="Normal 2" xfId="2"/>
    <cellStyle name="Normal 3" xfId="3"/>
    <cellStyle name="Normal 3 2" xfId="7"/>
    <cellStyle name="Normal 3 3" xfId="10"/>
    <cellStyle name="Normal 3 4" xfId="30"/>
    <cellStyle name="Normal 4" xfId="4"/>
    <cellStyle name="Normal 5" xfId="9"/>
    <cellStyle name="Normal 6" xfId="13"/>
    <cellStyle name="Normal 6 2" xfId="23"/>
    <cellStyle name="Normal 7" xfId="14"/>
    <cellStyle name="Normal 8" xfId="18"/>
    <cellStyle name="Normal 9" xfId="21"/>
    <cellStyle name="Percent" xfId="1" builtinId="5"/>
    <cellStyle name="Percent 10" xfId="25"/>
    <cellStyle name="Percent 2" xfId="6"/>
    <cellStyle name="Percent 2 2" xfId="16"/>
    <cellStyle name="Percent 3" xfId="12"/>
    <cellStyle name="Percent 4"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5.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1.xml"/><Relationship Id="rId79" Type="http://schemas.openxmlformats.org/officeDocument/2006/relationships/externalLink" Target="externalLinks/externalLink16.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externalLink" Target="externalLinks/externalLink6.xml"/><Relationship Id="rId77" Type="http://schemas.openxmlformats.org/officeDocument/2006/relationships/externalLink" Target="externalLinks/externalLink1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9.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7.xml"/><Relationship Id="rId75" Type="http://schemas.openxmlformats.org/officeDocument/2006/relationships/externalLink" Target="externalLinks/externalLink12.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73" Type="http://schemas.openxmlformats.org/officeDocument/2006/relationships/externalLink" Target="externalLinks/externalLink10.xml"/><Relationship Id="rId78" Type="http://schemas.openxmlformats.org/officeDocument/2006/relationships/externalLink" Target="externalLinks/externalLink15.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3.xml"/><Relationship Id="rId7" Type="http://schemas.openxmlformats.org/officeDocument/2006/relationships/worksheet" Target="worksheets/sheet7.xml"/><Relationship Id="rId71" Type="http://schemas.openxmlformats.org/officeDocument/2006/relationships/externalLink" Target="externalLinks/externalLink8.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3.xml"/><Relationship Id="rId61" Type="http://schemas.openxmlformats.org/officeDocument/2006/relationships/worksheet" Target="worksheets/sheet61.xml"/><Relationship Id="rId8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FY2008 - FY2014 Rate Support</a:t>
            </a:r>
          </a:p>
          <a:p>
            <a:pPr>
              <a:defRPr/>
            </a:pPr>
            <a:r>
              <a:rPr lang="en-US" sz="1200" baseline="0"/>
              <a:t>(in millions)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28799531801311"/>
          <c:y val="0.22101851851851856"/>
          <c:w val="0.87140846625634893"/>
          <c:h val="0.54716025080198305"/>
        </c:manualLayout>
      </c:layout>
      <c:lineChart>
        <c:grouping val="standard"/>
        <c:varyColors val="0"/>
        <c:ser>
          <c:idx val="0"/>
          <c:order val="0"/>
          <c:tx>
            <c:strRef>
              <c:f>Charts!$B$23</c:f>
              <c:strCache>
                <c:ptCount val="1"/>
                <c:pt idx="0">
                  <c:v>Charity Care</c:v>
                </c:pt>
              </c:strCache>
            </c:strRef>
          </c:tx>
          <c:spPr>
            <a:ln w="28575" cap="rnd">
              <a:solidFill>
                <a:schemeClr val="accent1"/>
              </a:solidFill>
              <a:round/>
            </a:ln>
            <a:effectLst/>
          </c:spPr>
          <c:marker>
            <c:symbol val="none"/>
          </c:marker>
          <c:cat>
            <c:numRef>
              <c:f>Charts!$A$24:$A$30</c:f>
              <c:numCache>
                <c:formatCode>General</c:formatCode>
                <c:ptCount val="7"/>
                <c:pt idx="0">
                  <c:v>2008</c:v>
                </c:pt>
                <c:pt idx="1">
                  <c:v>2009</c:v>
                </c:pt>
                <c:pt idx="2">
                  <c:v>2010</c:v>
                </c:pt>
                <c:pt idx="3">
                  <c:v>2011</c:v>
                </c:pt>
                <c:pt idx="4">
                  <c:v>2012</c:v>
                </c:pt>
                <c:pt idx="5">
                  <c:v>2013</c:v>
                </c:pt>
                <c:pt idx="6">
                  <c:v>2014</c:v>
                </c:pt>
              </c:numCache>
            </c:numRef>
          </c:cat>
          <c:val>
            <c:numRef>
              <c:f>Charts!$B$24:$B$30</c:f>
              <c:numCache>
                <c:formatCode>"$"#,##0_);[Red]\("$"#,##0\)</c:formatCode>
                <c:ptCount val="7"/>
                <c:pt idx="0">
                  <c:v>256.01314300000001</c:v>
                </c:pt>
                <c:pt idx="1">
                  <c:v>256.01314300000001</c:v>
                </c:pt>
                <c:pt idx="2">
                  <c:v>213.94957400000001</c:v>
                </c:pt>
                <c:pt idx="3">
                  <c:v>374.89863100000002</c:v>
                </c:pt>
                <c:pt idx="4">
                  <c:v>442.00888400000002</c:v>
                </c:pt>
                <c:pt idx="5">
                  <c:v>462.590418</c:v>
                </c:pt>
                <c:pt idx="6">
                  <c:v>463.908838</c:v>
                </c:pt>
              </c:numCache>
            </c:numRef>
          </c:val>
          <c:smooth val="0"/>
        </c:ser>
        <c:ser>
          <c:idx val="1"/>
          <c:order val="1"/>
          <c:tx>
            <c:strRef>
              <c:f>Charts!$C$23</c:f>
              <c:strCache>
                <c:ptCount val="1"/>
                <c:pt idx="0">
                  <c:v>DME</c:v>
                </c:pt>
              </c:strCache>
            </c:strRef>
          </c:tx>
          <c:spPr>
            <a:ln w="28575" cap="rnd">
              <a:solidFill>
                <a:schemeClr val="accent2"/>
              </a:solidFill>
              <a:round/>
            </a:ln>
            <a:effectLst/>
          </c:spPr>
          <c:marker>
            <c:symbol val="none"/>
          </c:marker>
          <c:cat>
            <c:numRef>
              <c:f>Charts!$A$24:$A$30</c:f>
              <c:numCache>
                <c:formatCode>General</c:formatCode>
                <c:ptCount val="7"/>
                <c:pt idx="0">
                  <c:v>2008</c:v>
                </c:pt>
                <c:pt idx="1">
                  <c:v>2009</c:v>
                </c:pt>
                <c:pt idx="2">
                  <c:v>2010</c:v>
                </c:pt>
                <c:pt idx="3">
                  <c:v>2011</c:v>
                </c:pt>
                <c:pt idx="4">
                  <c:v>2012</c:v>
                </c:pt>
                <c:pt idx="5">
                  <c:v>2013</c:v>
                </c:pt>
                <c:pt idx="6">
                  <c:v>2014</c:v>
                </c:pt>
              </c:numCache>
            </c:numRef>
          </c:cat>
          <c:val>
            <c:numRef>
              <c:f>Charts!$C$24:$C$30</c:f>
              <c:numCache>
                <c:formatCode>"$"#,##0_);[Red]\("$"#,##0\)</c:formatCode>
                <c:ptCount val="7"/>
                <c:pt idx="0">
                  <c:v>179.09372200000001</c:v>
                </c:pt>
                <c:pt idx="1">
                  <c:v>213.57390000000001</c:v>
                </c:pt>
                <c:pt idx="2">
                  <c:v>211.86369999999999</c:v>
                </c:pt>
                <c:pt idx="3">
                  <c:v>235.386426</c:v>
                </c:pt>
                <c:pt idx="4">
                  <c:v>272.34654399999999</c:v>
                </c:pt>
                <c:pt idx="5">
                  <c:v>316.213911</c:v>
                </c:pt>
                <c:pt idx="6">
                  <c:v>294.40706</c:v>
                </c:pt>
              </c:numCache>
            </c:numRef>
          </c:val>
          <c:smooth val="0"/>
        </c:ser>
        <c:ser>
          <c:idx val="2"/>
          <c:order val="2"/>
          <c:tx>
            <c:strRef>
              <c:f>Charts!$D$23</c:f>
              <c:strCache>
                <c:ptCount val="1"/>
                <c:pt idx="0">
                  <c:v>NSP (1)</c:v>
                </c:pt>
              </c:strCache>
            </c:strRef>
          </c:tx>
          <c:spPr>
            <a:ln w="28575" cap="rnd">
              <a:solidFill>
                <a:schemeClr val="accent3"/>
              </a:solidFill>
              <a:round/>
            </a:ln>
            <a:effectLst/>
          </c:spPr>
          <c:marker>
            <c:symbol val="none"/>
          </c:marker>
          <c:cat>
            <c:numRef>
              <c:f>Charts!$A$24:$A$30</c:f>
              <c:numCache>
                <c:formatCode>General</c:formatCode>
                <c:ptCount val="7"/>
                <c:pt idx="0">
                  <c:v>2008</c:v>
                </c:pt>
                <c:pt idx="1">
                  <c:v>2009</c:v>
                </c:pt>
                <c:pt idx="2">
                  <c:v>2010</c:v>
                </c:pt>
                <c:pt idx="3">
                  <c:v>2011</c:v>
                </c:pt>
                <c:pt idx="4">
                  <c:v>2012</c:v>
                </c:pt>
                <c:pt idx="5">
                  <c:v>2013</c:v>
                </c:pt>
                <c:pt idx="6">
                  <c:v>2014</c:v>
                </c:pt>
              </c:numCache>
            </c:numRef>
          </c:cat>
          <c:val>
            <c:numRef>
              <c:f>Charts!$D$24:$D$30</c:f>
              <c:numCache>
                <c:formatCode>"$"#,##0_);[Red]\("$"#,##0\)</c:formatCode>
                <c:ptCount val="7"/>
                <c:pt idx="0">
                  <c:v>10.019409</c:v>
                </c:pt>
                <c:pt idx="1">
                  <c:v>10.641292999999999</c:v>
                </c:pt>
                <c:pt idx="2">
                  <c:v>11.676030000000001</c:v>
                </c:pt>
                <c:pt idx="3">
                  <c:v>12.317156000000001</c:v>
                </c:pt>
                <c:pt idx="4">
                  <c:v>12.259686</c:v>
                </c:pt>
                <c:pt idx="5">
                  <c:v>13.303674000000001</c:v>
                </c:pt>
                <c:pt idx="6">
                  <c:v>15.140921000000001</c:v>
                </c:pt>
              </c:numCache>
            </c:numRef>
          </c:val>
          <c:smooth val="0"/>
        </c:ser>
        <c:dLbls>
          <c:showLegendKey val="0"/>
          <c:showVal val="0"/>
          <c:showCatName val="0"/>
          <c:showSerName val="0"/>
          <c:showPercent val="0"/>
          <c:showBubbleSize val="0"/>
        </c:dLbls>
        <c:smooth val="0"/>
        <c:axId val="348094096"/>
        <c:axId val="430681744"/>
      </c:lineChart>
      <c:catAx>
        <c:axId val="34809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681744"/>
        <c:crosses val="autoZero"/>
        <c:auto val="1"/>
        <c:lblAlgn val="ctr"/>
        <c:lblOffset val="100"/>
        <c:noMultiLvlLbl val="0"/>
      </c:catAx>
      <c:valAx>
        <c:axId val="43068174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094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FY2008-FY2014</a:t>
            </a:r>
            <a:r>
              <a:rPr lang="en-US" baseline="0"/>
              <a:t> CB Expense</a:t>
            </a:r>
          </a:p>
          <a:p>
            <a:pPr>
              <a:defRPr/>
            </a:pPr>
            <a:r>
              <a:rPr lang="en-US" sz="1100" baseline="0"/>
              <a:t>(in millions)</a:t>
            </a:r>
            <a:endParaRPr lang="en-US" sz="1100"/>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Charts!$B$41</c:f>
              <c:strCache>
                <c:ptCount val="1"/>
                <c:pt idx="0">
                  <c:v>CB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Charts!$A$42:$A$48</c:f>
              <c:numCache>
                <c:formatCode>General</c:formatCode>
                <c:ptCount val="7"/>
                <c:pt idx="0">
                  <c:v>2008</c:v>
                </c:pt>
                <c:pt idx="1">
                  <c:v>2009</c:v>
                </c:pt>
                <c:pt idx="2">
                  <c:v>2010</c:v>
                </c:pt>
                <c:pt idx="3">
                  <c:v>2011</c:v>
                </c:pt>
                <c:pt idx="4">
                  <c:v>2012</c:v>
                </c:pt>
                <c:pt idx="5">
                  <c:v>2013</c:v>
                </c:pt>
                <c:pt idx="6">
                  <c:v>2014</c:v>
                </c:pt>
              </c:numCache>
            </c:numRef>
          </c:cat>
          <c:val>
            <c:numRef>
              <c:f>Charts!$B$42:$B$48</c:f>
              <c:numCache>
                <c:formatCode>"$"#,##0_);[Red]\("$"#,##0\)</c:formatCode>
                <c:ptCount val="7"/>
                <c:pt idx="0">
                  <c:v>861.08739786232854</c:v>
                </c:pt>
                <c:pt idx="1">
                  <c:v>946.2381640606277</c:v>
                </c:pt>
                <c:pt idx="2">
                  <c:v>1051.0517503757258</c:v>
                </c:pt>
                <c:pt idx="3">
                  <c:v>1203.0176928095927</c:v>
                </c:pt>
                <c:pt idx="4">
                  <c:v>1378.3019303951344</c:v>
                </c:pt>
                <c:pt idx="5">
                  <c:v>1505.554321846221</c:v>
                </c:pt>
                <c:pt idx="6">
                  <c:v>1498.125311</c:v>
                </c:pt>
              </c:numCache>
            </c:numRef>
          </c:val>
        </c:ser>
        <c:ser>
          <c:idx val="1"/>
          <c:order val="1"/>
          <c:tx>
            <c:strRef>
              <c:f>Charts!$C$41</c:f>
              <c:strCache>
                <c:ptCount val="1"/>
                <c:pt idx="0">
                  <c:v>CB Expense Less Rate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Charts!$A$42:$A$48</c:f>
              <c:numCache>
                <c:formatCode>General</c:formatCode>
                <c:ptCount val="7"/>
                <c:pt idx="0">
                  <c:v>2008</c:v>
                </c:pt>
                <c:pt idx="1">
                  <c:v>2009</c:v>
                </c:pt>
                <c:pt idx="2">
                  <c:v>2010</c:v>
                </c:pt>
                <c:pt idx="3">
                  <c:v>2011</c:v>
                </c:pt>
                <c:pt idx="4">
                  <c:v>2012</c:v>
                </c:pt>
                <c:pt idx="5">
                  <c:v>2013</c:v>
                </c:pt>
                <c:pt idx="6">
                  <c:v>2014</c:v>
                </c:pt>
              </c:numCache>
            </c:numRef>
          </c:cat>
          <c:val>
            <c:numRef>
              <c:f>Charts!$C$42:$C$48</c:f>
              <c:numCache>
                <c:formatCode>"$"#,##0_);[Red]\("$"#,##0\)</c:formatCode>
                <c:ptCount val="7"/>
                <c:pt idx="0">
                  <c:v>415.96112386232852</c:v>
                </c:pt>
                <c:pt idx="1">
                  <c:v>466.00982806062768</c:v>
                </c:pt>
                <c:pt idx="2">
                  <c:v>613.56244637572581</c:v>
                </c:pt>
                <c:pt idx="3">
                  <c:v>580.41547980959274</c:v>
                </c:pt>
                <c:pt idx="4">
                  <c:v>651.68681639513431</c:v>
                </c:pt>
                <c:pt idx="5">
                  <c:v>713.44631884622095</c:v>
                </c:pt>
                <c:pt idx="6">
                  <c:v>724.6684919999999</c:v>
                </c:pt>
              </c:numCache>
            </c:numRef>
          </c:val>
        </c:ser>
        <c:dLbls>
          <c:showLegendKey val="0"/>
          <c:showVal val="0"/>
          <c:showCatName val="0"/>
          <c:showSerName val="0"/>
          <c:showPercent val="0"/>
          <c:showBubbleSize val="0"/>
        </c:dLbls>
        <c:gapWidth val="219"/>
        <c:overlap val="-27"/>
        <c:axId val="430682528"/>
        <c:axId val="430682920"/>
      </c:barChart>
      <c:catAx>
        <c:axId val="43068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682920"/>
        <c:crosses val="autoZero"/>
        <c:auto val="1"/>
        <c:lblAlgn val="ctr"/>
        <c:lblOffset val="100"/>
        <c:noMultiLvlLbl val="0"/>
      </c:catAx>
      <c:valAx>
        <c:axId val="4306829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682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latin typeface="+mn-lt"/>
                <a:ea typeface="+mn-ea"/>
                <a:cs typeface="+mn-cs"/>
              </a:rPr>
              <a:t>FY2008-FY2014     </a:t>
            </a:r>
          </a:p>
          <a:p>
            <a:pPr algn="ctr" rtl="0">
              <a:defRPr lang="en-US">
                <a:solidFill>
                  <a:sysClr val="windowText" lastClr="000000">
                    <a:lumMod val="65000"/>
                    <a:lumOff val="35000"/>
                  </a:sysClr>
                </a:solidFill>
              </a:defRPr>
            </a:pPr>
            <a:r>
              <a:rPr lang="en-US" sz="1400" b="0" i="0" u="none" strike="noStrike" kern="1200" spc="0" baseline="0">
                <a:solidFill>
                  <a:sysClr val="windowText" lastClr="000000">
                    <a:lumMod val="65000"/>
                    <a:lumOff val="35000"/>
                  </a:sysClr>
                </a:solidFill>
                <a:latin typeface="+mn-lt"/>
                <a:ea typeface="+mn-ea"/>
                <a:cs typeface="+mn-cs"/>
              </a:rPr>
              <a:t> % of Operating Expense</a:t>
            </a:r>
          </a:p>
        </c:rich>
      </c:tx>
      <c:layout>
        <c:manualLayout>
          <c:xMode val="edge"/>
          <c:yMode val="edge"/>
          <c:x val="0.28953008489001641"/>
          <c:y val="3.2407407407407406E-2"/>
        </c:manualLayout>
      </c:layout>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Charts!$B$64</c:f>
              <c:strCache>
                <c:ptCount val="1"/>
                <c:pt idx="0">
                  <c:v>% of Operating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Charts!$A$65:$A$71</c:f>
              <c:numCache>
                <c:formatCode>General</c:formatCode>
                <c:ptCount val="7"/>
                <c:pt idx="0">
                  <c:v>2008</c:v>
                </c:pt>
                <c:pt idx="1">
                  <c:v>2009</c:v>
                </c:pt>
                <c:pt idx="2">
                  <c:v>2010</c:v>
                </c:pt>
                <c:pt idx="3">
                  <c:v>2011</c:v>
                </c:pt>
                <c:pt idx="4">
                  <c:v>2012</c:v>
                </c:pt>
                <c:pt idx="5">
                  <c:v>2013</c:v>
                </c:pt>
                <c:pt idx="6">
                  <c:v>2014</c:v>
                </c:pt>
              </c:numCache>
            </c:numRef>
          </c:cat>
          <c:val>
            <c:numRef>
              <c:f>Charts!$B$65:$B$71</c:f>
              <c:numCache>
                <c:formatCode>0.0%</c:formatCode>
                <c:ptCount val="7"/>
                <c:pt idx="0">
                  <c:v>7.2237367452969423E-2</c:v>
                </c:pt>
                <c:pt idx="1">
                  <c:v>7.6047485522008823E-2</c:v>
                </c:pt>
                <c:pt idx="2">
                  <c:v>8.3101643398462613E-2</c:v>
                </c:pt>
                <c:pt idx="3">
                  <c:v>9.2258868211991238E-2</c:v>
                </c:pt>
                <c:pt idx="4">
                  <c:v>0.10185384603002651</c:v>
                </c:pt>
                <c:pt idx="5">
                  <c:v>0.1104988049791147</c:v>
                </c:pt>
                <c:pt idx="6">
                  <c:v>0.10620841479725308</c:v>
                </c:pt>
              </c:numCache>
            </c:numRef>
          </c:val>
        </c:ser>
        <c:ser>
          <c:idx val="1"/>
          <c:order val="1"/>
          <c:tx>
            <c:strRef>
              <c:f>Charts!$C$64</c:f>
              <c:strCache>
                <c:ptCount val="1"/>
                <c:pt idx="0">
                  <c:v>% of Operating Expense less rate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Charts!$A$65:$A$71</c:f>
              <c:numCache>
                <c:formatCode>General</c:formatCode>
                <c:ptCount val="7"/>
                <c:pt idx="0">
                  <c:v>2008</c:v>
                </c:pt>
                <c:pt idx="1">
                  <c:v>2009</c:v>
                </c:pt>
                <c:pt idx="2">
                  <c:v>2010</c:v>
                </c:pt>
                <c:pt idx="3">
                  <c:v>2011</c:v>
                </c:pt>
                <c:pt idx="4">
                  <c:v>2012</c:v>
                </c:pt>
                <c:pt idx="5">
                  <c:v>2013</c:v>
                </c:pt>
                <c:pt idx="6">
                  <c:v>2014</c:v>
                </c:pt>
              </c:numCache>
            </c:numRef>
          </c:cat>
          <c:val>
            <c:numRef>
              <c:f>Charts!$C$65:$C$71</c:f>
              <c:numCache>
                <c:formatCode>0.0%</c:formatCode>
                <c:ptCount val="7"/>
                <c:pt idx="0">
                  <c:v>3.4895338876388064E-2</c:v>
                </c:pt>
                <c:pt idx="1">
                  <c:v>3.7452384609466836E-2</c:v>
                </c:pt>
                <c:pt idx="2">
                  <c:v>4.8511453030906329E-2</c:v>
                </c:pt>
                <c:pt idx="3">
                  <c:v>4.4511793617010624E-2</c:v>
                </c:pt>
                <c:pt idx="4">
                  <c:v>4.8158394901093353E-2</c:v>
                </c:pt>
                <c:pt idx="5">
                  <c:v>5.2362750719338144E-2</c:v>
                </c:pt>
                <c:pt idx="6">
                  <c:v>5.1374802377152994E-2</c:v>
                </c:pt>
              </c:numCache>
            </c:numRef>
          </c:val>
        </c:ser>
        <c:dLbls>
          <c:dLblPos val="outEnd"/>
          <c:showLegendKey val="0"/>
          <c:showVal val="1"/>
          <c:showCatName val="0"/>
          <c:showSerName val="0"/>
          <c:showPercent val="0"/>
          <c:showBubbleSize val="0"/>
        </c:dLbls>
        <c:gapWidth val="219"/>
        <c:overlap val="-27"/>
        <c:axId val="430685272"/>
        <c:axId val="428672216"/>
      </c:barChart>
      <c:catAx>
        <c:axId val="43068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8672216"/>
        <c:crosses val="autoZero"/>
        <c:auto val="1"/>
        <c:lblAlgn val="ctr"/>
        <c:lblOffset val="100"/>
        <c:noMultiLvlLbl val="0"/>
      </c:catAx>
      <c:valAx>
        <c:axId val="428672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6852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FY14 Percent of CB expenditures with and without rate support</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Charts!$B$2</c:f>
              <c:strCache>
                <c:ptCount val="1"/>
                <c:pt idx="0">
                  <c:v>Percent of Total CB Expenditures</c:v>
                </c:pt>
              </c:strCache>
            </c:strRef>
          </c:tx>
          <c:spPr>
            <a:gradFill>
              <a:gsLst>
                <a:gs pos="100000">
                  <a:schemeClr val="accent1">
                    <a:alpha val="0"/>
                  </a:schemeClr>
                </a:gs>
                <a:gs pos="50000">
                  <a:schemeClr val="accent1"/>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Charts!$A$3:$A$12</c:f>
              <c:strCache>
                <c:ptCount val="10"/>
                <c:pt idx="0">
                  <c:v>Charity Care *</c:v>
                </c:pt>
                <c:pt idx="1">
                  <c:v>Health Professions Education *</c:v>
                </c:pt>
                <c:pt idx="2">
                  <c:v>Mission Driven Health Services</c:v>
                </c:pt>
                <c:pt idx="3">
                  <c:v>Community Health Services</c:v>
                </c:pt>
                <c:pt idx="4">
                  <c:v>Unreimbursed Medicaid Cost</c:v>
                </c:pt>
                <c:pt idx="5">
                  <c:v>Community Building</c:v>
                </c:pt>
                <c:pt idx="6">
                  <c:v>Financial Contributions</c:v>
                </c:pt>
                <c:pt idx="7">
                  <c:v>Research</c:v>
                </c:pt>
                <c:pt idx="8">
                  <c:v>Community Benefit Operations</c:v>
                </c:pt>
                <c:pt idx="9">
                  <c:v>Foundation</c:v>
                </c:pt>
              </c:strCache>
            </c:strRef>
          </c:cat>
          <c:val>
            <c:numRef>
              <c:f>Charts!$B$3:$B$12</c:f>
              <c:numCache>
                <c:formatCode>0%</c:formatCode>
                <c:ptCount val="10"/>
                <c:pt idx="0">
                  <c:v>0.32300000000000001</c:v>
                </c:pt>
                <c:pt idx="1">
                  <c:v>0.28100000000000003</c:v>
                </c:pt>
                <c:pt idx="2">
                  <c:v>0.26300000000000001</c:v>
                </c:pt>
                <c:pt idx="3">
                  <c:v>5.8000000000000003E-2</c:v>
                </c:pt>
                <c:pt idx="4">
                  <c:v>0.04</c:v>
                </c:pt>
                <c:pt idx="5">
                  <c:v>1.2E-2</c:v>
                </c:pt>
                <c:pt idx="6">
                  <c:v>1.0999999999999999E-2</c:v>
                </c:pt>
                <c:pt idx="7">
                  <c:v>7.0000000000000001E-3</c:v>
                </c:pt>
                <c:pt idx="8">
                  <c:v>6.0000000000000001E-3</c:v>
                </c:pt>
                <c:pt idx="9">
                  <c:v>1E-3</c:v>
                </c:pt>
              </c:numCache>
            </c:numRef>
          </c:val>
        </c:ser>
        <c:ser>
          <c:idx val="1"/>
          <c:order val="1"/>
          <c:tx>
            <c:strRef>
              <c:f>Charts!$C$2</c:f>
              <c:strCache>
                <c:ptCount val="1"/>
                <c:pt idx="0">
                  <c:v>Percent of Total CB Expenditures w/o Rate Support</c:v>
                </c:pt>
              </c:strCache>
            </c:strRef>
          </c:tx>
          <c:spPr>
            <a:gradFill>
              <a:gsLst>
                <a:gs pos="100000">
                  <a:schemeClr val="accent2">
                    <a:alpha val="0"/>
                  </a:schemeClr>
                </a:gs>
                <a:gs pos="50000">
                  <a:schemeClr val="accent2"/>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Charts!$A$3:$A$12</c:f>
              <c:strCache>
                <c:ptCount val="10"/>
                <c:pt idx="0">
                  <c:v>Charity Care *</c:v>
                </c:pt>
                <c:pt idx="1">
                  <c:v>Health Professions Education *</c:v>
                </c:pt>
                <c:pt idx="2">
                  <c:v>Mission Driven Health Services</c:v>
                </c:pt>
                <c:pt idx="3">
                  <c:v>Community Health Services</c:v>
                </c:pt>
                <c:pt idx="4">
                  <c:v>Unreimbursed Medicaid Cost</c:v>
                </c:pt>
                <c:pt idx="5">
                  <c:v>Community Building</c:v>
                </c:pt>
                <c:pt idx="6">
                  <c:v>Financial Contributions</c:v>
                </c:pt>
                <c:pt idx="7">
                  <c:v>Research</c:v>
                </c:pt>
                <c:pt idx="8">
                  <c:v>Community Benefit Operations</c:v>
                </c:pt>
                <c:pt idx="9">
                  <c:v>Foundation</c:v>
                </c:pt>
              </c:strCache>
            </c:strRef>
          </c:cat>
          <c:val>
            <c:numRef>
              <c:f>Charts!$C$3:$C$12</c:f>
              <c:numCache>
                <c:formatCode>0%</c:formatCode>
                <c:ptCount val="10"/>
                <c:pt idx="0">
                  <c:v>2.7E-2</c:v>
                </c:pt>
                <c:pt idx="1">
                  <c:v>0.153</c:v>
                </c:pt>
                <c:pt idx="2">
                  <c:v>0.54300000000000004</c:v>
                </c:pt>
                <c:pt idx="3">
                  <c:v>0.11899999999999999</c:v>
                </c:pt>
                <c:pt idx="4">
                  <c:v>8.2000000000000003E-2</c:v>
                </c:pt>
                <c:pt idx="5">
                  <c:v>2.4E-2</c:v>
                </c:pt>
                <c:pt idx="6">
                  <c:v>2.3E-2</c:v>
                </c:pt>
                <c:pt idx="7">
                  <c:v>1.4E-2</c:v>
                </c:pt>
                <c:pt idx="8">
                  <c:v>1.2E-2</c:v>
                </c:pt>
                <c:pt idx="9">
                  <c:v>3.0000000000000001E-3</c:v>
                </c:pt>
              </c:numCache>
            </c:numRef>
          </c:val>
        </c:ser>
        <c:dLbls>
          <c:showLegendKey val="0"/>
          <c:showVal val="1"/>
          <c:showCatName val="0"/>
          <c:showSerName val="0"/>
          <c:showPercent val="0"/>
          <c:showBubbleSize val="0"/>
        </c:dLbls>
        <c:gapWidth val="150"/>
        <c:gapDepth val="0"/>
        <c:shape val="box"/>
        <c:axId val="430684880"/>
        <c:axId val="430684488"/>
        <c:axId val="0"/>
      </c:bar3DChart>
      <c:catAx>
        <c:axId val="4306848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684488"/>
        <c:crosses val="autoZero"/>
        <c:auto val="1"/>
        <c:lblAlgn val="ctr"/>
        <c:lblOffset val="100"/>
        <c:noMultiLvlLbl val="0"/>
      </c:catAx>
      <c:valAx>
        <c:axId val="430684488"/>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684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tx1"/>
    </cs:fontRef>
    <cs:spPr>
      <a:gradFill>
        <a:gsLst>
          <a:gs pos="100000">
            <a:schemeClr val="phClr">
              <a:alpha val="0"/>
            </a:schemeClr>
          </a:gs>
          <a:gs pos="50000">
            <a:schemeClr val="phClr"/>
          </a:gs>
        </a:gsLst>
        <a:lin ang="5400000" scaled="0"/>
      </a:gradFill>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tx1">
            <a:lumMod val="5000"/>
            <a:lumOff val="9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15876</xdr:colOff>
      <xdr:row>20</xdr:row>
      <xdr:rowOff>15875</xdr:rowOff>
    </xdr:from>
    <xdr:to>
      <xdr:col>13</xdr:col>
      <xdr:colOff>555626</xdr:colOff>
      <xdr:row>37</xdr:row>
      <xdr:rowOff>15875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1111250</xdr:colOff>
      <xdr:row>38</xdr:row>
      <xdr:rowOff>142875</xdr:rowOff>
    </xdr:from>
    <xdr:to>
      <xdr:col>14</xdr:col>
      <xdr:colOff>31750</xdr:colOff>
      <xdr:row>58</xdr:row>
      <xdr:rowOff>142874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1016000</xdr:colOff>
      <xdr:row>63</xdr:row>
      <xdr:rowOff>26193</xdr:rowOff>
    </xdr:from>
    <xdr:to>
      <xdr:col>13</xdr:col>
      <xdr:colOff>571499</xdr:colOff>
      <xdr:row>83</xdr:row>
      <xdr:rowOff>111125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984250</xdr:colOff>
      <xdr:row>1</xdr:row>
      <xdr:rowOff>3970</xdr:rowOff>
    </xdr:from>
    <xdr:to>
      <xdr:col>14</xdr:col>
      <xdr:colOff>174625</xdr:colOff>
      <xdr:row>13</xdr:row>
      <xdr:rowOff>79375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waugustin\Local%20Settings\Temp\DOCUME~1\GHEMIN~1\LOCALS~1\Temp\UMMS_BudBk_FY06_draftv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JACOBS\AppData\Local\Temp\XPgrpwise\XPgrpwise\fy14-Deficit-Assessment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JACOBS\AppData\Local\Temp\XPgrpwise\XPgrpwise\Community%20Benefit%20FY%2014%20YTD%20Contribution%20Prelim%2010-2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Community%20Benefit\Community%20Benefit%20SFY%202014\AHC%20CB%20List%202014%20(sort%20by%20categor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mmunity%20Benefit\Community%20Benefit%20SFY%202014\Direct%20Costs%20201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JACOBS\AppData\Local\Temp\XPgrpwise\MHE%20DGH%20Inventory%202014%20FF%20FY14%20FINAL%20%20Draft%201106201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theis\AppData\Local\Microsoft\Windows\Temporary%20Internet%20Files\Content.Outlook\CQET0MWQ\CBR%20FY14%20To%20Financ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Amanda\CommunityBenefitsReports\FY14%20Reports\UM%20St.%20Joseph-Inventory%20Too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ATES\ANU_FILE\FY%202011\UMMC\UMH\Annual%20Filing%20Model\UMH%20AF_2011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s\CLIENTS%20-%20DATA%20FILES\2015\UMMS\Annual%20Filings%20FY%2014\SJMC\SJMC%20Annual%20Filing%202014_Final2%20(unlink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MAS\MASTER\FY03\Control%20Structure\Control%20Structure%20FY03%20060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9%20HSCRC\Annual%20Report%202009\Submission%202009\0010%20DGH%20AF_2009%20Submission%201103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ATES\ANU_FILE\FY%202008\UMMC\UMH\AF_2008_UMH%20v2%20Sequence%201A%20110408_LOCK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ATES\ANU_FILE\FY%202008\JLK\JLK%20-%20AF_2008%20(Volume%20Adjustmen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Amanda\CommunityBenefitsReports\FY13Reports\from%20Bernadette%20Spallitta\HSCRC-FY2013-CB-Data-Report%20Revise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manda\CommunityBenefitsReports\fy11%20Reports\FY11CB_tot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6 BUD IS"/>
      <sheetName val="p7 CONS IS"/>
      <sheetName val="p8 CONS BS"/>
      <sheetName val="p9 NARF"/>
      <sheetName val="p10 CF"/>
      <sheetName val="p11 EBIDA"/>
      <sheetName val="p12 RATIOS"/>
      <sheetName val="p13 SRCS"/>
      <sheetName val="p14 USES"/>
      <sheetName val="p26 UMSH IS"/>
      <sheetName val="p27 JLK IS"/>
      <sheetName val="p28 MGHS IS"/>
      <sheetName val="p29 NAHS IS"/>
      <sheetName val="is fy01"/>
      <sheetName val="is fy02"/>
      <sheetName val="is fy03"/>
      <sheetName val="is fy04"/>
      <sheetName val="proj bs"/>
      <sheetName val="bud bs"/>
      <sheetName val="proj is"/>
      <sheetName val="bud is"/>
      <sheetName val="GAAP JE"/>
      <sheetName val="ELIMS"/>
      <sheetName val="Ummcsh"/>
      <sheetName val="UMMCSH ratios for hank"/>
      <sheetName val="UCare"/>
      <sheetName val="Kernan"/>
      <sheetName val="Kern End"/>
      <sheetName val="MGHS"/>
      <sheetName val="NAHS"/>
      <sheetName val="Fdtn"/>
      <sheetName val="Shipl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0">
          <cell r="D10">
            <v>28157124.584341805</v>
          </cell>
          <cell r="E10">
            <v>32927494.222276699</v>
          </cell>
        </row>
        <row r="55">
          <cell r="D55">
            <v>4783675.071713727</v>
          </cell>
          <cell r="E55">
            <v>5594123.5339313261</v>
          </cell>
        </row>
        <row r="56">
          <cell r="D56">
            <v>843319.75992896839</v>
          </cell>
          <cell r="E56">
            <v>986194.68189713184</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4 Summary"/>
      <sheetName val="FY 14 (Adj for Rpt) "/>
      <sheetName val="FY 14"/>
      <sheetName val="Salary from Payroll FY14"/>
      <sheetName val="FY13 Summary"/>
      <sheetName val="Salary from Payroll FY13"/>
      <sheetName val="FY 13 (Adj for Rpt)"/>
      <sheetName val="FY 13"/>
      <sheetName val="FY 12"/>
      <sheetName val="FY11"/>
      <sheetName val="FY 09"/>
      <sheetName val="FY 08"/>
      <sheetName val="FY 07"/>
      <sheetName val="FY 06"/>
      <sheetName val="FY 05"/>
      <sheetName val="FY04"/>
    </sheetNames>
    <sheetDataSet>
      <sheetData sheetId="0">
        <row r="29">
          <cell r="A29" t="str">
            <v>A10</v>
          </cell>
          <cell r="B29">
            <v>28316.5</v>
          </cell>
          <cell r="C29">
            <v>32.5</v>
          </cell>
          <cell r="D29">
            <v>39879.5</v>
          </cell>
          <cell r="E29">
            <v>1321571.6305987078</v>
          </cell>
          <cell r="F29">
            <v>636714</v>
          </cell>
        </row>
        <row r="30">
          <cell r="A30" t="str">
            <v>A11</v>
          </cell>
          <cell r="B30">
            <v>163</v>
          </cell>
          <cell r="C30">
            <v>32.5</v>
          </cell>
          <cell r="D30">
            <v>490</v>
          </cell>
          <cell r="E30">
            <v>4066.0845987077446</v>
          </cell>
          <cell r="F30">
            <v>0</v>
          </cell>
        </row>
        <row r="31">
          <cell r="A31" t="str">
            <v>A21</v>
          </cell>
          <cell r="B31">
            <v>0</v>
          </cell>
          <cell r="C31">
            <v>0</v>
          </cell>
          <cell r="D31">
            <v>0</v>
          </cell>
          <cell r="E31">
            <v>0</v>
          </cell>
          <cell r="F31">
            <v>0</v>
          </cell>
        </row>
        <row r="32">
          <cell r="A32" t="str">
            <v>A24</v>
          </cell>
          <cell r="B32">
            <v>4368</v>
          </cell>
          <cell r="C32">
            <v>843</v>
          </cell>
          <cell r="D32">
            <v>511</v>
          </cell>
          <cell r="E32">
            <v>148193.03200000001</v>
          </cell>
          <cell r="F32">
            <v>18813</v>
          </cell>
        </row>
        <row r="33">
          <cell r="A33" t="str">
            <v>B10</v>
          </cell>
          <cell r="B33">
            <v>8421.25</v>
          </cell>
          <cell r="C33">
            <v>0</v>
          </cell>
          <cell r="D33">
            <v>0</v>
          </cell>
          <cell r="E33">
            <v>368091.97904968262</v>
          </cell>
          <cell r="F33">
            <v>0</v>
          </cell>
        </row>
        <row r="34">
          <cell r="A34" t="str">
            <v>C10</v>
          </cell>
          <cell r="B34">
            <v>0</v>
          </cell>
          <cell r="C34">
            <v>0</v>
          </cell>
          <cell r="D34">
            <v>0</v>
          </cell>
          <cell r="E34">
            <v>0</v>
          </cell>
          <cell r="F34">
            <v>0</v>
          </cell>
        </row>
        <row r="35">
          <cell r="A35" t="str">
            <v>E10</v>
          </cell>
          <cell r="B35">
            <v>520</v>
          </cell>
          <cell r="C35">
            <v>0</v>
          </cell>
          <cell r="D35">
            <v>242.5</v>
          </cell>
          <cell r="E35">
            <v>16306.108</v>
          </cell>
          <cell r="F35">
            <v>33890</v>
          </cell>
        </row>
        <row r="36">
          <cell r="A36" t="str">
            <v>E30</v>
          </cell>
          <cell r="B36">
            <v>0</v>
          </cell>
          <cell r="C36">
            <v>0</v>
          </cell>
          <cell r="D36">
            <v>2000</v>
          </cell>
          <cell r="E36">
            <v>0</v>
          </cell>
          <cell r="F36">
            <v>0</v>
          </cell>
        </row>
        <row r="37">
          <cell r="A37" t="str">
            <v>F10</v>
          </cell>
          <cell r="B37">
            <v>104</v>
          </cell>
          <cell r="C37">
            <v>28</v>
          </cell>
          <cell r="D37">
            <v>2400</v>
          </cell>
          <cell r="E37">
            <v>3990.4696000000004</v>
          </cell>
          <cell r="F37">
            <v>6440</v>
          </cell>
        </row>
        <row r="38">
          <cell r="A38" t="str">
            <v>F20</v>
          </cell>
          <cell r="B38">
            <v>324</v>
          </cell>
          <cell r="C38">
            <v>0</v>
          </cell>
          <cell r="D38">
            <v>0</v>
          </cell>
          <cell r="E38">
            <v>51943.68</v>
          </cell>
          <cell r="F38">
            <v>0</v>
          </cell>
        </row>
        <row r="39">
          <cell r="A39" t="str">
            <v>F30</v>
          </cell>
          <cell r="B39">
            <v>0</v>
          </cell>
          <cell r="C39">
            <v>0</v>
          </cell>
          <cell r="D39">
            <v>0</v>
          </cell>
          <cell r="E39">
            <v>0</v>
          </cell>
          <cell r="F39">
            <v>0</v>
          </cell>
        </row>
        <row r="40">
          <cell r="A40" t="str">
            <v>F40</v>
          </cell>
          <cell r="B40">
            <v>1872</v>
          </cell>
          <cell r="C40">
            <v>0</v>
          </cell>
          <cell r="D40">
            <v>0</v>
          </cell>
          <cell r="E40">
            <v>71828.452799999999</v>
          </cell>
          <cell r="F40">
            <v>6100</v>
          </cell>
        </row>
        <row r="41">
          <cell r="A41" t="str">
            <v>F80</v>
          </cell>
          <cell r="B41">
            <v>2162</v>
          </cell>
          <cell r="C41">
            <v>0</v>
          </cell>
          <cell r="D41">
            <v>418</v>
          </cell>
          <cell r="E41">
            <v>145947.13961791992</v>
          </cell>
          <cell r="F41">
            <v>71500</v>
          </cell>
        </row>
        <row r="42">
          <cell r="A42" t="str">
            <v>F60</v>
          </cell>
          <cell r="B42">
            <v>324</v>
          </cell>
          <cell r="C42">
            <v>0</v>
          </cell>
          <cell r="D42">
            <v>0</v>
          </cell>
          <cell r="E42">
            <v>51943.68</v>
          </cell>
          <cell r="F42">
            <v>0</v>
          </cell>
        </row>
        <row r="43">
          <cell r="A43" t="str">
            <v>G10</v>
          </cell>
          <cell r="B43">
            <v>1164</v>
          </cell>
          <cell r="C43">
            <v>0</v>
          </cell>
          <cell r="D43">
            <v>0</v>
          </cell>
          <cell r="E43">
            <v>74950.73</v>
          </cell>
          <cell r="F43">
            <v>15000</v>
          </cell>
        </row>
        <row r="44">
          <cell r="A44" t="str">
            <v>G20</v>
          </cell>
          <cell r="B44">
            <v>0</v>
          </cell>
          <cell r="C44">
            <v>0</v>
          </cell>
          <cell r="D44">
            <v>0</v>
          </cell>
          <cell r="E44">
            <v>0</v>
          </cell>
          <cell r="F44">
            <v>0</v>
          </cell>
        </row>
        <row r="45">
          <cell r="A45" t="str">
            <v>J10</v>
          </cell>
          <cell r="B45">
            <v>1456</v>
          </cell>
          <cell r="C45">
            <v>0</v>
          </cell>
          <cell r="D45">
            <v>0</v>
          </cell>
          <cell r="E45">
            <v>30885.504000000001</v>
          </cell>
          <cell r="F45">
            <v>0</v>
          </cell>
        </row>
        <row r="46">
          <cell r="B46">
            <v>0</v>
          </cell>
          <cell r="C46">
            <v>0</v>
          </cell>
          <cell r="D46">
            <v>0</v>
          </cell>
          <cell r="E46">
            <v>0</v>
          </cell>
          <cell r="F46">
            <v>0</v>
          </cell>
        </row>
        <row r="47">
          <cell r="A47" t="str">
            <v>Grand Total</v>
          </cell>
          <cell r="B47">
            <v>49194.75</v>
          </cell>
          <cell r="C47">
            <v>936</v>
          </cell>
          <cell r="D47">
            <v>45941</v>
          </cell>
          <cell r="E47">
            <v>2289718.4902650188</v>
          </cell>
          <cell r="F47">
            <v>788457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 List"/>
      <sheetName val="CB List  _IRS_Vrsn"/>
      <sheetName val="CB Comparison HSCRV vs IRS"/>
      <sheetName val="V_Physicians_WAH"/>
      <sheetName val="V_Physicians_SGAH"/>
      <sheetName val="V_Physicians_ABH R."/>
      <sheetName val="V_Physicians_ABH E.S."/>
      <sheetName val="V_Physicians_ARHM"/>
      <sheetName val="Sheet1"/>
      <sheetName val="Sheet2"/>
      <sheetName val="CB List "/>
    </sheetNames>
    <sheetDataSet>
      <sheetData sheetId="0">
        <row r="161">
          <cell r="H161" t="str">
            <v>T99</v>
          </cell>
          <cell r="J161" t="str">
            <v>Medicaid Assessments</v>
          </cell>
          <cell r="L161">
            <v>0</v>
          </cell>
          <cell r="M161">
            <v>0</v>
          </cell>
          <cell r="N161">
            <v>9262500</v>
          </cell>
          <cell r="O161">
            <v>0</v>
          </cell>
          <cell r="P161">
            <v>-7920591.5</v>
          </cell>
          <cell r="Q161">
            <v>1341908.5</v>
          </cell>
          <cell r="S161">
            <v>0</v>
          </cell>
          <cell r="T161">
            <v>0</v>
          </cell>
          <cell r="U161">
            <v>6405241</v>
          </cell>
          <cell r="V161">
            <v>0</v>
          </cell>
          <cell r="W161">
            <v>-5477280.5</v>
          </cell>
          <cell r="X161">
            <v>927960.5</v>
          </cell>
          <cell r="AW161">
            <v>0</v>
          </cell>
        </row>
        <row r="162">
          <cell r="H162" t="str">
            <v>A10</v>
          </cell>
          <cell r="J162" t="str">
            <v>Community Health Education</v>
          </cell>
          <cell r="L162">
            <v>16576.059500000003</v>
          </cell>
          <cell r="M162">
            <v>26232.999999999996</v>
          </cell>
          <cell r="N162">
            <v>701202.23575000011</v>
          </cell>
          <cell r="O162">
            <v>454192.61681061517</v>
          </cell>
          <cell r="P162">
            <v>-48715.420749999997</v>
          </cell>
          <cell r="Q162">
            <v>1106679.4318106151</v>
          </cell>
          <cell r="S162">
            <v>15026.379195054735</v>
          </cell>
          <cell r="T162">
            <v>19564.99168579714</v>
          </cell>
          <cell r="U162">
            <v>566979.48845109763</v>
          </cell>
          <cell r="V162">
            <v>349520.6321596278</v>
          </cell>
          <cell r="W162">
            <v>-38982.079684149998</v>
          </cell>
          <cell r="X162">
            <v>877518.04092657543</v>
          </cell>
          <cell r="AW162">
            <v>63832.021272847676</v>
          </cell>
          <cell r="AY162">
            <v>-4627.9649712499995</v>
          </cell>
        </row>
        <row r="163">
          <cell r="H163" t="str">
            <v>A11</v>
          </cell>
          <cell r="J163" t="str">
            <v>Support Groups</v>
          </cell>
          <cell r="L163">
            <v>1026.5070000000001</v>
          </cell>
          <cell r="M163">
            <v>1078</v>
          </cell>
          <cell r="N163">
            <v>34037.989249999999</v>
          </cell>
          <cell r="O163">
            <v>22047.567192784853</v>
          </cell>
          <cell r="P163">
            <v>-4798.5322500000002</v>
          </cell>
          <cell r="Q163">
            <v>51287.024192784855</v>
          </cell>
          <cell r="S163">
            <v>865.34690140000009</v>
          </cell>
          <cell r="T163">
            <v>910</v>
          </cell>
          <cell r="U163">
            <v>27237.198997850002</v>
          </cell>
          <cell r="V163">
            <v>16790.665634118821</v>
          </cell>
          <cell r="W163">
            <v>-3839.7855064500004</v>
          </cell>
          <cell r="X163">
            <v>40188.079125518823</v>
          </cell>
          <cell r="AW163">
            <v>3233.6089787500005</v>
          </cell>
          <cell r="AY163">
            <v>-455.86056375000004</v>
          </cell>
        </row>
        <row r="164">
          <cell r="H164" t="str">
            <v>A12</v>
          </cell>
          <cell r="J164" t="str">
            <v>Self-Help</v>
          </cell>
          <cell r="L164">
            <v>0</v>
          </cell>
          <cell r="M164">
            <v>0</v>
          </cell>
          <cell r="N164">
            <v>0</v>
          </cell>
          <cell r="O164">
            <v>0</v>
          </cell>
          <cell r="P164">
            <v>0</v>
          </cell>
          <cell r="Q164">
            <v>0</v>
          </cell>
          <cell r="S164">
            <v>0</v>
          </cell>
          <cell r="T164">
            <v>0</v>
          </cell>
          <cell r="U164">
            <v>0</v>
          </cell>
          <cell r="V164">
            <v>0</v>
          </cell>
          <cell r="W164">
            <v>0</v>
          </cell>
          <cell r="X164">
            <v>0</v>
          </cell>
          <cell r="AW164">
            <v>0</v>
          </cell>
          <cell r="AY164">
            <v>0</v>
          </cell>
        </row>
        <row r="165">
          <cell r="H165" t="str">
            <v>A20</v>
          </cell>
          <cell r="J165" t="str">
            <v>Community-Based Clinical Services</v>
          </cell>
          <cell r="L165">
            <v>5165.3799999999992</v>
          </cell>
          <cell r="M165">
            <v>478.99999999999994</v>
          </cell>
          <cell r="N165">
            <v>383346.71999999991</v>
          </cell>
          <cell r="O165">
            <v>248306.75235417084</v>
          </cell>
          <cell r="P165">
            <v>-437.64</v>
          </cell>
          <cell r="Q165">
            <v>631215.83235417074</v>
          </cell>
          <cell r="S165">
            <v>1336.2683228750989</v>
          </cell>
          <cell r="T165">
            <v>1329.0084052746167</v>
          </cell>
          <cell r="U165">
            <v>48787.321594567933</v>
          </cell>
          <cell r="V165">
            <v>30075.471568984645</v>
          </cell>
          <cell r="W165">
            <v>0</v>
          </cell>
          <cell r="X165">
            <v>78862.793163552575</v>
          </cell>
          <cell r="AW165">
            <v>5795.189741354412</v>
          </cell>
          <cell r="AY165">
            <v>0</v>
          </cell>
        </row>
        <row r="166">
          <cell r="H166" t="str">
            <v>A21</v>
          </cell>
          <cell r="J166" t="str">
            <v>Screenings</v>
          </cell>
          <cell r="L166">
            <v>4902.9139999999998</v>
          </cell>
          <cell r="M166">
            <v>6200</v>
          </cell>
          <cell r="N166">
            <v>161225.08974999998</v>
          </cell>
          <cell r="O166">
            <v>104430.99248072926</v>
          </cell>
          <cell r="P166">
            <v>-17232.5645</v>
          </cell>
          <cell r="Q166">
            <v>248423.51773072922</v>
          </cell>
          <cell r="S166">
            <v>4042.8917828000003</v>
          </cell>
          <cell r="T166">
            <v>4000</v>
          </cell>
          <cell r="U166">
            <v>129012.31681795001</v>
          </cell>
          <cell r="V166">
            <v>79531.036746627084</v>
          </cell>
          <cell r="W166">
            <v>-13789.498112900001</v>
          </cell>
          <cell r="X166">
            <v>194753.85545167708</v>
          </cell>
          <cell r="AW166">
            <v>15316.38352625</v>
          </cell>
          <cell r="AY166">
            <v>-1637.0936274999999</v>
          </cell>
        </row>
        <row r="167">
          <cell r="H167" t="str">
            <v>A22</v>
          </cell>
          <cell r="J167" t="str">
            <v>One-Time/Occasionally Held Clinics</v>
          </cell>
          <cell r="L167">
            <v>0</v>
          </cell>
          <cell r="M167">
            <v>0</v>
          </cell>
          <cell r="N167">
            <v>0</v>
          </cell>
          <cell r="O167">
            <v>0</v>
          </cell>
          <cell r="P167">
            <v>0</v>
          </cell>
          <cell r="Q167">
            <v>0</v>
          </cell>
          <cell r="S167">
            <v>0</v>
          </cell>
          <cell r="T167">
            <v>0</v>
          </cell>
          <cell r="U167">
            <v>0</v>
          </cell>
          <cell r="V167">
            <v>0</v>
          </cell>
          <cell r="W167">
            <v>0</v>
          </cell>
          <cell r="X167">
            <v>0</v>
          </cell>
          <cell r="AW167">
            <v>0</v>
          </cell>
          <cell r="AY167">
            <v>0</v>
          </cell>
        </row>
        <row r="168">
          <cell r="H168" t="str">
            <v>A23</v>
          </cell>
          <cell r="J168" t="str">
            <v>Free Clinics</v>
          </cell>
          <cell r="L168">
            <v>0</v>
          </cell>
          <cell r="M168">
            <v>0</v>
          </cell>
          <cell r="N168">
            <v>0</v>
          </cell>
          <cell r="O168">
            <v>0</v>
          </cell>
          <cell r="P168">
            <v>0</v>
          </cell>
          <cell r="Q168">
            <v>0</v>
          </cell>
          <cell r="S168">
            <v>0</v>
          </cell>
          <cell r="T168">
            <v>0</v>
          </cell>
          <cell r="U168">
            <v>0</v>
          </cell>
          <cell r="V168">
            <v>0</v>
          </cell>
          <cell r="W168">
            <v>0</v>
          </cell>
          <cell r="X168">
            <v>0</v>
          </cell>
          <cell r="AW168">
            <v>0</v>
          </cell>
          <cell r="AY168">
            <v>0</v>
          </cell>
        </row>
        <row r="169">
          <cell r="H169" t="str">
            <v>A24</v>
          </cell>
          <cell r="J169" t="str">
            <v>Mobile Units</v>
          </cell>
          <cell r="L169">
            <v>0</v>
          </cell>
          <cell r="M169">
            <v>0</v>
          </cell>
          <cell r="N169">
            <v>0</v>
          </cell>
          <cell r="O169">
            <v>0</v>
          </cell>
          <cell r="P169">
            <v>0</v>
          </cell>
          <cell r="Q169">
            <v>0</v>
          </cell>
          <cell r="S169">
            <v>0</v>
          </cell>
          <cell r="T169">
            <v>0</v>
          </cell>
          <cell r="U169">
            <v>0</v>
          </cell>
          <cell r="V169">
            <v>0</v>
          </cell>
          <cell r="W169">
            <v>0</v>
          </cell>
          <cell r="X169">
            <v>0</v>
          </cell>
          <cell r="AW169">
            <v>0</v>
          </cell>
          <cell r="AY169">
            <v>0</v>
          </cell>
        </row>
        <row r="170">
          <cell r="H170" t="str">
            <v>A30</v>
          </cell>
          <cell r="J170" t="str">
            <v>Health Care Support Services</v>
          </cell>
          <cell r="L170">
            <v>6187.9674999999997</v>
          </cell>
          <cell r="M170">
            <v>1171</v>
          </cell>
          <cell r="N170">
            <v>1283698.5150000001</v>
          </cell>
          <cell r="O170">
            <v>785925.28285363677</v>
          </cell>
          <cell r="P170">
            <v>-65149.601249999992</v>
          </cell>
          <cell r="Q170">
            <v>2004474.196603637</v>
          </cell>
          <cell r="S170">
            <v>4927.3984146049515</v>
          </cell>
          <cell r="T170">
            <v>3074.0012007535165</v>
          </cell>
          <cell r="U170">
            <v>1640175.9839950001</v>
          </cell>
          <cell r="V170">
            <v>969470.50445058825</v>
          </cell>
          <cell r="W170">
            <v>-52132.710920249992</v>
          </cell>
          <cell r="X170">
            <v>2557513.7775253383</v>
          </cell>
          <cell r="AW170">
            <v>33803.226916474312</v>
          </cell>
          <cell r="AY170">
            <v>-6189.2121187499997</v>
          </cell>
        </row>
        <row r="171">
          <cell r="H171" t="str">
            <v>A40</v>
          </cell>
          <cell r="J171" t="str">
            <v>Immunizations</v>
          </cell>
          <cell r="L171">
            <v>1458.7069999999999</v>
          </cell>
          <cell r="M171">
            <v>3672.5</v>
          </cell>
          <cell r="N171">
            <v>31079.206750000001</v>
          </cell>
          <cell r="O171">
            <v>20131.062798284347</v>
          </cell>
          <cell r="P171">
            <v>-4237.2485000000006</v>
          </cell>
          <cell r="Q171">
            <v>46973.021048284347</v>
          </cell>
          <cell r="S171">
            <v>1382.0909474281334</v>
          </cell>
          <cell r="T171">
            <v>3123.0135084770627</v>
          </cell>
          <cell r="U171">
            <v>21972.857241350001</v>
          </cell>
          <cell r="V171">
            <v>13545.405274413752</v>
          </cell>
          <cell r="W171">
            <v>-3390.6462497000002</v>
          </cell>
          <cell r="X171">
            <v>32127.616266063753</v>
          </cell>
          <cell r="AW171">
            <v>2952.6769063373799</v>
          </cell>
          <cell r="AY171">
            <v>-402.53860750000001</v>
          </cell>
        </row>
        <row r="172">
          <cell r="H172" t="str">
            <v>A41</v>
          </cell>
          <cell r="J172" t="str">
            <v>Germantown Emergency Services - Free services</v>
          </cell>
          <cell r="L172">
            <v>0</v>
          </cell>
          <cell r="M172">
            <v>0</v>
          </cell>
          <cell r="N172">
            <v>0</v>
          </cell>
          <cell r="O172">
            <v>0</v>
          </cell>
          <cell r="P172">
            <v>0</v>
          </cell>
          <cell r="Q172">
            <v>0</v>
          </cell>
          <cell r="S172">
            <v>0</v>
          </cell>
          <cell r="T172">
            <v>0</v>
          </cell>
          <cell r="U172">
            <v>0</v>
          </cell>
          <cell r="V172">
            <v>0</v>
          </cell>
          <cell r="W172">
            <v>0</v>
          </cell>
          <cell r="X172">
            <v>0</v>
          </cell>
          <cell r="AW172">
            <v>0</v>
          </cell>
          <cell r="AY172">
            <v>0</v>
          </cell>
        </row>
        <row r="173">
          <cell r="H173" t="str">
            <v>B10</v>
          </cell>
          <cell r="J173" t="str">
            <v>Physicians/Medical Students</v>
          </cell>
          <cell r="L173">
            <v>2080</v>
          </cell>
          <cell r="M173">
            <v>7280</v>
          </cell>
          <cell r="N173">
            <v>209509.489</v>
          </cell>
          <cell r="O173">
            <v>0</v>
          </cell>
          <cell r="P173">
            <v>0</v>
          </cell>
          <cell r="Q173">
            <v>209509.489</v>
          </cell>
          <cell r="S173">
            <v>5758.65</v>
          </cell>
          <cell r="T173">
            <v>2879.3249999999998</v>
          </cell>
          <cell r="U173">
            <v>398153.87599999999</v>
          </cell>
          <cell r="V173">
            <v>0</v>
          </cell>
          <cell r="W173">
            <v>0</v>
          </cell>
          <cell r="X173">
            <v>398153.87599999999</v>
          </cell>
          <cell r="AW173">
            <v>0</v>
          </cell>
          <cell r="AY173">
            <v>0</v>
          </cell>
        </row>
        <row r="174">
          <cell r="H174" t="str">
            <v>B20</v>
          </cell>
          <cell r="J174" t="str">
            <v>Nurses/Nursing Students</v>
          </cell>
          <cell r="L174">
            <v>12151</v>
          </cell>
          <cell r="M174">
            <v>7908.5</v>
          </cell>
          <cell r="N174">
            <v>510342</v>
          </cell>
          <cell r="O174">
            <v>0</v>
          </cell>
          <cell r="P174">
            <v>0</v>
          </cell>
          <cell r="Q174">
            <v>510342</v>
          </cell>
          <cell r="S174">
            <v>5497.4981392967011</v>
          </cell>
          <cell r="T174">
            <v>3137.3251801130277</v>
          </cell>
          <cell r="U174">
            <v>230844.51428571431</v>
          </cell>
          <cell r="V174">
            <v>0</v>
          </cell>
          <cell r="W174">
            <v>0</v>
          </cell>
          <cell r="X174">
            <v>230844.51428571431</v>
          </cell>
          <cell r="AW174">
            <v>0</v>
          </cell>
          <cell r="AY174">
            <v>0</v>
          </cell>
        </row>
        <row r="175">
          <cell r="H175" t="str">
            <v>B30</v>
          </cell>
          <cell r="J175" t="str">
            <v>Other Health Professionals</v>
          </cell>
          <cell r="L175">
            <v>3158.6974999999993</v>
          </cell>
          <cell r="M175">
            <v>904.99999999999977</v>
          </cell>
          <cell r="N175">
            <v>143600.37</v>
          </cell>
          <cell r="O175">
            <v>0</v>
          </cell>
          <cell r="P175">
            <v>-21896.533749999999</v>
          </cell>
          <cell r="Q175">
            <v>121703.83624999999</v>
          </cell>
          <cell r="S175">
            <v>12511.431860679688</v>
          </cell>
          <cell r="T175">
            <v>9053.6422665237878</v>
          </cell>
          <cell r="U175">
            <v>512927.64067400008</v>
          </cell>
          <cell r="V175">
            <v>0</v>
          </cell>
          <cell r="W175">
            <v>-113329.65630675</v>
          </cell>
          <cell r="X175">
            <v>399597.98436725012</v>
          </cell>
          <cell r="AW175">
            <v>13035.371080767216</v>
          </cell>
          <cell r="AY175">
            <v>-2080.17070625</v>
          </cell>
        </row>
        <row r="176">
          <cell r="H176" t="str">
            <v>B40</v>
          </cell>
          <cell r="J176" t="str">
            <v>Scholarships/Funding for Professional Education</v>
          </cell>
          <cell r="L176">
            <v>0</v>
          </cell>
          <cell r="M176">
            <v>0</v>
          </cell>
          <cell r="N176">
            <v>0</v>
          </cell>
          <cell r="O176">
            <v>0</v>
          </cell>
          <cell r="P176">
            <v>0</v>
          </cell>
          <cell r="Q176">
            <v>0</v>
          </cell>
          <cell r="S176">
            <v>0</v>
          </cell>
          <cell r="T176">
            <v>0</v>
          </cell>
          <cell r="U176">
            <v>0</v>
          </cell>
          <cell r="V176">
            <v>0</v>
          </cell>
          <cell r="W176">
            <v>0</v>
          </cell>
          <cell r="X176">
            <v>0</v>
          </cell>
          <cell r="AW176">
            <v>0</v>
          </cell>
          <cell r="AY176">
            <v>0</v>
          </cell>
        </row>
        <row r="177">
          <cell r="H177" t="str">
            <v>B50</v>
          </cell>
          <cell r="J177" t="str">
            <v>Other Health Professional Education</v>
          </cell>
          <cell r="L177">
            <v>0</v>
          </cell>
          <cell r="M177">
            <v>0</v>
          </cell>
          <cell r="N177">
            <v>0</v>
          </cell>
          <cell r="O177">
            <v>0</v>
          </cell>
          <cell r="P177">
            <v>0</v>
          </cell>
          <cell r="Q177">
            <v>0</v>
          </cell>
          <cell r="S177">
            <v>0</v>
          </cell>
          <cell r="T177">
            <v>0</v>
          </cell>
          <cell r="U177">
            <v>0</v>
          </cell>
          <cell r="V177">
            <v>0</v>
          </cell>
          <cell r="W177">
            <v>0</v>
          </cell>
          <cell r="X177">
            <v>0</v>
          </cell>
          <cell r="AW177">
            <v>0</v>
          </cell>
          <cell r="AY177">
            <v>0</v>
          </cell>
        </row>
        <row r="178">
          <cell r="H178" t="str">
            <v>B51</v>
          </cell>
          <cell r="J178" t="str">
            <v>Other</v>
          </cell>
          <cell r="L178">
            <v>0</v>
          </cell>
          <cell r="M178">
            <v>0</v>
          </cell>
          <cell r="N178">
            <v>0</v>
          </cell>
          <cell r="O178">
            <v>0</v>
          </cell>
          <cell r="P178">
            <v>0</v>
          </cell>
          <cell r="Q178">
            <v>0</v>
          </cell>
          <cell r="S178">
            <v>0</v>
          </cell>
          <cell r="T178">
            <v>0</v>
          </cell>
          <cell r="U178">
            <v>0</v>
          </cell>
          <cell r="V178">
            <v>0</v>
          </cell>
          <cell r="W178">
            <v>0</v>
          </cell>
          <cell r="X178">
            <v>0</v>
          </cell>
          <cell r="AW178">
            <v>0</v>
          </cell>
          <cell r="AY178">
            <v>0</v>
          </cell>
        </row>
        <row r="179">
          <cell r="H179" t="str">
            <v>C10</v>
          </cell>
          <cell r="J179" t="str">
            <v>Hospital Based Physicians</v>
          </cell>
          <cell r="L179">
            <v>0</v>
          </cell>
          <cell r="M179">
            <v>0</v>
          </cell>
          <cell r="N179">
            <v>0</v>
          </cell>
          <cell r="O179">
            <v>0</v>
          </cell>
          <cell r="P179">
            <v>0</v>
          </cell>
          <cell r="Q179">
            <v>0</v>
          </cell>
          <cell r="S179">
            <v>0</v>
          </cell>
          <cell r="T179">
            <v>0</v>
          </cell>
          <cell r="U179">
            <v>0</v>
          </cell>
          <cell r="V179">
            <v>0</v>
          </cell>
          <cell r="W179">
            <v>0</v>
          </cell>
          <cell r="X179">
            <v>0</v>
          </cell>
          <cell r="AW179">
            <v>0</v>
          </cell>
        </row>
        <row r="180">
          <cell r="H180" t="str">
            <v>C20</v>
          </cell>
          <cell r="J180" t="str">
            <v>Non-Residential House Staff and Hospitalists</v>
          </cell>
          <cell r="L180">
            <v>77906.729999999981</v>
          </cell>
          <cell r="M180">
            <v>8701.7067000000025</v>
          </cell>
          <cell r="N180">
            <v>7686199.427666666</v>
          </cell>
          <cell r="O180">
            <v>0</v>
          </cell>
          <cell r="P180">
            <v>-350</v>
          </cell>
          <cell r="Q180">
            <v>7685849.427666666</v>
          </cell>
          <cell r="S180">
            <v>97636.499847421146</v>
          </cell>
          <cell r="T180">
            <v>8477.6224540907624</v>
          </cell>
          <cell r="U180">
            <v>11194616.641372509</v>
          </cell>
          <cell r="V180">
            <v>0</v>
          </cell>
          <cell r="W180">
            <v>0</v>
          </cell>
          <cell r="X180">
            <v>11194616.641372509</v>
          </cell>
          <cell r="AW180">
            <v>79392.869475916392</v>
          </cell>
        </row>
        <row r="181">
          <cell r="H181" t="str">
            <v>C30</v>
          </cell>
          <cell r="J181" t="str">
            <v>Coverage of ED On Call</v>
          </cell>
          <cell r="L181">
            <v>8796.5</v>
          </cell>
          <cell r="M181">
            <v>0</v>
          </cell>
          <cell r="N181">
            <v>317616.99999999994</v>
          </cell>
          <cell r="O181">
            <v>0</v>
          </cell>
          <cell r="P181">
            <v>0</v>
          </cell>
          <cell r="Q181">
            <v>317616.99999999994</v>
          </cell>
          <cell r="S181">
            <v>0</v>
          </cell>
          <cell r="T181">
            <v>0</v>
          </cell>
          <cell r="U181">
            <v>0</v>
          </cell>
          <cell r="V181">
            <v>0</v>
          </cell>
          <cell r="W181">
            <v>0</v>
          </cell>
          <cell r="X181">
            <v>0</v>
          </cell>
          <cell r="AW181">
            <v>0</v>
          </cell>
        </row>
        <row r="182">
          <cell r="H182" t="str">
            <v>C40</v>
          </cell>
          <cell r="J182" t="str">
            <v>Physician Provision of Financial Assistance</v>
          </cell>
          <cell r="N182">
            <v>0</v>
          </cell>
          <cell r="O182">
            <v>0</v>
          </cell>
          <cell r="P182">
            <v>0</v>
          </cell>
          <cell r="Q182">
            <v>0</v>
          </cell>
          <cell r="S182">
            <v>0</v>
          </cell>
          <cell r="T182">
            <v>0</v>
          </cell>
          <cell r="U182">
            <v>0</v>
          </cell>
          <cell r="V182">
            <v>0</v>
          </cell>
          <cell r="W182">
            <v>0</v>
          </cell>
          <cell r="X182">
            <v>0</v>
          </cell>
          <cell r="AW182">
            <v>0</v>
          </cell>
        </row>
        <row r="183">
          <cell r="H183" t="str">
            <v>C50</v>
          </cell>
          <cell r="J183" t="str">
            <v>Recruitment of Physicians to Meet Community Needs</v>
          </cell>
          <cell r="L183">
            <v>0</v>
          </cell>
          <cell r="M183">
            <v>0</v>
          </cell>
          <cell r="N183">
            <v>2582152.814999999</v>
          </cell>
          <cell r="O183">
            <v>0</v>
          </cell>
          <cell r="P183">
            <v>0</v>
          </cell>
          <cell r="Q183">
            <v>2582152.814999999</v>
          </cell>
          <cell r="S183">
            <v>0</v>
          </cell>
          <cell r="T183">
            <v>0</v>
          </cell>
          <cell r="U183">
            <v>5447190.1880000001</v>
          </cell>
          <cell r="V183">
            <v>0</v>
          </cell>
          <cell r="W183">
            <v>0</v>
          </cell>
          <cell r="X183">
            <v>5447190.1880000001</v>
          </cell>
          <cell r="AW183">
            <v>598269.32999999996</v>
          </cell>
        </row>
        <row r="184">
          <cell r="H184" t="str">
            <v>C60</v>
          </cell>
          <cell r="J184" t="str">
            <v>Germantown Emergency</v>
          </cell>
          <cell r="L184">
            <v>0</v>
          </cell>
          <cell r="M184">
            <v>0</v>
          </cell>
          <cell r="N184">
            <v>0</v>
          </cell>
          <cell r="O184">
            <v>0</v>
          </cell>
          <cell r="P184">
            <v>0</v>
          </cell>
          <cell r="Q184">
            <v>0</v>
          </cell>
          <cell r="S184">
            <v>0</v>
          </cell>
          <cell r="T184">
            <v>0</v>
          </cell>
          <cell r="U184">
            <v>0</v>
          </cell>
          <cell r="V184">
            <v>0</v>
          </cell>
          <cell r="W184">
            <v>0</v>
          </cell>
          <cell r="X184">
            <v>0</v>
          </cell>
          <cell r="AW184">
            <v>0</v>
          </cell>
        </row>
        <row r="185">
          <cell r="H185" t="str">
            <v>D10</v>
          </cell>
          <cell r="J185" t="str">
            <v>Clinical Research</v>
          </cell>
          <cell r="L185">
            <v>7384.4299999999994</v>
          </cell>
          <cell r="M185">
            <v>975</v>
          </cell>
          <cell r="N185">
            <v>309408.53000000003</v>
          </cell>
          <cell r="O185">
            <v>0</v>
          </cell>
          <cell r="P185">
            <v>-83523</v>
          </cell>
          <cell r="Q185">
            <v>225885.53000000003</v>
          </cell>
          <cell r="S185">
            <v>8007.5015009418939</v>
          </cell>
          <cell r="T185">
            <v>1003</v>
          </cell>
          <cell r="U185">
            <v>513577.91123842931</v>
          </cell>
          <cell r="V185">
            <v>0</v>
          </cell>
          <cell r="W185">
            <v>-260211.11</v>
          </cell>
          <cell r="X185">
            <v>253366.80123842933</v>
          </cell>
          <cell r="AW185">
            <v>48.471451711205418</v>
          </cell>
        </row>
        <row r="186">
          <cell r="H186" t="str">
            <v>D20</v>
          </cell>
          <cell r="J186" t="str">
            <v>Community Health Research</v>
          </cell>
          <cell r="L186">
            <v>0</v>
          </cell>
          <cell r="M186">
            <v>0</v>
          </cell>
          <cell r="N186">
            <v>22097.59</v>
          </cell>
          <cell r="O186">
            <v>0</v>
          </cell>
          <cell r="P186">
            <v>0</v>
          </cell>
          <cell r="Q186">
            <v>22097.59</v>
          </cell>
          <cell r="S186">
            <v>0</v>
          </cell>
          <cell r="T186">
            <v>0</v>
          </cell>
          <cell r="U186">
            <v>11297.890000000001</v>
          </cell>
          <cell r="V186">
            <v>0</v>
          </cell>
          <cell r="W186">
            <v>0</v>
          </cell>
          <cell r="X186">
            <v>11297.890000000001</v>
          </cell>
          <cell r="AW186">
            <v>0</v>
          </cell>
        </row>
        <row r="187">
          <cell r="H187" t="str">
            <v>D30</v>
          </cell>
          <cell r="J187" t="str">
            <v>Other Research</v>
          </cell>
          <cell r="L187">
            <v>0</v>
          </cell>
          <cell r="M187">
            <v>0</v>
          </cell>
          <cell r="N187">
            <v>0</v>
          </cell>
          <cell r="O187">
            <v>0</v>
          </cell>
          <cell r="P187">
            <v>0</v>
          </cell>
          <cell r="Q187">
            <v>0</v>
          </cell>
          <cell r="S187">
            <v>0</v>
          </cell>
          <cell r="T187">
            <v>0</v>
          </cell>
          <cell r="U187">
            <v>0</v>
          </cell>
          <cell r="V187">
            <v>0</v>
          </cell>
          <cell r="W187">
            <v>0</v>
          </cell>
          <cell r="X187">
            <v>0</v>
          </cell>
          <cell r="AW187">
            <v>0</v>
          </cell>
        </row>
        <row r="188">
          <cell r="H188" t="str">
            <v>E10</v>
          </cell>
          <cell r="J188" t="str">
            <v>Cash Donations</v>
          </cell>
          <cell r="L188">
            <v>121.24999999999997</v>
          </cell>
          <cell r="M188">
            <v>192.49999999999994</v>
          </cell>
          <cell r="N188">
            <v>784564.94608785491</v>
          </cell>
          <cell r="O188">
            <v>0</v>
          </cell>
          <cell r="P188">
            <v>0</v>
          </cell>
          <cell r="Q188">
            <v>784564.94608785491</v>
          </cell>
          <cell r="S188">
            <v>25.003752354739614</v>
          </cell>
          <cell r="T188">
            <v>66.009906216512576</v>
          </cell>
          <cell r="U188">
            <v>588162.24052446557</v>
          </cell>
          <cell r="V188">
            <v>0</v>
          </cell>
          <cell r="W188">
            <v>0</v>
          </cell>
          <cell r="X188">
            <v>588162.24052446557</v>
          </cell>
          <cell r="AW188">
            <v>4286.1159836279567</v>
          </cell>
        </row>
        <row r="189">
          <cell r="H189" t="str">
            <v>E20</v>
          </cell>
          <cell r="J189" t="str">
            <v>Grants</v>
          </cell>
          <cell r="L189">
            <v>0</v>
          </cell>
          <cell r="M189">
            <v>0</v>
          </cell>
          <cell r="N189">
            <v>1678.9999999999989</v>
          </cell>
          <cell r="O189">
            <v>0</v>
          </cell>
          <cell r="P189">
            <v>0</v>
          </cell>
          <cell r="Q189">
            <v>1678.9999999999989</v>
          </cell>
          <cell r="S189">
            <v>-0.37814628599647904</v>
          </cell>
          <cell r="T189">
            <v>0</v>
          </cell>
          <cell r="U189">
            <v>1379.3799929521497</v>
          </cell>
          <cell r="V189">
            <v>0</v>
          </cell>
          <cell r="W189">
            <v>0</v>
          </cell>
          <cell r="X189">
            <v>1379.3799929521497</v>
          </cell>
          <cell r="AW189">
            <v>142.4680512060724</v>
          </cell>
        </row>
        <row r="190">
          <cell r="H190" t="str">
            <v>E30</v>
          </cell>
          <cell r="J190" t="str">
            <v>In-Kind Donations</v>
          </cell>
          <cell r="L190">
            <v>0</v>
          </cell>
          <cell r="M190">
            <v>0</v>
          </cell>
          <cell r="N190">
            <v>0</v>
          </cell>
          <cell r="O190">
            <v>0</v>
          </cell>
          <cell r="P190">
            <v>0</v>
          </cell>
          <cell r="Q190">
            <v>0</v>
          </cell>
          <cell r="S190">
            <v>0</v>
          </cell>
          <cell r="T190">
            <v>0</v>
          </cell>
          <cell r="U190">
            <v>0</v>
          </cell>
          <cell r="V190">
            <v>0</v>
          </cell>
          <cell r="W190">
            <v>0</v>
          </cell>
          <cell r="X190">
            <v>0</v>
          </cell>
          <cell r="AW190">
            <v>0</v>
          </cell>
        </row>
        <row r="191">
          <cell r="H191" t="str">
            <v>E40</v>
          </cell>
          <cell r="J191" t="str">
            <v>Cost of Fund Raising for Community Programs</v>
          </cell>
          <cell r="L191">
            <v>0</v>
          </cell>
          <cell r="M191">
            <v>0</v>
          </cell>
          <cell r="N191">
            <v>0</v>
          </cell>
          <cell r="O191">
            <v>0</v>
          </cell>
          <cell r="P191">
            <v>0</v>
          </cell>
          <cell r="Q191">
            <v>0</v>
          </cell>
          <cell r="S191">
            <v>0</v>
          </cell>
          <cell r="T191">
            <v>0</v>
          </cell>
          <cell r="U191">
            <v>0</v>
          </cell>
          <cell r="V191">
            <v>0</v>
          </cell>
          <cell r="W191">
            <v>0</v>
          </cell>
          <cell r="X191">
            <v>0</v>
          </cell>
          <cell r="AW191">
            <v>0</v>
          </cell>
        </row>
        <row r="192">
          <cell r="H192" t="str">
            <v>F10</v>
          </cell>
          <cell r="J192" t="str">
            <v>Physical Improvements and Housing</v>
          </cell>
          <cell r="L192">
            <v>0</v>
          </cell>
          <cell r="M192">
            <v>0</v>
          </cell>
          <cell r="N192">
            <v>5235</v>
          </cell>
          <cell r="O192">
            <v>3390.8881457863645</v>
          </cell>
          <cell r="P192">
            <v>-4905</v>
          </cell>
          <cell r="Q192">
            <v>3720.8881457863645</v>
          </cell>
          <cell r="S192">
            <v>0</v>
          </cell>
          <cell r="T192">
            <v>0</v>
          </cell>
          <cell r="U192">
            <v>0</v>
          </cell>
          <cell r="V192">
            <v>0</v>
          </cell>
          <cell r="W192">
            <v>0</v>
          </cell>
          <cell r="X192">
            <v>0</v>
          </cell>
          <cell r="AW192">
            <v>0</v>
          </cell>
        </row>
        <row r="193">
          <cell r="H193" t="str">
            <v>F20</v>
          </cell>
          <cell r="J193" t="str">
            <v>Economic Development</v>
          </cell>
          <cell r="L193">
            <v>1.9999999999999984</v>
          </cell>
          <cell r="M193">
            <v>109.99999999999991</v>
          </cell>
          <cell r="N193">
            <v>294.99999999999977</v>
          </cell>
          <cell r="O193">
            <v>191.08156695453232</v>
          </cell>
          <cell r="P193">
            <v>0</v>
          </cell>
          <cell r="Q193">
            <v>486.08156695453209</v>
          </cell>
          <cell r="S193">
            <v>9.6002401507033355</v>
          </cell>
          <cell r="T193">
            <v>148.01320828868344</v>
          </cell>
          <cell r="U193">
            <v>426.03542222874194</v>
          </cell>
          <cell r="V193">
            <v>262.6341395639875</v>
          </cell>
          <cell r="W193">
            <v>0</v>
          </cell>
          <cell r="X193">
            <v>688.66956179272938</v>
          </cell>
          <cell r="AW193">
            <v>28.037408342756073</v>
          </cell>
        </row>
        <row r="194">
          <cell r="H194" t="str">
            <v>F30</v>
          </cell>
          <cell r="J194" t="str">
            <v>Community Support</v>
          </cell>
          <cell r="L194">
            <v>380.74999999999994</v>
          </cell>
          <cell r="M194">
            <v>728.99999999999977</v>
          </cell>
          <cell r="N194">
            <v>41059.999999999993</v>
          </cell>
          <cell r="O194">
            <v>26595.963183569838</v>
          </cell>
          <cell r="P194">
            <v>0</v>
          </cell>
          <cell r="Q194">
            <v>67655.963183569838</v>
          </cell>
          <cell r="S194">
            <v>1643.4086154064821</v>
          </cell>
          <cell r="T194">
            <v>1848.2335010231152</v>
          </cell>
          <cell r="U194">
            <v>304169.1009183157</v>
          </cell>
          <cell r="V194">
            <v>31162.513478110173</v>
          </cell>
          <cell r="W194">
            <v>0</v>
          </cell>
          <cell r="X194">
            <v>335331.6143964259</v>
          </cell>
          <cell r="AW194">
            <v>4613.9686437338651</v>
          </cell>
        </row>
        <row r="195">
          <cell r="H195" t="str">
            <v>F40</v>
          </cell>
          <cell r="J195" t="str">
            <v>Environmental Improvements</v>
          </cell>
          <cell r="L195">
            <v>0.74999999999999944</v>
          </cell>
          <cell r="M195">
            <v>5.4999999999999956</v>
          </cell>
          <cell r="N195">
            <v>167.99999999999986</v>
          </cell>
          <cell r="O195">
            <v>108.81933304529298</v>
          </cell>
          <cell r="P195">
            <v>0</v>
          </cell>
          <cell r="Q195">
            <v>276.81933304529286</v>
          </cell>
          <cell r="S195">
            <v>12.60009005651375</v>
          </cell>
          <cell r="T195">
            <v>61.400660414434171</v>
          </cell>
          <cell r="U195">
            <v>1085.4201726590802</v>
          </cell>
          <cell r="V195">
            <v>669.11899395693138</v>
          </cell>
          <cell r="W195">
            <v>0</v>
          </cell>
          <cell r="X195">
            <v>1754.5391666160117</v>
          </cell>
          <cell r="AW195">
            <v>15.967066446044138</v>
          </cell>
        </row>
        <row r="196">
          <cell r="H196" t="str">
            <v>F50</v>
          </cell>
          <cell r="J196" t="str">
            <v>Leadership Development/Training for Community Members</v>
          </cell>
          <cell r="L196">
            <v>18.249999999999986</v>
          </cell>
          <cell r="M196">
            <v>54.499999999999957</v>
          </cell>
          <cell r="N196">
            <v>141.99999999999989</v>
          </cell>
          <cell r="O196">
            <v>91.97824578828336</v>
          </cell>
          <cell r="P196">
            <v>0</v>
          </cell>
          <cell r="Q196">
            <v>233.97824578828323</v>
          </cell>
          <cell r="S196">
            <v>14.602191375167934</v>
          </cell>
          <cell r="T196">
            <v>43.606544106665886</v>
          </cell>
          <cell r="U196">
            <v>113.6170506999368</v>
          </cell>
          <cell r="V196">
            <v>70.040458594437382</v>
          </cell>
          <cell r="W196">
            <v>0</v>
          </cell>
          <cell r="X196">
            <v>183.65750929437417</v>
          </cell>
          <cell r="AW196">
            <v>13.49597282939445</v>
          </cell>
        </row>
        <row r="197">
          <cell r="H197" t="str">
            <v>F60</v>
          </cell>
          <cell r="J197" t="str">
            <v>Coalition Building</v>
          </cell>
          <cell r="L197">
            <v>481.99999999999966</v>
          </cell>
          <cell r="M197">
            <v>2325.4999999999982</v>
          </cell>
          <cell r="N197">
            <v>35235.999999999971</v>
          </cell>
          <cell r="O197">
            <v>22823.559637999664</v>
          </cell>
          <cell r="P197">
            <v>0</v>
          </cell>
          <cell r="Q197">
            <v>58059.559637999635</v>
          </cell>
          <cell r="S197">
            <v>431.74941100721122</v>
          </cell>
          <cell r="T197">
            <v>2193.4409311931213</v>
          </cell>
          <cell r="U197">
            <v>31307.614313621074</v>
          </cell>
          <cell r="V197">
            <v>19299.917138449466</v>
          </cell>
          <cell r="W197">
            <v>0</v>
          </cell>
          <cell r="X197">
            <v>50607.531452070543</v>
          </cell>
          <cell r="AW197">
            <v>3019.1061471728458</v>
          </cell>
        </row>
        <row r="198">
          <cell r="H198" t="str">
            <v>F70</v>
          </cell>
          <cell r="J198" t="str">
            <v>Advocacy for Community Health Improvements</v>
          </cell>
          <cell r="L198">
            <v>2292.27</v>
          </cell>
          <cell r="M198">
            <v>1633.4999999999993</v>
          </cell>
          <cell r="N198">
            <v>311287.73</v>
          </cell>
          <cell r="O198">
            <v>201631.68549870991</v>
          </cell>
          <cell r="P198">
            <v>-3732.34</v>
          </cell>
          <cell r="Q198">
            <v>509187.07549870986</v>
          </cell>
          <cell r="S198">
            <v>1966.7592283544927</v>
          </cell>
          <cell r="T198">
            <v>1581.9000828056151</v>
          </cell>
          <cell r="U198">
            <v>267048.40089836175</v>
          </cell>
          <cell r="V198">
            <v>164624.87232862858</v>
          </cell>
          <cell r="W198">
            <v>-2624.08</v>
          </cell>
          <cell r="X198">
            <v>429049.19322699035</v>
          </cell>
          <cell r="AW198">
            <v>27740.019181053598</v>
          </cell>
        </row>
        <row r="199">
          <cell r="H199" t="str">
            <v>F80</v>
          </cell>
          <cell r="J199" t="str">
            <v>Workforce Development</v>
          </cell>
          <cell r="L199">
            <v>5.6249999999999973</v>
          </cell>
          <cell r="M199">
            <v>36.999999999999979</v>
          </cell>
          <cell r="N199">
            <v>811.99999999999932</v>
          </cell>
          <cell r="O199">
            <v>525.9601097189161</v>
          </cell>
          <cell r="P199">
            <v>0</v>
          </cell>
          <cell r="Q199">
            <v>1337.9601097189154</v>
          </cell>
          <cell r="S199">
            <v>4.9004352731497951</v>
          </cell>
          <cell r="T199">
            <v>23.203482185198361</v>
          </cell>
          <cell r="U199">
            <v>649.69750118555407</v>
          </cell>
          <cell r="V199">
            <v>400.51304492030391</v>
          </cell>
          <cell r="W199">
            <v>0</v>
          </cell>
          <cell r="X199">
            <v>1050.2105461058579</v>
          </cell>
          <cell r="AW199">
            <v>77.174154489213336</v>
          </cell>
        </row>
        <row r="200">
          <cell r="H200" t="str">
            <v>F90</v>
          </cell>
          <cell r="J200" t="str">
            <v>Disaster Prepardness</v>
          </cell>
          <cell r="L200">
            <v>0</v>
          </cell>
          <cell r="M200">
            <v>0</v>
          </cell>
          <cell r="N200">
            <v>0</v>
          </cell>
          <cell r="O200">
            <v>0</v>
          </cell>
          <cell r="P200">
            <v>0</v>
          </cell>
          <cell r="Q200">
            <v>0</v>
          </cell>
          <cell r="S200">
            <v>0</v>
          </cell>
          <cell r="T200">
            <v>0</v>
          </cell>
          <cell r="U200">
            <v>0</v>
          </cell>
          <cell r="V200">
            <v>0</v>
          </cell>
          <cell r="W200">
            <v>0</v>
          </cell>
          <cell r="X200">
            <v>0</v>
          </cell>
          <cell r="AW200">
            <v>0</v>
          </cell>
        </row>
        <row r="201">
          <cell r="H201" t="str">
            <v>G10</v>
          </cell>
          <cell r="J201" t="str">
            <v>Assigned Staff</v>
          </cell>
          <cell r="L201">
            <v>1467.625</v>
          </cell>
          <cell r="M201">
            <v>197.99999999999986</v>
          </cell>
          <cell r="N201">
            <v>73136.115384615376</v>
          </cell>
          <cell r="O201">
            <v>47372.757724270494</v>
          </cell>
          <cell r="P201">
            <v>0</v>
          </cell>
          <cell r="Q201">
            <v>120508.87310888586</v>
          </cell>
          <cell r="S201">
            <v>1174.3706165976719</v>
          </cell>
          <cell r="T201">
            <v>158.4237749196302</v>
          </cell>
          <cell r="U201">
            <v>58806.449580829598</v>
          </cell>
          <cell r="V201">
            <v>36251.871277928323</v>
          </cell>
          <cell r="W201">
            <v>0</v>
          </cell>
          <cell r="X201">
            <v>95058.320858757914</v>
          </cell>
          <cell r="AU201">
            <v>170.03997509359294</v>
          </cell>
          <cell r="AV201">
            <v>25.708877819374635</v>
          </cell>
          <cell r="AW201">
            <v>6862.7460426582174</v>
          </cell>
        </row>
        <row r="202">
          <cell r="H202" t="str">
            <v>G20</v>
          </cell>
          <cell r="J202" t="str">
            <v>Community health/health assets assessments</v>
          </cell>
          <cell r="L202">
            <v>321.99999999999977</v>
          </cell>
          <cell r="M202">
            <v>72.499999999999943</v>
          </cell>
          <cell r="N202">
            <v>518.99999999999955</v>
          </cell>
          <cell r="O202">
            <v>336.17401101492294</v>
          </cell>
          <cell r="P202">
            <v>0</v>
          </cell>
          <cell r="Q202">
            <v>855.17401101492248</v>
          </cell>
          <cell r="S202">
            <v>257.63866426323699</v>
          </cell>
          <cell r="T202">
            <v>58.008705462995906</v>
          </cell>
          <cell r="U202">
            <v>415.26231910751551</v>
          </cell>
          <cell r="V202">
            <v>255.99294373600708</v>
          </cell>
          <cell r="W202">
            <v>0</v>
          </cell>
          <cell r="X202">
            <v>671.25526284352259</v>
          </cell>
          <cell r="AU202">
            <v>0</v>
          </cell>
          <cell r="AV202">
            <v>0</v>
          </cell>
          <cell r="AW202">
            <v>0</v>
          </cell>
        </row>
        <row r="203">
          <cell r="H203" t="str">
            <v>G30</v>
          </cell>
          <cell r="J203" t="str">
            <v>Fundraising support</v>
          </cell>
          <cell r="L203">
            <v>0</v>
          </cell>
          <cell r="M203">
            <v>0</v>
          </cell>
          <cell r="N203">
            <v>0</v>
          </cell>
          <cell r="O203">
            <v>0</v>
          </cell>
          <cell r="P203">
            <v>0</v>
          </cell>
          <cell r="Q203">
            <v>0</v>
          </cell>
          <cell r="S203">
            <v>0</v>
          </cell>
          <cell r="T203">
            <v>0</v>
          </cell>
          <cell r="U203">
            <v>0</v>
          </cell>
          <cell r="V203">
            <v>0</v>
          </cell>
          <cell r="W203">
            <v>0</v>
          </cell>
          <cell r="X203">
            <v>0</v>
          </cell>
          <cell r="AU203">
            <v>0</v>
          </cell>
          <cell r="AV203">
            <v>0</v>
          </cell>
          <cell r="AW203">
            <v>0</v>
          </cell>
        </row>
        <row r="204">
          <cell r="H204" t="str">
            <v>G31</v>
          </cell>
          <cell r="J204" t="str">
            <v>Board Community Involvement</v>
          </cell>
          <cell r="L204">
            <v>0</v>
          </cell>
          <cell r="M204">
            <v>0</v>
          </cell>
          <cell r="N204">
            <v>0</v>
          </cell>
          <cell r="O204">
            <v>0</v>
          </cell>
          <cell r="P204">
            <v>0</v>
          </cell>
          <cell r="Q204">
            <v>0</v>
          </cell>
          <cell r="S204">
            <v>0</v>
          </cell>
          <cell r="T204">
            <v>0</v>
          </cell>
          <cell r="U204">
            <v>0</v>
          </cell>
          <cell r="V204">
            <v>0</v>
          </cell>
          <cell r="W204">
            <v>0</v>
          </cell>
          <cell r="X204">
            <v>0</v>
          </cell>
          <cell r="AU204">
            <v>0</v>
          </cell>
          <cell r="AV204">
            <v>0</v>
          </cell>
          <cell r="AW204">
            <v>0</v>
          </cell>
        </row>
        <row r="205">
          <cell r="L205">
            <v>0</v>
          </cell>
          <cell r="M205">
            <v>0</v>
          </cell>
          <cell r="N205">
            <v>0</v>
          </cell>
          <cell r="O205">
            <v>0</v>
          </cell>
          <cell r="P205">
            <v>0</v>
          </cell>
          <cell r="Q205">
            <v>0</v>
          </cell>
          <cell r="S205">
            <v>0</v>
          </cell>
          <cell r="T205">
            <v>0</v>
          </cell>
          <cell r="U205">
            <v>0</v>
          </cell>
          <cell r="V205">
            <v>0</v>
          </cell>
          <cell r="W205">
            <v>0</v>
          </cell>
          <cell r="X205">
            <v>0</v>
          </cell>
        </row>
        <row r="206">
          <cell r="H206" t="str">
            <v>H00</v>
          </cell>
          <cell r="J206" t="str">
            <v>Charity Care</v>
          </cell>
          <cell r="L206">
            <v>0</v>
          </cell>
          <cell r="M206">
            <v>0</v>
          </cell>
          <cell r="N206">
            <v>0</v>
          </cell>
          <cell r="O206">
            <v>0</v>
          </cell>
          <cell r="P206">
            <v>0</v>
          </cell>
          <cell r="Q206">
            <v>10015260.608000001</v>
          </cell>
          <cell r="S206">
            <v>0</v>
          </cell>
          <cell r="T206">
            <v>0</v>
          </cell>
          <cell r="U206">
            <v>0</v>
          </cell>
          <cell r="V206">
            <v>0</v>
          </cell>
          <cell r="W206">
            <v>0</v>
          </cell>
          <cell r="X206">
            <v>14404325.460000001</v>
          </cell>
          <cell r="AZ206">
            <v>756000</v>
          </cell>
        </row>
        <row r="207">
          <cell r="J207" t="str">
            <v>Financial Data/Indirect cost ratio</v>
          </cell>
          <cell r="L207">
            <v>0</v>
          </cell>
          <cell r="M207">
            <v>0</v>
          </cell>
          <cell r="N207">
            <v>0</v>
          </cell>
          <cell r="O207">
            <v>0</v>
          </cell>
          <cell r="P207">
            <v>0</v>
          </cell>
          <cell r="Q207">
            <v>0</v>
          </cell>
          <cell r="S207">
            <v>0</v>
          </cell>
          <cell r="T207">
            <v>0</v>
          </cell>
          <cell r="U207">
            <v>0</v>
          </cell>
          <cell r="V207">
            <v>0</v>
          </cell>
          <cell r="W207">
            <v>0</v>
          </cell>
          <cell r="X207">
            <v>0</v>
          </cell>
        </row>
        <row r="208">
          <cell r="J208" t="str">
            <v>Community Services</v>
          </cell>
          <cell r="L208">
            <v>0</v>
          </cell>
          <cell r="M208">
            <v>0</v>
          </cell>
          <cell r="N208">
            <v>0</v>
          </cell>
          <cell r="O208">
            <v>0</v>
          </cell>
          <cell r="P208">
            <v>0</v>
          </cell>
          <cell r="Q208">
            <v>0</v>
          </cell>
          <cell r="S208">
            <v>0</v>
          </cell>
          <cell r="T208">
            <v>0</v>
          </cell>
          <cell r="U208">
            <v>0</v>
          </cell>
          <cell r="V208">
            <v>0</v>
          </cell>
          <cell r="W208">
            <v>0</v>
          </cell>
          <cell r="X208">
            <v>0</v>
          </cell>
        </row>
        <row r="209">
          <cell r="J209" t="str">
            <v xml:space="preserve">Community Building </v>
          </cell>
          <cell r="L209">
            <v>0</v>
          </cell>
          <cell r="M209">
            <v>0</v>
          </cell>
          <cell r="N209">
            <v>0</v>
          </cell>
          <cell r="O209">
            <v>0</v>
          </cell>
          <cell r="P209">
            <v>0</v>
          </cell>
          <cell r="Q209">
            <v>0</v>
          </cell>
          <cell r="S209">
            <v>0</v>
          </cell>
          <cell r="T209">
            <v>0</v>
          </cell>
          <cell r="U209">
            <v>0</v>
          </cell>
          <cell r="V209">
            <v>0</v>
          </cell>
          <cell r="W209">
            <v>0</v>
          </cell>
          <cell r="X209">
            <v>0</v>
          </cell>
        </row>
        <row r="210">
          <cell r="J210" t="str">
            <v>Other Areas</v>
          </cell>
          <cell r="L210">
            <v>0</v>
          </cell>
          <cell r="M210">
            <v>0</v>
          </cell>
          <cell r="N210">
            <v>0</v>
          </cell>
          <cell r="O210">
            <v>0</v>
          </cell>
          <cell r="P210">
            <v>0</v>
          </cell>
          <cell r="Q210">
            <v>0</v>
          </cell>
          <cell r="S210">
            <v>0</v>
          </cell>
          <cell r="T210">
            <v>0</v>
          </cell>
          <cell r="U210">
            <v>0</v>
          </cell>
          <cell r="V210">
            <v>0</v>
          </cell>
          <cell r="W210">
            <v>0</v>
          </cell>
          <cell r="X210">
            <v>0</v>
          </cell>
        </row>
        <row r="211">
          <cell r="J211" t="str">
            <v xml:space="preserve">Total Hospital </v>
          </cell>
          <cell r="L211">
            <v>151887.41249999998</v>
          </cell>
          <cell r="M211">
            <v>69961.706699999995</v>
          </cell>
          <cell r="N211">
            <v>24892151.769639138</v>
          </cell>
          <cell r="O211">
            <v>1938103.1419470794</v>
          </cell>
          <cell r="P211">
            <v>-8175569.3810000001</v>
          </cell>
          <cell r="Q211">
            <v>28669946.138586223</v>
          </cell>
          <cell r="S211">
            <v>162532.21201105573</v>
          </cell>
          <cell r="T211">
            <v>62734.170497645893</v>
          </cell>
          <cell r="U211">
            <v>28401578.047362894</v>
          </cell>
          <cell r="V211">
            <v>1711931.1896382482</v>
          </cell>
          <cell r="W211">
            <v>-5965580.0667802012</v>
          </cell>
          <cell r="X211">
            <v>38552254.63022095</v>
          </cell>
        </row>
        <row r="213">
          <cell r="I213">
            <v>0.64773412526960161</v>
          </cell>
        </row>
        <row r="214">
          <cell r="I214">
            <v>0.61646080551249816</v>
          </cell>
        </row>
        <row r="216">
          <cell r="I216">
            <v>1.1348324778742314</v>
          </cell>
        </row>
      </sheetData>
      <sheetData sheetId="1" refreshError="1">
        <row r="161">
          <cell r="H161" t="str">
            <v>T99</v>
          </cell>
          <cell r="J161" t="str">
            <v>Medicaid Assessments</v>
          </cell>
          <cell r="L161">
            <v>0</v>
          </cell>
          <cell r="M161">
            <v>0</v>
          </cell>
          <cell r="N161">
            <v>9262500</v>
          </cell>
          <cell r="O161">
            <v>0</v>
          </cell>
          <cell r="P161">
            <v>-7920591.5</v>
          </cell>
          <cell r="Q161">
            <v>1341908.5</v>
          </cell>
        </row>
        <row r="162">
          <cell r="H162" t="str">
            <v>A10</v>
          </cell>
          <cell r="J162" t="str">
            <v>Community Health Education</v>
          </cell>
          <cell r="L162">
            <v>16576.059500000003</v>
          </cell>
          <cell r="M162">
            <v>26232.999999999996</v>
          </cell>
          <cell r="N162">
            <v>701202.23575000011</v>
          </cell>
          <cell r="O162">
            <v>387499.91463241586</v>
          </cell>
          <cell r="P162">
            <v>-48715.420749999997</v>
          </cell>
          <cell r="Q162">
            <v>1039986.7296324158</v>
          </cell>
        </row>
        <row r="163">
          <cell r="H163" t="str">
            <v>A11</v>
          </cell>
          <cell r="J163" t="str">
            <v>Support Groups</v>
          </cell>
          <cell r="L163">
            <v>706.50700000000006</v>
          </cell>
          <cell r="M163">
            <v>0</v>
          </cell>
          <cell r="N163">
            <v>34037.989249999999</v>
          </cell>
          <cell r="O163">
            <v>22047.567192784853</v>
          </cell>
          <cell r="P163">
            <v>-4798.5322500000002</v>
          </cell>
          <cell r="Q163">
            <v>51287.024192784855</v>
          </cell>
        </row>
        <row r="164">
          <cell r="H164" t="str">
            <v>A12</v>
          </cell>
          <cell r="J164" t="str">
            <v>Self-Help</v>
          </cell>
          <cell r="L164">
            <v>0</v>
          </cell>
          <cell r="M164">
            <v>0</v>
          </cell>
          <cell r="N164">
            <v>0</v>
          </cell>
          <cell r="O164">
            <v>0</v>
          </cell>
          <cell r="P164">
            <v>0</v>
          </cell>
          <cell r="Q164">
            <v>0</v>
          </cell>
        </row>
        <row r="165">
          <cell r="H165" t="str">
            <v>A20</v>
          </cell>
          <cell r="J165" t="str">
            <v>Community-Based Clinical Services</v>
          </cell>
          <cell r="L165">
            <v>5165.3799999999992</v>
          </cell>
          <cell r="M165">
            <v>478.99999999999994</v>
          </cell>
          <cell r="N165">
            <v>383346.71999999991</v>
          </cell>
          <cell r="O165">
            <v>248306.75235417084</v>
          </cell>
          <cell r="P165">
            <v>-437.64</v>
          </cell>
          <cell r="Q165">
            <v>631215.83235417074</v>
          </cell>
        </row>
        <row r="166">
          <cell r="H166" t="str">
            <v>A21</v>
          </cell>
          <cell r="J166" t="str">
            <v>Screenings</v>
          </cell>
          <cell r="L166">
            <v>2802.9139999999998</v>
          </cell>
          <cell r="M166">
            <v>1700</v>
          </cell>
          <cell r="N166">
            <v>161225.08974999998</v>
          </cell>
          <cell r="O166">
            <v>104430.99248072926</v>
          </cell>
          <cell r="P166">
            <v>-17232.5645</v>
          </cell>
          <cell r="Q166">
            <v>248423.51773072922</v>
          </cell>
        </row>
        <row r="167">
          <cell r="H167" t="str">
            <v>A22</v>
          </cell>
          <cell r="J167" t="str">
            <v>One-Time/Occasionally Held Clinics</v>
          </cell>
          <cell r="L167">
            <v>0</v>
          </cell>
          <cell r="M167">
            <v>0</v>
          </cell>
          <cell r="N167">
            <v>0</v>
          </cell>
          <cell r="O167">
            <v>0</v>
          </cell>
          <cell r="P167">
            <v>0</v>
          </cell>
          <cell r="Q167">
            <v>0</v>
          </cell>
        </row>
        <row r="168">
          <cell r="H168" t="str">
            <v>A23</v>
          </cell>
          <cell r="J168" t="str">
            <v>Free Clinics</v>
          </cell>
          <cell r="L168">
            <v>0</v>
          </cell>
          <cell r="M168">
            <v>0</v>
          </cell>
          <cell r="N168">
            <v>0</v>
          </cell>
          <cell r="O168">
            <v>0</v>
          </cell>
          <cell r="P168">
            <v>0</v>
          </cell>
          <cell r="Q168">
            <v>0</v>
          </cell>
        </row>
        <row r="169">
          <cell r="H169" t="str">
            <v>A24</v>
          </cell>
          <cell r="J169" t="str">
            <v>Mobile Units</v>
          </cell>
          <cell r="L169">
            <v>0</v>
          </cell>
          <cell r="M169">
            <v>0</v>
          </cell>
          <cell r="N169">
            <v>0</v>
          </cell>
          <cell r="O169">
            <v>0</v>
          </cell>
          <cell r="P169">
            <v>0</v>
          </cell>
          <cell r="Q169">
            <v>0</v>
          </cell>
        </row>
        <row r="170">
          <cell r="H170" t="str">
            <v>A30</v>
          </cell>
          <cell r="J170" t="str">
            <v>Health Care Support Services</v>
          </cell>
          <cell r="L170">
            <v>4687.9674999999997</v>
          </cell>
          <cell r="M170">
            <v>71</v>
          </cell>
          <cell r="N170">
            <v>1283698.5150000001</v>
          </cell>
          <cell r="O170">
            <v>785925.28285363677</v>
          </cell>
          <cell r="P170">
            <v>-65149.601249999992</v>
          </cell>
          <cell r="Q170">
            <v>2004474.196603637</v>
          </cell>
        </row>
        <row r="171">
          <cell r="H171" t="str">
            <v>A40</v>
          </cell>
          <cell r="J171" t="str">
            <v>Immunizations</v>
          </cell>
          <cell r="L171">
            <v>658.70699999999988</v>
          </cell>
          <cell r="M171">
            <v>1112.5</v>
          </cell>
          <cell r="N171">
            <v>31079.206750000001</v>
          </cell>
          <cell r="O171">
            <v>20131.062798284347</v>
          </cell>
          <cell r="P171">
            <v>-4237.2485000000006</v>
          </cell>
          <cell r="Q171">
            <v>46973.021048284347</v>
          </cell>
        </row>
        <row r="172">
          <cell r="H172" t="str">
            <v>A41</v>
          </cell>
          <cell r="J172" t="str">
            <v>Germantown Emergency Services - Free services</v>
          </cell>
          <cell r="L172">
            <v>0</v>
          </cell>
          <cell r="M172">
            <v>0</v>
          </cell>
          <cell r="N172">
            <v>0</v>
          </cell>
          <cell r="O172">
            <v>0</v>
          </cell>
          <cell r="P172">
            <v>0</v>
          </cell>
          <cell r="Q172">
            <v>0</v>
          </cell>
        </row>
        <row r="173">
          <cell r="H173" t="str">
            <v>B10</v>
          </cell>
          <cell r="J173" t="str">
            <v>Physicians/Medical Students</v>
          </cell>
          <cell r="L173">
            <v>2080</v>
          </cell>
          <cell r="M173">
            <v>6344</v>
          </cell>
          <cell r="N173">
            <v>209509.489</v>
          </cell>
          <cell r="O173">
            <v>0</v>
          </cell>
          <cell r="P173">
            <v>0</v>
          </cell>
          <cell r="Q173">
            <v>209509.489</v>
          </cell>
        </row>
        <row r="174">
          <cell r="H174" t="str">
            <v>B20</v>
          </cell>
          <cell r="J174" t="str">
            <v>Nurses/Nursing Students</v>
          </cell>
          <cell r="L174">
            <v>510342</v>
          </cell>
          <cell r="M174">
            <v>12151</v>
          </cell>
          <cell r="N174">
            <v>510342</v>
          </cell>
          <cell r="O174">
            <v>0</v>
          </cell>
          <cell r="P174">
            <v>0</v>
          </cell>
          <cell r="Q174">
            <v>510342</v>
          </cell>
        </row>
        <row r="175">
          <cell r="H175" t="str">
            <v>B30</v>
          </cell>
          <cell r="J175" t="str">
            <v>Other Health Professionals</v>
          </cell>
          <cell r="L175">
            <v>3158.6974999999993</v>
          </cell>
          <cell r="M175">
            <v>904.99999999999977</v>
          </cell>
          <cell r="N175">
            <v>143600.37</v>
          </cell>
          <cell r="O175">
            <v>0</v>
          </cell>
          <cell r="P175">
            <v>-44385.953750000001</v>
          </cell>
          <cell r="Q175">
            <v>99214.416249999995</v>
          </cell>
        </row>
        <row r="176">
          <cell r="H176" t="str">
            <v>B40</v>
          </cell>
          <cell r="J176" t="str">
            <v>Scholarships/Funding for Professional Education</v>
          </cell>
          <cell r="L176">
            <v>0</v>
          </cell>
          <cell r="M176">
            <v>0</v>
          </cell>
          <cell r="N176">
            <v>0</v>
          </cell>
          <cell r="O176">
            <v>0</v>
          </cell>
          <cell r="P176">
            <v>0</v>
          </cell>
          <cell r="Q176">
            <v>0</v>
          </cell>
        </row>
        <row r="177">
          <cell r="H177" t="str">
            <v>B50</v>
          </cell>
          <cell r="J177" t="str">
            <v>Other Health Professional Education</v>
          </cell>
          <cell r="L177">
            <v>0</v>
          </cell>
          <cell r="M177">
            <v>0</v>
          </cell>
          <cell r="N177">
            <v>0</v>
          </cell>
          <cell r="O177">
            <v>0</v>
          </cell>
          <cell r="P177">
            <v>0</v>
          </cell>
          <cell r="Q177">
            <v>0</v>
          </cell>
        </row>
        <row r="178">
          <cell r="H178" t="str">
            <v>B51</v>
          </cell>
          <cell r="J178" t="str">
            <v>Other</v>
          </cell>
          <cell r="L178">
            <v>0</v>
          </cell>
          <cell r="M178">
            <v>0</v>
          </cell>
          <cell r="N178">
            <v>0</v>
          </cell>
          <cell r="O178">
            <v>0</v>
          </cell>
          <cell r="P178">
            <v>0</v>
          </cell>
          <cell r="Q178">
            <v>0</v>
          </cell>
        </row>
        <row r="179">
          <cell r="H179" t="str">
            <v>C10</v>
          </cell>
          <cell r="J179" t="str">
            <v>Hospital Based Physicians</v>
          </cell>
          <cell r="L179">
            <v>0</v>
          </cell>
          <cell r="M179">
            <v>0</v>
          </cell>
          <cell r="N179">
            <v>0</v>
          </cell>
          <cell r="O179">
            <v>0</v>
          </cell>
          <cell r="P179">
            <v>0</v>
          </cell>
          <cell r="Q179">
            <v>0</v>
          </cell>
        </row>
        <row r="180">
          <cell r="H180" t="str">
            <v>C20</v>
          </cell>
          <cell r="J180" t="str">
            <v>Non-Residential House Staff and Hospitalists</v>
          </cell>
          <cell r="L180">
            <v>73746.73</v>
          </cell>
          <cell r="M180">
            <v>8493.7067000000025</v>
          </cell>
          <cell r="N180">
            <v>7686199.427666666</v>
          </cell>
          <cell r="O180">
            <v>0</v>
          </cell>
          <cell r="P180">
            <v>-350</v>
          </cell>
          <cell r="Q180">
            <v>7685849.427666666</v>
          </cell>
        </row>
        <row r="181">
          <cell r="H181" t="str">
            <v>C30</v>
          </cell>
          <cell r="J181" t="str">
            <v>Coverage of ED On Call</v>
          </cell>
          <cell r="L181">
            <v>8760</v>
          </cell>
          <cell r="M181">
            <v>0</v>
          </cell>
          <cell r="N181">
            <v>317616.99999999994</v>
          </cell>
          <cell r="O181">
            <v>0</v>
          </cell>
          <cell r="P181">
            <v>0</v>
          </cell>
          <cell r="Q181">
            <v>317616.99999999994</v>
          </cell>
        </row>
        <row r="182">
          <cell r="H182" t="str">
            <v>C40</v>
          </cell>
          <cell r="J182" t="str">
            <v>Physician Provision of Financial Assistance</v>
          </cell>
          <cell r="N182">
            <v>0</v>
          </cell>
          <cell r="O182">
            <v>0</v>
          </cell>
          <cell r="P182">
            <v>0</v>
          </cell>
          <cell r="Q182">
            <v>0</v>
          </cell>
        </row>
        <row r="183">
          <cell r="H183" t="str">
            <v>C50</v>
          </cell>
          <cell r="J183" t="str">
            <v>Recruitment of Physicians to Meet Community Needs</v>
          </cell>
          <cell r="L183">
            <v>0</v>
          </cell>
          <cell r="M183">
            <v>0</v>
          </cell>
          <cell r="N183">
            <v>2582152.814999999</v>
          </cell>
          <cell r="O183">
            <v>0</v>
          </cell>
          <cell r="P183">
            <v>0</v>
          </cell>
          <cell r="Q183">
            <v>2582152.814999999</v>
          </cell>
        </row>
        <row r="184">
          <cell r="H184" t="str">
            <v>C60</v>
          </cell>
          <cell r="J184" t="str">
            <v>Germantown Emergency</v>
          </cell>
          <cell r="L184">
            <v>0</v>
          </cell>
          <cell r="M184">
            <v>0</v>
          </cell>
          <cell r="N184">
            <v>0</v>
          </cell>
          <cell r="O184">
            <v>0</v>
          </cell>
          <cell r="P184">
            <v>0</v>
          </cell>
          <cell r="Q184">
            <v>0</v>
          </cell>
        </row>
        <row r="185">
          <cell r="H185" t="str">
            <v>D10</v>
          </cell>
          <cell r="J185" t="str">
            <v>Clinical Research</v>
          </cell>
          <cell r="L185">
            <v>7008.4299999999994</v>
          </cell>
          <cell r="M185">
            <v>980</v>
          </cell>
          <cell r="N185">
            <v>309408.53000000003</v>
          </cell>
          <cell r="O185">
            <v>0</v>
          </cell>
          <cell r="P185">
            <v>-83523</v>
          </cell>
          <cell r="Q185">
            <v>225885.53000000003</v>
          </cell>
        </row>
        <row r="186">
          <cell r="H186" t="str">
            <v>D20</v>
          </cell>
          <cell r="J186" t="str">
            <v>Community Health Research</v>
          </cell>
          <cell r="L186">
            <v>0</v>
          </cell>
          <cell r="M186">
            <v>0</v>
          </cell>
          <cell r="N186">
            <v>22097.59</v>
          </cell>
          <cell r="O186">
            <v>0</v>
          </cell>
          <cell r="P186">
            <v>0</v>
          </cell>
          <cell r="Q186">
            <v>22097.59</v>
          </cell>
        </row>
        <row r="187">
          <cell r="H187" t="str">
            <v>E10</v>
          </cell>
          <cell r="J187" t="str">
            <v>Cash Donations</v>
          </cell>
          <cell r="L187">
            <v>121.24999999999997</v>
          </cell>
          <cell r="M187">
            <v>192.49999999999994</v>
          </cell>
          <cell r="N187">
            <v>784564.94608785491</v>
          </cell>
          <cell r="O187">
            <v>0</v>
          </cell>
          <cell r="P187">
            <v>0</v>
          </cell>
          <cell r="Q187">
            <v>784564.94608785491</v>
          </cell>
        </row>
        <row r="188">
          <cell r="H188" t="str">
            <v>E20</v>
          </cell>
          <cell r="J188" t="str">
            <v>Grants</v>
          </cell>
          <cell r="L188">
            <v>361.99999999999989</v>
          </cell>
          <cell r="M188">
            <v>0</v>
          </cell>
          <cell r="N188">
            <v>1678.9999999999989</v>
          </cell>
          <cell r="O188">
            <v>0</v>
          </cell>
          <cell r="P188">
            <v>0</v>
          </cell>
          <cell r="Q188">
            <v>1678.9999999999989</v>
          </cell>
        </row>
        <row r="189">
          <cell r="H189" t="str">
            <v>E30</v>
          </cell>
          <cell r="J189" t="str">
            <v>In-Kind Donations</v>
          </cell>
          <cell r="L189">
            <v>0</v>
          </cell>
          <cell r="M189">
            <v>0</v>
          </cell>
          <cell r="N189">
            <v>0</v>
          </cell>
          <cell r="O189">
            <v>0</v>
          </cell>
          <cell r="P189">
            <v>0</v>
          </cell>
          <cell r="Q189">
            <v>0</v>
          </cell>
        </row>
        <row r="190">
          <cell r="H190" t="str">
            <v>E40</v>
          </cell>
          <cell r="J190" t="str">
            <v>Cost of Fund Raising for Community Programs</v>
          </cell>
          <cell r="L190">
            <v>0</v>
          </cell>
          <cell r="M190">
            <v>0</v>
          </cell>
          <cell r="N190">
            <v>0</v>
          </cell>
          <cell r="O190">
            <v>0</v>
          </cell>
          <cell r="P190">
            <v>0</v>
          </cell>
          <cell r="Q190">
            <v>0</v>
          </cell>
        </row>
        <row r="191">
          <cell r="H191" t="str">
            <v>F10</v>
          </cell>
          <cell r="J191" t="str">
            <v>Physical Improvements and Housing</v>
          </cell>
          <cell r="L191">
            <v>0</v>
          </cell>
          <cell r="M191">
            <v>0</v>
          </cell>
          <cell r="N191">
            <v>5235</v>
          </cell>
          <cell r="O191">
            <v>3390.8881457863645</v>
          </cell>
          <cell r="P191">
            <v>-4905</v>
          </cell>
          <cell r="Q191">
            <v>3720.8881457863645</v>
          </cell>
        </row>
        <row r="192">
          <cell r="H192" t="str">
            <v>F20</v>
          </cell>
          <cell r="J192" t="str">
            <v>Economic Development</v>
          </cell>
          <cell r="L192">
            <v>1.9999999999999984</v>
          </cell>
          <cell r="M192">
            <v>109.99999999999991</v>
          </cell>
          <cell r="N192">
            <v>294.99999999999977</v>
          </cell>
          <cell r="O192">
            <v>191.08156695453232</v>
          </cell>
          <cell r="P192">
            <v>0</v>
          </cell>
          <cell r="Q192">
            <v>486.08156695453209</v>
          </cell>
        </row>
        <row r="193">
          <cell r="H193" t="str">
            <v>F30</v>
          </cell>
          <cell r="J193" t="str">
            <v>Community Support</v>
          </cell>
          <cell r="L193">
            <v>80.749999999999943</v>
          </cell>
          <cell r="M193">
            <v>328.99999999999977</v>
          </cell>
          <cell r="N193">
            <v>41059.999999999993</v>
          </cell>
          <cell r="O193">
            <v>26595.963183569838</v>
          </cell>
          <cell r="P193">
            <v>0</v>
          </cell>
          <cell r="Q193">
            <v>67655.963183569838</v>
          </cell>
        </row>
        <row r="194">
          <cell r="H194" t="str">
            <v>F40</v>
          </cell>
          <cell r="J194" t="str">
            <v>Environmental Improvements</v>
          </cell>
          <cell r="L194">
            <v>0.74999999999999944</v>
          </cell>
          <cell r="M194">
            <v>5.4999999999999956</v>
          </cell>
          <cell r="N194">
            <v>167.99999999999986</v>
          </cell>
          <cell r="O194">
            <v>108.81933304529298</v>
          </cell>
          <cell r="P194">
            <v>0</v>
          </cell>
          <cell r="Q194">
            <v>276.81933304529286</v>
          </cell>
        </row>
        <row r="195">
          <cell r="H195" t="str">
            <v>F50</v>
          </cell>
          <cell r="J195" t="str">
            <v>Leadership Development/Training for Community Members</v>
          </cell>
          <cell r="L195">
            <v>18.249999999999986</v>
          </cell>
          <cell r="M195">
            <v>54.499999999999957</v>
          </cell>
          <cell r="N195">
            <v>141.99999999999989</v>
          </cell>
          <cell r="O195">
            <v>91.97824578828336</v>
          </cell>
          <cell r="P195">
            <v>0</v>
          </cell>
          <cell r="Q195">
            <v>233.97824578828323</v>
          </cell>
        </row>
        <row r="196">
          <cell r="H196" t="str">
            <v>F60</v>
          </cell>
          <cell r="J196" t="str">
            <v>Coalition Building</v>
          </cell>
          <cell r="L196">
            <v>481.99999999999966</v>
          </cell>
          <cell r="M196">
            <v>2325.4999999999982</v>
          </cell>
          <cell r="N196">
            <v>35235.999999999971</v>
          </cell>
          <cell r="O196">
            <v>22823.559637999664</v>
          </cell>
          <cell r="P196">
            <v>0</v>
          </cell>
          <cell r="Q196">
            <v>58059.559637999635</v>
          </cell>
        </row>
        <row r="197">
          <cell r="H197" t="str">
            <v>F70</v>
          </cell>
          <cell r="J197" t="str">
            <v>Advocacy for Community Health Improvements</v>
          </cell>
          <cell r="L197">
            <v>2292.27</v>
          </cell>
          <cell r="M197">
            <v>833.49999999999932</v>
          </cell>
          <cell r="N197">
            <v>311287.73</v>
          </cell>
          <cell r="O197">
            <v>201631.68549870991</v>
          </cell>
          <cell r="P197">
            <v>-3732.34</v>
          </cell>
          <cell r="Q197">
            <v>509187.07549870986</v>
          </cell>
        </row>
        <row r="198">
          <cell r="H198" t="str">
            <v>F80</v>
          </cell>
          <cell r="J198" t="str">
            <v>Workforce Development</v>
          </cell>
          <cell r="L198">
            <v>5.6249999999999973</v>
          </cell>
          <cell r="M198">
            <v>36.999999999999979</v>
          </cell>
          <cell r="N198">
            <v>811.99999999999932</v>
          </cell>
          <cell r="O198">
            <v>525.9601097189161</v>
          </cell>
          <cell r="P198">
            <v>0</v>
          </cell>
          <cell r="Q198">
            <v>1337.9601097189154</v>
          </cell>
        </row>
        <row r="199">
          <cell r="H199" t="str">
            <v>F90</v>
          </cell>
          <cell r="J199" t="str">
            <v>Disaster Prepardness</v>
          </cell>
          <cell r="L199">
            <v>0</v>
          </cell>
          <cell r="M199">
            <v>0</v>
          </cell>
          <cell r="N199">
            <v>0</v>
          </cell>
          <cell r="O199">
            <v>0</v>
          </cell>
          <cell r="P199">
            <v>0</v>
          </cell>
          <cell r="Q199">
            <v>0</v>
          </cell>
        </row>
        <row r="200">
          <cell r="H200" t="str">
            <v>G10</v>
          </cell>
          <cell r="J200" t="str">
            <v>Assigned Staff</v>
          </cell>
          <cell r="L200">
            <v>286.62499999999977</v>
          </cell>
          <cell r="M200">
            <v>197.99999999999986</v>
          </cell>
          <cell r="N200">
            <v>73136.115384615376</v>
          </cell>
          <cell r="O200">
            <v>47372.757724270494</v>
          </cell>
          <cell r="P200">
            <v>0</v>
          </cell>
          <cell r="Q200">
            <v>120508.87310888586</v>
          </cell>
        </row>
        <row r="201">
          <cell r="H201" t="str">
            <v>G20</v>
          </cell>
          <cell r="J201" t="str">
            <v>Community health/health assets assessments</v>
          </cell>
          <cell r="L201">
            <v>321.99999999999977</v>
          </cell>
          <cell r="M201">
            <v>72.499999999999943</v>
          </cell>
          <cell r="N201">
            <v>518.99999999999955</v>
          </cell>
          <cell r="O201">
            <v>336.17401101492294</v>
          </cell>
          <cell r="P201">
            <v>0</v>
          </cell>
          <cell r="Q201">
            <v>855.17401101492248</v>
          </cell>
        </row>
        <row r="202">
          <cell r="H202" t="str">
            <v>G30</v>
          </cell>
          <cell r="J202" t="str">
            <v>Fundraising support</v>
          </cell>
          <cell r="L202">
            <v>0</v>
          </cell>
          <cell r="M202">
            <v>0</v>
          </cell>
          <cell r="N202">
            <v>0</v>
          </cell>
          <cell r="O202">
            <v>0</v>
          </cell>
          <cell r="P202">
            <v>0</v>
          </cell>
          <cell r="Q202">
            <v>0</v>
          </cell>
        </row>
        <row r="203">
          <cell r="H203" t="str">
            <v>G31</v>
          </cell>
          <cell r="J203" t="str">
            <v>Board Community Involvement</v>
          </cell>
          <cell r="L203">
            <v>0</v>
          </cell>
          <cell r="M203">
            <v>0</v>
          </cell>
          <cell r="N203">
            <v>0</v>
          </cell>
          <cell r="O203">
            <v>0</v>
          </cell>
          <cell r="P203">
            <v>0</v>
          </cell>
          <cell r="Q203">
            <v>0</v>
          </cell>
        </row>
        <row r="204">
          <cell r="L204">
            <v>0</v>
          </cell>
          <cell r="M204">
            <v>0</v>
          </cell>
          <cell r="N204">
            <v>0</v>
          </cell>
          <cell r="O204">
            <v>0</v>
          </cell>
          <cell r="P204">
            <v>0</v>
          </cell>
          <cell r="Q204">
            <v>0</v>
          </cell>
        </row>
        <row r="205">
          <cell r="H205" t="str">
            <v>H00</v>
          </cell>
          <cell r="J205" t="str">
            <v>Charity Care</v>
          </cell>
          <cell r="L205">
            <v>0</v>
          </cell>
          <cell r="M205">
            <v>0</v>
          </cell>
          <cell r="N205">
            <v>0</v>
          </cell>
          <cell r="O205">
            <v>0</v>
          </cell>
          <cell r="P205">
            <v>0</v>
          </cell>
          <cell r="Q205">
            <v>10015260.608000001</v>
          </cell>
        </row>
        <row r="206">
          <cell r="J206" t="str">
            <v>Financial Data/Indirect cost ratio</v>
          </cell>
          <cell r="L206">
            <v>0</v>
          </cell>
          <cell r="M206">
            <v>0</v>
          </cell>
          <cell r="N206">
            <v>0</v>
          </cell>
          <cell r="O206">
            <v>0</v>
          </cell>
          <cell r="P206">
            <v>0</v>
          </cell>
          <cell r="Q206">
            <v>0</v>
          </cell>
        </row>
        <row r="207">
          <cell r="J207" t="str">
            <v>Community Services</v>
          </cell>
          <cell r="L207">
            <v>0</v>
          </cell>
          <cell r="M207">
            <v>0</v>
          </cell>
          <cell r="N207">
            <v>0</v>
          </cell>
          <cell r="O207">
            <v>0</v>
          </cell>
          <cell r="P207">
            <v>0</v>
          </cell>
          <cell r="Q207">
            <v>0</v>
          </cell>
        </row>
        <row r="208">
          <cell r="J208" t="str">
            <v xml:space="preserve">Community Building </v>
          </cell>
          <cell r="L208">
            <v>0</v>
          </cell>
          <cell r="M208">
            <v>0</v>
          </cell>
          <cell r="N208">
            <v>0</v>
          </cell>
          <cell r="O208">
            <v>0</v>
          </cell>
          <cell r="P208">
            <v>0</v>
          </cell>
          <cell r="Q208">
            <v>0</v>
          </cell>
        </row>
        <row r="209">
          <cell r="J209" t="str">
            <v>Other Areas</v>
          </cell>
          <cell r="L209">
            <v>0</v>
          </cell>
          <cell r="M209">
            <v>0</v>
          </cell>
          <cell r="N209">
            <v>0</v>
          </cell>
          <cell r="O209">
            <v>0</v>
          </cell>
          <cell r="P209">
            <v>0</v>
          </cell>
          <cell r="Q209">
            <v>0</v>
          </cell>
        </row>
        <row r="210">
          <cell r="J210" t="str">
            <v xml:space="preserve">Total Hospital </v>
          </cell>
          <cell r="L210">
            <v>639666.91250000009</v>
          </cell>
          <cell r="M210">
            <v>62627.206700000002</v>
          </cell>
          <cell r="N210">
            <v>24892151.769639138</v>
          </cell>
          <cell r="O210">
            <v>1871410.4397688801</v>
          </cell>
          <cell r="P210">
            <v>-8198058.801</v>
          </cell>
          <cell r="Q210">
            <v>28580764.016408019</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ow r="161">
          <cell r="N161">
            <v>9262500</v>
          </cell>
          <cell r="AB161">
            <v>0</v>
          </cell>
          <cell r="AI161">
            <v>0</v>
          </cell>
        </row>
        <row r="162">
          <cell r="AB162">
            <v>54203.398815158616</v>
          </cell>
          <cell r="AD162">
            <v>-3965.43524905</v>
          </cell>
          <cell r="AI162">
            <v>15722.76111165861</v>
          </cell>
          <cell r="AK162">
            <v>-1139.9408455500002</v>
          </cell>
        </row>
        <row r="163">
          <cell r="AB163">
            <v>2770.6923249500001</v>
          </cell>
          <cell r="AD163">
            <v>-390.60052515000007</v>
          </cell>
          <cell r="AI163">
            <v>796.48894844999995</v>
          </cell>
          <cell r="AK163">
            <v>-112.28565465000001</v>
          </cell>
        </row>
        <row r="164">
          <cell r="AB164">
            <v>0</v>
          </cell>
          <cell r="AD164">
            <v>0</v>
          </cell>
          <cell r="AI164">
            <v>0</v>
          </cell>
          <cell r="AK164">
            <v>0</v>
          </cell>
        </row>
        <row r="165">
          <cell r="AB165">
            <v>4965.5728524373762</v>
          </cell>
          <cell r="AD165">
            <v>0</v>
          </cell>
          <cell r="AI165">
            <v>1426.9158154764643</v>
          </cell>
          <cell r="AK165">
            <v>0</v>
          </cell>
        </row>
        <row r="166">
          <cell r="AB166">
            <v>13123.722305649999</v>
          </cell>
          <cell r="AD166">
            <v>-1402.7307503000002</v>
          </cell>
          <cell r="AI166">
            <v>3772.6671001500008</v>
          </cell>
          <cell r="AK166">
            <v>-403.24200930000006</v>
          </cell>
        </row>
        <row r="167">
          <cell r="AB167">
            <v>0</v>
          </cell>
          <cell r="AD167">
            <v>0</v>
          </cell>
          <cell r="AI167">
            <v>0</v>
          </cell>
          <cell r="AK167">
            <v>0</v>
          </cell>
        </row>
        <row r="168">
          <cell r="AB168">
            <v>0</v>
          </cell>
          <cell r="AD168">
            <v>0</v>
          </cell>
          <cell r="AI168">
            <v>0</v>
          </cell>
          <cell r="AK168">
            <v>0</v>
          </cell>
        </row>
        <row r="169">
          <cell r="AB169">
            <v>0</v>
          </cell>
          <cell r="AD169">
            <v>0</v>
          </cell>
          <cell r="AI169">
            <v>0</v>
          </cell>
          <cell r="AK169">
            <v>0</v>
          </cell>
        </row>
        <row r="170">
          <cell r="AB170">
            <v>135551.55829322661</v>
          </cell>
          <cell r="AC170">
            <v>87612.978466424567</v>
          </cell>
          <cell r="AD170">
            <v>-5303.1775417499994</v>
          </cell>
          <cell r="AI170">
            <v>5986.2593560200357</v>
          </cell>
          <cell r="AK170">
            <v>-1524.5006692499999</v>
          </cell>
        </row>
        <row r="171">
          <cell r="AB171">
            <v>2235.1794294500005</v>
          </cell>
          <cell r="AD171">
            <v>-344.91202790000006</v>
          </cell>
          <cell r="AI171">
            <v>727.25942322305957</v>
          </cell>
          <cell r="AK171">
            <v>-99.151614900000013</v>
          </cell>
        </row>
        <row r="172">
          <cell r="AB172">
            <v>0</v>
          </cell>
          <cell r="AD172">
            <v>0</v>
          </cell>
          <cell r="AI172">
            <v>0</v>
          </cell>
          <cell r="AK172">
            <v>0</v>
          </cell>
        </row>
        <row r="173">
          <cell r="AB173">
            <v>0</v>
          </cell>
          <cell r="AD173">
            <v>0</v>
          </cell>
          <cell r="AI173">
            <v>0</v>
          </cell>
          <cell r="AK173">
            <v>0</v>
          </cell>
        </row>
        <row r="174">
          <cell r="AB174">
            <v>0</v>
          </cell>
          <cell r="AD174">
            <v>0</v>
          </cell>
          <cell r="AI174">
            <v>0</v>
          </cell>
          <cell r="AK174">
            <v>0</v>
          </cell>
        </row>
        <row r="175">
          <cell r="AB175">
            <v>11169.254823489031</v>
          </cell>
          <cell r="AD175">
            <v>-1782.3778472499998</v>
          </cell>
          <cell r="AI175">
            <v>3207.516858</v>
          </cell>
          <cell r="AK175">
            <v>-512.37888974999998</v>
          </cell>
        </row>
        <row r="176">
          <cell r="AB176">
            <v>0</v>
          </cell>
          <cell r="AD176">
            <v>0</v>
          </cell>
          <cell r="AI176">
            <v>0</v>
          </cell>
          <cell r="AK176">
            <v>0</v>
          </cell>
        </row>
        <row r="177">
          <cell r="AB177">
            <v>0</v>
          </cell>
          <cell r="AD177">
            <v>0</v>
          </cell>
          <cell r="AI177">
            <v>0</v>
          </cell>
          <cell r="AK177">
            <v>0</v>
          </cell>
        </row>
        <row r="178">
          <cell r="AB178">
            <v>0</v>
          </cell>
          <cell r="AD178">
            <v>0</v>
          </cell>
          <cell r="AI178">
            <v>0</v>
          </cell>
          <cell r="AK178">
            <v>0</v>
          </cell>
        </row>
        <row r="179">
          <cell r="AB179">
            <v>0</v>
          </cell>
          <cell r="AI179">
            <v>0</v>
          </cell>
        </row>
        <row r="180">
          <cell r="AB180">
            <v>409382.6606955101</v>
          </cell>
          <cell r="AI180">
            <v>501212.70179670758</v>
          </cell>
        </row>
        <row r="181">
          <cell r="AB181">
            <v>0</v>
          </cell>
          <cell r="AI181">
            <v>0</v>
          </cell>
        </row>
        <row r="182">
          <cell r="AB182">
            <v>0</v>
          </cell>
          <cell r="AI182">
            <v>0</v>
          </cell>
        </row>
        <row r="183">
          <cell r="AB183">
            <v>825450.89</v>
          </cell>
          <cell r="AI183">
            <v>324565.93</v>
          </cell>
        </row>
        <row r="184">
          <cell r="AB184">
            <v>0</v>
          </cell>
          <cell r="AI184">
            <v>0</v>
          </cell>
        </row>
        <row r="185">
          <cell r="AB185">
            <v>41.53246666245284</v>
          </cell>
          <cell r="AI185">
            <v>11.934843229077439</v>
          </cell>
          <cell r="AJ185">
            <v>0</v>
          </cell>
        </row>
        <row r="186">
          <cell r="AB186">
            <v>0</v>
          </cell>
          <cell r="AI186">
            <v>0</v>
          </cell>
          <cell r="AJ186">
            <v>0</v>
          </cell>
        </row>
        <row r="187">
          <cell r="AB187">
            <v>0</v>
          </cell>
          <cell r="AI187">
            <v>0</v>
          </cell>
          <cell r="AJ187">
            <v>0</v>
          </cell>
        </row>
        <row r="188">
          <cell r="AB188">
            <v>70305.93875785674</v>
          </cell>
          <cell r="AI188">
            <v>17786.652886745018</v>
          </cell>
        </row>
        <row r="189">
          <cell r="AB189">
            <v>122.07287750395453</v>
          </cell>
          <cell r="AI189">
            <v>35.079078432131531</v>
          </cell>
        </row>
        <row r="190">
          <cell r="AB190">
            <v>0</v>
          </cell>
          <cell r="AI190">
            <v>0</v>
          </cell>
        </row>
        <row r="191">
          <cell r="AB191">
            <v>0</v>
          </cell>
          <cell r="AI191">
            <v>0</v>
          </cell>
        </row>
        <row r="192">
          <cell r="AB192">
            <v>0</v>
          </cell>
          <cell r="AI192">
            <v>0</v>
          </cell>
        </row>
        <row r="193">
          <cell r="AB193">
            <v>24.023681696908998</v>
          </cell>
          <cell r="AI193">
            <v>6.9034877501526362</v>
          </cell>
        </row>
        <row r="194">
          <cell r="AB194">
            <v>6997.0887546968634</v>
          </cell>
          <cell r="AI194">
            <v>1776.661683819912</v>
          </cell>
        </row>
        <row r="195">
          <cell r="AB195">
            <v>13.681283135866819</v>
          </cell>
          <cell r="AI195">
            <v>3.9314777695784504</v>
          </cell>
        </row>
        <row r="196">
          <cell r="AB196">
            <v>11.563941698173144</v>
          </cell>
          <cell r="AI196">
            <v>3.3230347814294046</v>
          </cell>
        </row>
        <row r="197">
          <cell r="AB197">
            <v>2586.9026196068176</v>
          </cell>
          <cell r="AI197">
            <v>743.37692159779203</v>
          </cell>
        </row>
        <row r="198">
          <cell r="AB198">
            <v>23768.82080087089</v>
          </cell>
          <cell r="AI198">
            <v>6832.5791213439152</v>
          </cell>
        </row>
        <row r="199">
          <cell r="AB199">
            <v>66.126201823356297</v>
          </cell>
          <cell r="AI199">
            <v>19.002142552962511</v>
          </cell>
        </row>
        <row r="200">
          <cell r="AB200">
            <v>0</v>
          </cell>
          <cell r="AI200">
            <v>0</v>
          </cell>
        </row>
        <row r="201">
          <cell r="Z201">
            <v>119.4750534453442</v>
          </cell>
          <cell r="AA201">
            <v>14.739953854713658</v>
          </cell>
          <cell r="AB201">
            <v>5838.025065872851</v>
          </cell>
          <cell r="AG201">
            <v>34.342898903008475</v>
          </cell>
          <cell r="AH201">
            <v>4.6335273712888885</v>
          </cell>
          <cell r="AI201">
            <v>1678.2215257510068</v>
          </cell>
        </row>
        <row r="202">
          <cell r="Z202">
            <v>26.222459343744735</v>
          </cell>
          <cell r="AA202">
            <v>5.9041251627996685</v>
          </cell>
          <cell r="AB202">
            <v>42.265392544731419</v>
          </cell>
          <cell r="AG202">
            <v>7.5353323916920294</v>
          </cell>
          <cell r="AH202">
            <v>1.696619870800224</v>
          </cell>
          <cell r="AI202">
            <v>12.145458109590569</v>
          </cell>
        </row>
        <row r="203">
          <cell r="Z203">
            <v>0</v>
          </cell>
          <cell r="AA203">
            <v>0</v>
          </cell>
          <cell r="AB203">
            <v>0</v>
          </cell>
          <cell r="AG203">
            <v>0</v>
          </cell>
          <cell r="AH203">
            <v>0</v>
          </cell>
          <cell r="AI203">
            <v>0</v>
          </cell>
        </row>
        <row r="204">
          <cell r="AG204">
            <v>0</v>
          </cell>
          <cell r="AH204">
            <v>0</v>
          </cell>
          <cell r="AI204">
            <v>0</v>
          </cell>
        </row>
        <row r="206">
          <cell r="AE206">
            <v>2546393.0720000002</v>
          </cell>
          <cell r="AL206">
            <v>161347.31</v>
          </cell>
        </row>
        <row r="215">
          <cell r="I215">
            <v>1.0254047374704169</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101 (2)"/>
      <sheetName val="P&amp;L_105"/>
      <sheetName val="P&amp;L_108"/>
      <sheetName val="P&amp;L_116"/>
      <sheetName val="P&amp;L_121  (2)"/>
      <sheetName val="P&amp;L_401 (2)"/>
      <sheetName val="P&amp;L_102 (2)"/>
      <sheetName val="P&amp;L_402 (2)"/>
      <sheetName val="C_102_2017"/>
      <sheetName val="F70_9403_GovtRel (2)"/>
      <sheetName val="A_9407_Grants (2)"/>
      <sheetName val="9408_Research (2)"/>
      <sheetName val="9835_Pastoral Care (2)"/>
      <sheetName val="CB_SC_Cost_Allocation"/>
      <sheetName val="A Community Health Services_13"/>
      <sheetName val="A_001-9308_CtrHlthDisp (2)"/>
      <sheetName val="A_002-9409 eCommerce"/>
      <sheetName val="A_1015050_SGMatCtr (2)"/>
      <sheetName val="A_101-9470_CasMgt (2)"/>
      <sheetName val="C_P&amp;L_102-3240PAs  (3)"/>
      <sheetName val="F_P&amp;L_002_9375ACES (2)"/>
      <sheetName val="B_101_4450RADSCH (2)"/>
      <sheetName val="C_101-3017  (2)"/>
      <sheetName val="C_101_OB_CALL_COVERAGE (2)"/>
      <sheetName val="C_101_PSYCH_ASMTS (2)"/>
      <sheetName val="C_P&amp;L_101-3240PAs  (2)"/>
      <sheetName val="B_1024450RADSCH  (2)"/>
      <sheetName val="D_1014225  (2)"/>
      <sheetName val="D_1024225 (2)"/>
      <sheetName val="D_0029408B (2)"/>
      <sheetName val="American &amp; Maryland A."/>
      <sheetName val="F30_WAH REAL PROPERTY TAX"/>
      <sheetName val="F70_ER_Prep"/>
      <sheetName val="F_RebldgTgthr"/>
      <sheetName val="WAH_2009-0020 (2)"/>
      <sheetName val="A_DECO (2)"/>
      <sheetName val="A_MedEligibility_MontgCo"/>
      <sheetName val="GenesisChaplain14"/>
      <sheetName val="A_102-9474 PopHlth"/>
      <sheetName val="A_102-9470_CaseMgt_13 (2)"/>
      <sheetName val="B_101-9450ML (2)"/>
      <sheetName val="SB_102-9450ML  (2)"/>
      <sheetName val="A_PtTransport (2)"/>
      <sheetName val="A Community Health Services"/>
      <sheetName val="G_Assigned Staff"/>
      <sheetName val="B_Nrsg_Educ_WAH"/>
      <sheetName val="B_Nrsg_Educ"/>
      <sheetName val="G_LYONSOFTWARE"/>
      <sheetName val="InKind"/>
      <sheetName val="IRB"/>
      <sheetName val="CampusReuse WAH Only"/>
      <sheetName val="AP_Vdrs"/>
      <sheetName val="F_Disaster"/>
      <sheetName val="Donations (2)"/>
      <sheetName val="Encounters"/>
      <sheetName val="OB Call Coverage 9000"/>
      <sheetName val="FY TB 2010"/>
      <sheetName val="sql"/>
    </sheetNames>
    <sheetDataSet>
      <sheetData sheetId="0">
        <row r="54">
          <cell r="K54">
            <v>306717022.44999999</v>
          </cell>
        </row>
        <row r="78">
          <cell r="K78">
            <v>7743804.0429999996</v>
          </cell>
        </row>
        <row r="342">
          <cell r="K342">
            <v>295844877.08899999</v>
          </cell>
        </row>
        <row r="344">
          <cell r="K344">
            <v>18615949.404000022</v>
          </cell>
        </row>
        <row r="359">
          <cell r="K359">
            <v>76752.076000000001</v>
          </cell>
        </row>
        <row r="361">
          <cell r="K361">
            <v>18692701.480000019</v>
          </cell>
        </row>
      </sheetData>
      <sheetData sheetId="1" refreshError="1">
        <row r="54">
          <cell r="K54">
            <v>31090771.831999995</v>
          </cell>
        </row>
        <row r="69">
          <cell r="K69">
            <v>4664558.75</v>
          </cell>
        </row>
        <row r="273">
          <cell r="K273">
            <v>33990541.447999999</v>
          </cell>
        </row>
        <row r="275">
          <cell r="K275">
            <v>1764789.1339999977</v>
          </cell>
        </row>
        <row r="286">
          <cell r="K286">
            <v>-197125.60200000001</v>
          </cell>
        </row>
        <row r="288">
          <cell r="K288">
            <v>1567663.5319999978</v>
          </cell>
        </row>
      </sheetData>
      <sheetData sheetId="2">
        <row r="52">
          <cell r="K52">
            <v>32969458.226999998</v>
          </cell>
        </row>
        <row r="68">
          <cell r="K68">
            <v>360155.04</v>
          </cell>
        </row>
        <row r="274">
          <cell r="K274">
            <v>33160122.263000004</v>
          </cell>
        </row>
        <row r="276">
          <cell r="K276">
            <v>169491.00399999978</v>
          </cell>
        </row>
        <row r="290">
          <cell r="K290">
            <v>46531.338000000003</v>
          </cell>
        </row>
        <row r="292">
          <cell r="K292">
            <v>216022.34199999977</v>
          </cell>
        </row>
      </sheetData>
      <sheetData sheetId="3" refreshError="1">
        <row r="41">
          <cell r="K41">
            <v>6485546.290000001</v>
          </cell>
        </row>
        <row r="52">
          <cell r="K52">
            <v>2165065.2599999998</v>
          </cell>
        </row>
        <row r="213">
          <cell r="K213">
            <v>9317745.1960000005</v>
          </cell>
        </row>
        <row r="215">
          <cell r="K215">
            <v>-667133.64599999972</v>
          </cell>
        </row>
        <row r="223">
          <cell r="K223">
            <v>0</v>
          </cell>
        </row>
        <row r="225">
          <cell r="K225">
            <v>-667133.64599999972</v>
          </cell>
        </row>
      </sheetData>
      <sheetData sheetId="4" refreshError="1"/>
      <sheetData sheetId="5" refreshError="1"/>
      <sheetData sheetId="6">
        <row r="52">
          <cell r="K52">
            <v>196134375.93000001</v>
          </cell>
        </row>
        <row r="71">
          <cell r="K71">
            <v>5721019.1899999995</v>
          </cell>
        </row>
        <row r="330">
          <cell r="K330">
            <v>217791712.05199996</v>
          </cell>
        </row>
        <row r="344">
          <cell r="K344">
            <v>-1479669.0350000001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CBR Initiatives"/>
      <sheetName val="MHE CBR FY2014"/>
      <sheetName val="MHE 2014"/>
      <sheetName val="DGH 2014"/>
      <sheetName val="UMMS FSS FIN DATA 2014"/>
      <sheetName val="SHS MHE DGH Com Ben Rpt 2013 cc"/>
      <sheetName val="Activities Comm Ben 2012"/>
      <sheetName val="SHS MHE DGH 2012"/>
    </sheetNames>
    <sheetDataSet>
      <sheetData sheetId="0">
        <row r="43">
          <cell r="E43">
            <v>3091.4</v>
          </cell>
        </row>
      </sheetData>
      <sheetData sheetId="1"/>
      <sheetData sheetId="2">
        <row r="20">
          <cell r="D20">
            <v>1292</v>
          </cell>
        </row>
      </sheetData>
      <sheetData sheetId="3">
        <row r="18">
          <cell r="D18">
            <v>627</v>
          </cell>
        </row>
      </sheetData>
      <sheetData sheetId="4">
        <row r="8">
          <cell r="Q8">
            <v>167472000</v>
          </cell>
        </row>
      </sheetData>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heetName val="ucmc"/>
      <sheetName val="hmh"/>
    </sheetNames>
    <sheetDataSet>
      <sheetData sheetId="0"/>
      <sheetData sheetId="1"/>
      <sheetData sheetId="2">
        <row r="12">
          <cell r="D12" t="str">
            <v>A10</v>
          </cell>
          <cell r="E12">
            <v>4673.0249999999996</v>
          </cell>
          <cell r="F12">
            <v>196592.19999999998</v>
          </cell>
          <cell r="G12">
            <v>21.7</v>
          </cell>
          <cell r="H12">
            <v>212578.8</v>
          </cell>
          <cell r="I12">
            <v>296.09999999999997</v>
          </cell>
          <cell r="J12">
            <v>350</v>
          </cell>
          <cell r="K12">
            <v>212524.9</v>
          </cell>
        </row>
        <row r="13">
          <cell r="D13" t="str">
            <v>A11</v>
          </cell>
          <cell r="E13">
            <v>488.42499999999995</v>
          </cell>
          <cell r="F13">
            <v>2857.3999999999996</v>
          </cell>
          <cell r="G13">
            <v>18.2</v>
          </cell>
          <cell r="H13">
            <v>31096.1</v>
          </cell>
          <cell r="I13">
            <v>7417.2</v>
          </cell>
          <cell r="J13">
            <v>0</v>
          </cell>
          <cell r="K13">
            <v>38513.299999999996</v>
          </cell>
        </row>
        <row r="14">
          <cell r="D14" t="str">
            <v>A12</v>
          </cell>
          <cell r="E14">
            <v>28.349999999999998</v>
          </cell>
          <cell r="F14">
            <v>177.1</v>
          </cell>
          <cell r="G14">
            <v>92.399999999999991</v>
          </cell>
          <cell r="H14">
            <v>8787.0999999999985</v>
          </cell>
          <cell r="I14">
            <v>7962.4999999999991</v>
          </cell>
          <cell r="J14">
            <v>0</v>
          </cell>
          <cell r="K14">
            <v>16749.599999999999</v>
          </cell>
        </row>
        <row r="15">
          <cell r="D15" t="str">
            <v>A20</v>
          </cell>
          <cell r="E15">
            <v>14893.759999999998</v>
          </cell>
          <cell r="F15">
            <v>7030.7999999999993</v>
          </cell>
          <cell r="G15">
            <v>7</v>
          </cell>
          <cell r="H15">
            <v>528486.69999999995</v>
          </cell>
          <cell r="I15">
            <v>0</v>
          </cell>
          <cell r="J15">
            <v>213910.19999999998</v>
          </cell>
          <cell r="K15">
            <v>314576.5</v>
          </cell>
        </row>
        <row r="16">
          <cell r="D16" t="str">
            <v>A21</v>
          </cell>
          <cell r="E16">
            <v>48.474999999999994</v>
          </cell>
          <cell r="F16">
            <v>383.59999999999997</v>
          </cell>
          <cell r="G16">
            <v>0</v>
          </cell>
          <cell r="H16">
            <v>1454.6</v>
          </cell>
          <cell r="I16">
            <v>0</v>
          </cell>
          <cell r="J16">
            <v>0</v>
          </cell>
          <cell r="K16">
            <v>1454.6</v>
          </cell>
        </row>
        <row r="17">
          <cell r="D17" t="str">
            <v>A24</v>
          </cell>
          <cell r="E17">
            <v>1536.85</v>
          </cell>
          <cell r="F17">
            <v>67.899999999999991</v>
          </cell>
          <cell r="G17">
            <v>0</v>
          </cell>
          <cell r="H17">
            <v>31401.999999999996</v>
          </cell>
          <cell r="I17">
            <v>0</v>
          </cell>
          <cell r="J17">
            <v>0</v>
          </cell>
          <cell r="K17">
            <v>31401.999999999996</v>
          </cell>
        </row>
        <row r="18">
          <cell r="D18" t="str">
            <v>A30</v>
          </cell>
          <cell r="E18">
            <v>2195.0249999999996</v>
          </cell>
          <cell r="F18">
            <v>161</v>
          </cell>
          <cell r="G18">
            <v>0</v>
          </cell>
          <cell r="H18">
            <v>452028.5</v>
          </cell>
          <cell r="I18">
            <v>0</v>
          </cell>
          <cell r="J18">
            <v>0</v>
          </cell>
          <cell r="K18">
            <v>452028.5</v>
          </cell>
        </row>
        <row r="19">
          <cell r="D19" t="str">
            <v>A40</v>
          </cell>
          <cell r="E19">
            <v>145.6</v>
          </cell>
          <cell r="F19">
            <v>0</v>
          </cell>
          <cell r="G19">
            <v>0</v>
          </cell>
          <cell r="H19">
            <v>1054.2</v>
          </cell>
          <cell r="I19">
            <v>0</v>
          </cell>
          <cell r="J19">
            <v>0</v>
          </cell>
          <cell r="K19">
            <v>1054.2</v>
          </cell>
        </row>
        <row r="20">
          <cell r="E20">
            <v>24009.510000000002</v>
          </cell>
          <cell r="F20">
            <v>207270</v>
          </cell>
          <cell r="G20">
            <v>139.29999999999998</v>
          </cell>
          <cell r="H20">
            <v>1266888</v>
          </cell>
          <cell r="I20">
            <v>15675.8</v>
          </cell>
          <cell r="J20">
            <v>214260.19999999998</v>
          </cell>
          <cell r="K20">
            <v>1068303.5999999999</v>
          </cell>
        </row>
        <row r="23">
          <cell r="D23" t="str">
            <v>B10</v>
          </cell>
          <cell r="E23">
            <v>4968.5999999999995</v>
          </cell>
          <cell r="F23">
            <v>0</v>
          </cell>
          <cell r="G23">
            <v>0</v>
          </cell>
          <cell r="H23">
            <v>357834.39999999997</v>
          </cell>
          <cell r="I23">
            <v>0</v>
          </cell>
          <cell r="J23">
            <v>0</v>
          </cell>
          <cell r="K23">
            <v>357834.39999999997</v>
          </cell>
        </row>
        <row r="24">
          <cell r="D24" t="str">
            <v>B20</v>
          </cell>
          <cell r="E24">
            <v>11634.699999999999</v>
          </cell>
          <cell r="F24">
            <v>7.6999999999999993</v>
          </cell>
          <cell r="G24">
            <v>0</v>
          </cell>
          <cell r="H24">
            <v>431835.6</v>
          </cell>
          <cell r="I24">
            <v>0</v>
          </cell>
          <cell r="J24">
            <v>0</v>
          </cell>
          <cell r="K24">
            <v>431835.6</v>
          </cell>
        </row>
        <row r="25">
          <cell r="D25" t="str">
            <v>B30</v>
          </cell>
          <cell r="E25">
            <v>32304.649999999998</v>
          </cell>
          <cell r="F25">
            <v>117.6</v>
          </cell>
          <cell r="G25">
            <v>1.4</v>
          </cell>
          <cell r="H25">
            <v>1227445.7999999998</v>
          </cell>
          <cell r="I25">
            <v>0</v>
          </cell>
          <cell r="J25">
            <v>1337</v>
          </cell>
          <cell r="K25">
            <v>1226108.7999999998</v>
          </cell>
        </row>
        <row r="26">
          <cell r="E26">
            <v>48907.95</v>
          </cell>
          <cell r="F26">
            <v>125.3</v>
          </cell>
          <cell r="G26">
            <v>1.4</v>
          </cell>
          <cell r="H26">
            <v>2017115.7999999998</v>
          </cell>
          <cell r="I26">
            <v>0</v>
          </cell>
          <cell r="J26">
            <v>1337</v>
          </cell>
          <cell r="K26">
            <v>2015778.7999999998</v>
          </cell>
        </row>
        <row r="29">
          <cell r="D29" t="str">
            <v>C70</v>
          </cell>
          <cell r="E29">
            <v>72.449999999999989</v>
          </cell>
          <cell r="F29">
            <v>0</v>
          </cell>
          <cell r="G29">
            <v>0</v>
          </cell>
          <cell r="H29">
            <v>10629.5</v>
          </cell>
          <cell r="I29">
            <v>0</v>
          </cell>
          <cell r="J29">
            <v>0</v>
          </cell>
          <cell r="K29">
            <v>10629.5</v>
          </cell>
        </row>
        <row r="30">
          <cell r="D30" t="str">
            <v>C90</v>
          </cell>
          <cell r="E30">
            <v>9.7999999999999989</v>
          </cell>
          <cell r="F30">
            <v>62.999999999999993</v>
          </cell>
          <cell r="G30">
            <v>0</v>
          </cell>
          <cell r="H30">
            <v>737.09999999999991</v>
          </cell>
          <cell r="I30">
            <v>0</v>
          </cell>
          <cell r="J30">
            <v>0</v>
          </cell>
          <cell r="K30">
            <v>737.09999999999991</v>
          </cell>
        </row>
        <row r="31">
          <cell r="E31">
            <v>82.25</v>
          </cell>
          <cell r="F31">
            <v>62.999999999999993</v>
          </cell>
          <cell r="G31">
            <v>0</v>
          </cell>
          <cell r="H31">
            <v>11366.599999999999</v>
          </cell>
          <cell r="I31">
            <v>0</v>
          </cell>
          <cell r="J31">
            <v>0</v>
          </cell>
          <cell r="K31">
            <v>11366.599999999999</v>
          </cell>
        </row>
        <row r="34">
          <cell r="D34" t="str">
            <v>D10</v>
          </cell>
          <cell r="E34">
            <v>7509.1099999999988</v>
          </cell>
          <cell r="F34">
            <v>0</v>
          </cell>
          <cell r="G34">
            <v>0</v>
          </cell>
          <cell r="H34">
            <v>240720.19999999998</v>
          </cell>
          <cell r="I34">
            <v>0</v>
          </cell>
          <cell r="J34">
            <v>0</v>
          </cell>
          <cell r="K34">
            <v>240720.19999999998</v>
          </cell>
        </row>
        <row r="35">
          <cell r="E35">
            <v>7509.1099999999988</v>
          </cell>
          <cell r="F35">
            <v>0</v>
          </cell>
          <cell r="G35">
            <v>0</v>
          </cell>
          <cell r="H35">
            <v>240720.19999999998</v>
          </cell>
          <cell r="I35">
            <v>0</v>
          </cell>
          <cell r="J35">
            <v>0</v>
          </cell>
          <cell r="K35">
            <v>240720.19999999998</v>
          </cell>
        </row>
        <row r="38">
          <cell r="D38" t="str">
            <v>E10</v>
          </cell>
          <cell r="E38">
            <v>7</v>
          </cell>
          <cell r="F38">
            <v>0</v>
          </cell>
          <cell r="G38">
            <v>0</v>
          </cell>
          <cell r="H38">
            <v>13003.9</v>
          </cell>
          <cell r="I38">
            <v>0</v>
          </cell>
          <cell r="J38">
            <v>0</v>
          </cell>
          <cell r="K38">
            <v>13003.9</v>
          </cell>
        </row>
        <row r="39">
          <cell r="D39" t="str">
            <v>E30</v>
          </cell>
          <cell r="E39">
            <v>823.35399999999993</v>
          </cell>
          <cell r="F39">
            <v>250.6</v>
          </cell>
          <cell r="G39">
            <v>0.7</v>
          </cell>
          <cell r="H39">
            <v>90735.4</v>
          </cell>
          <cell r="I39">
            <v>0</v>
          </cell>
          <cell r="J39">
            <v>0</v>
          </cell>
          <cell r="K39">
            <v>90735.4</v>
          </cell>
        </row>
        <row r="40">
          <cell r="E40">
            <v>830.35399999999993</v>
          </cell>
          <cell r="F40">
            <v>250.6</v>
          </cell>
          <cell r="G40">
            <v>0.7</v>
          </cell>
          <cell r="H40">
            <v>103739.29999999999</v>
          </cell>
          <cell r="I40">
            <v>0</v>
          </cell>
          <cell r="J40">
            <v>0</v>
          </cell>
          <cell r="K40">
            <v>103739.29999999999</v>
          </cell>
        </row>
        <row r="43">
          <cell r="D43" t="str">
            <v>F20</v>
          </cell>
          <cell r="E43">
            <v>11.2</v>
          </cell>
          <cell r="F43">
            <v>0</v>
          </cell>
          <cell r="G43">
            <v>0</v>
          </cell>
          <cell r="H43">
            <v>1161.3</v>
          </cell>
          <cell r="I43">
            <v>0</v>
          </cell>
          <cell r="J43">
            <v>0</v>
          </cell>
          <cell r="K43">
            <v>1161.3</v>
          </cell>
        </row>
        <row r="44">
          <cell r="D44" t="str">
            <v>F30</v>
          </cell>
          <cell r="E44">
            <v>140.69999999999999</v>
          </cell>
          <cell r="F44">
            <v>0</v>
          </cell>
          <cell r="G44">
            <v>0</v>
          </cell>
          <cell r="H44">
            <v>39904.199999999997</v>
          </cell>
          <cell r="I44">
            <v>0</v>
          </cell>
          <cell r="J44">
            <v>31499.999999999996</v>
          </cell>
          <cell r="K44">
            <v>8404.1999999999989</v>
          </cell>
        </row>
        <row r="45">
          <cell r="D45" t="str">
            <v>F40</v>
          </cell>
          <cell r="E45">
            <v>112</v>
          </cell>
          <cell r="F45">
            <v>0</v>
          </cell>
          <cell r="G45">
            <v>0</v>
          </cell>
          <cell r="H45">
            <v>5807.2</v>
          </cell>
          <cell r="I45">
            <v>0</v>
          </cell>
          <cell r="J45">
            <v>0</v>
          </cell>
          <cell r="K45">
            <v>5807.2</v>
          </cell>
        </row>
        <row r="46">
          <cell r="D46" t="str">
            <v>F50</v>
          </cell>
          <cell r="E46">
            <v>2.8</v>
          </cell>
          <cell r="F46">
            <v>0</v>
          </cell>
          <cell r="G46">
            <v>0</v>
          </cell>
          <cell r="H46">
            <v>290.5</v>
          </cell>
          <cell r="I46">
            <v>0</v>
          </cell>
          <cell r="J46">
            <v>0</v>
          </cell>
          <cell r="K46">
            <v>290.5</v>
          </cell>
        </row>
        <row r="47">
          <cell r="D47" t="str">
            <v>F60</v>
          </cell>
          <cell r="E47">
            <v>265.64999999999998</v>
          </cell>
          <cell r="F47">
            <v>52.5</v>
          </cell>
          <cell r="G47">
            <v>0</v>
          </cell>
          <cell r="H47">
            <v>24458.699999999997</v>
          </cell>
          <cell r="I47">
            <v>0</v>
          </cell>
          <cell r="J47">
            <v>0</v>
          </cell>
          <cell r="K47">
            <v>24458.699999999997</v>
          </cell>
        </row>
        <row r="48">
          <cell r="D48" t="str">
            <v>F80</v>
          </cell>
          <cell r="E48">
            <v>69.649999999999991</v>
          </cell>
          <cell r="F48">
            <v>77.699999999999989</v>
          </cell>
          <cell r="G48">
            <v>0</v>
          </cell>
          <cell r="H48">
            <v>1821.3999999999999</v>
          </cell>
          <cell r="I48">
            <v>0</v>
          </cell>
          <cell r="J48">
            <v>0</v>
          </cell>
          <cell r="K48">
            <v>1821.3999999999999</v>
          </cell>
        </row>
        <row r="49">
          <cell r="E49">
            <v>602</v>
          </cell>
          <cell r="F49">
            <v>130.19999999999999</v>
          </cell>
          <cell r="G49">
            <v>0</v>
          </cell>
          <cell r="H49">
            <v>73443.299999999988</v>
          </cell>
          <cell r="I49">
            <v>0</v>
          </cell>
          <cell r="J49">
            <v>31499.999999999996</v>
          </cell>
          <cell r="K49">
            <v>41943.299999999996</v>
          </cell>
        </row>
        <row r="52">
          <cell r="D52" t="str">
            <v>G10</v>
          </cell>
          <cell r="E52">
            <v>2196.6</v>
          </cell>
          <cell r="F52">
            <v>0.7</v>
          </cell>
          <cell r="G52">
            <v>0</v>
          </cell>
          <cell r="H52">
            <v>74504.5</v>
          </cell>
          <cell r="I52">
            <v>0</v>
          </cell>
          <cell r="J52">
            <v>0</v>
          </cell>
          <cell r="K52">
            <v>74504.5</v>
          </cell>
        </row>
        <row r="53">
          <cell r="E53">
            <v>2196.6</v>
          </cell>
          <cell r="F53">
            <v>0.7</v>
          </cell>
          <cell r="G53">
            <v>0</v>
          </cell>
          <cell r="H53">
            <v>74504.5</v>
          </cell>
          <cell r="I53">
            <v>0</v>
          </cell>
          <cell r="J53">
            <v>0</v>
          </cell>
          <cell r="K53">
            <v>74504.5</v>
          </cell>
        </row>
      </sheetData>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3-UM St Joseph"/>
      <sheetName val="CBISA Data"/>
      <sheetName val="Clinical Research"/>
      <sheetName val="St. Clare"/>
      <sheetName val="On-Call Physicians"/>
      <sheetName val="Women's Health"/>
      <sheetName val="Deficit Assessment FY14"/>
      <sheetName val="Indirect Cost Ratio"/>
    </sheetNames>
    <sheetDataSet>
      <sheetData sheetId="0"/>
      <sheetData sheetId="1"/>
      <sheetData sheetId="2"/>
      <sheetData sheetId="3"/>
      <sheetData sheetId="4"/>
      <sheetData sheetId="5"/>
      <sheetData sheetId="6">
        <row r="15">
          <cell r="D15">
            <v>7007943.3980720993</v>
          </cell>
          <cell r="E15">
            <v>8195226.5778723592</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6"/>
      <sheetName val="E_I"/>
      <sheetName val="E_II"/>
      <sheetName val="E_II (b)"/>
      <sheetName val="E_III"/>
      <sheetName val="E_IV"/>
      <sheetName val="E_V"/>
      <sheetName val="E_VI"/>
      <sheetName val="E_VII"/>
      <sheetName val="E_VIII"/>
      <sheetName val="E_IX"/>
      <sheetName val="E_X"/>
      <sheetName val="E_XI"/>
      <sheetName val="E_XII"/>
      <sheetName val="E_XIII"/>
      <sheetName val="E_XIV"/>
      <sheetName val="Hospital Phys Cost"/>
      <sheetName val="Med Ed Cost"/>
      <sheetName val="RR"/>
      <sheetName val="PY_M"/>
      <sheetName val="EC"/>
      <sheetName val="Instructions"/>
      <sheetName val="Rct (DON'T HIDE)"/>
      <sheetName val="Cvr (DON'T HIDE)"/>
      <sheetName val="Sig (DON'T HIDE)"/>
      <sheetName val="Sch"/>
      <sheetName val="cdefhpv"/>
      <sheetName val="rev5pda"/>
      <sheetName val="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7"/>
      <sheetName val="E_I"/>
      <sheetName val="E_II (a)"/>
      <sheetName val="E_II (b)"/>
      <sheetName val="E_III"/>
      <sheetName val="E_IV"/>
      <sheetName val="E_V"/>
      <sheetName val="E_VI"/>
      <sheetName val="E_VII"/>
      <sheetName val="E_VIII"/>
      <sheetName val="E_IX"/>
      <sheetName val="E_X"/>
      <sheetName val="E_XI"/>
      <sheetName val="E_XII"/>
      <sheetName val="E_XIII"/>
      <sheetName val="E_XIV"/>
      <sheetName val="E_XV"/>
      <sheetName val="E_XVI"/>
      <sheetName val="E_XVII"/>
      <sheetName val="E_XVIII"/>
      <sheetName val="E_XIX"/>
      <sheetName val="Exhibits Formatting"/>
      <sheetName val="cdef2013 - D"/>
      <sheetName val="rev5pda2013 - M"/>
      <sheetName val="HSCRC Rates By Center 2014"/>
      <sheetName val="FY 2013 - RE"/>
      <sheetName val="FY 2013 - UA"/>
      <sheetName val="cdef2013 - C"/>
      <sheetName val="RR (a)"/>
      <sheetName val="RR (b)"/>
      <sheetName val="Provider IDs"/>
      <sheetName val="PY_M"/>
      <sheetName val="EC"/>
      <sheetName val="Instructions"/>
      <sheetName val="Rct (DON'T HIDE)"/>
      <sheetName val="Cvr (DON'T HIDE)"/>
      <sheetName val="Sig (DON'T HIDE)"/>
      <sheetName val="Sch"/>
      <sheetName val="cdefhpv"/>
      <sheetName val="rev5pda"/>
      <sheetName val="Print"/>
    </sheetNames>
    <sheetDataSet>
      <sheetData sheetId="0">
        <row r="4">
          <cell r="B4">
            <v>210063</v>
          </cell>
        </row>
        <row r="16">
          <cell r="B16">
            <v>1</v>
          </cell>
        </row>
      </sheetData>
      <sheetData sheetId="1" refreshError="1"/>
      <sheetData sheetId="2">
        <row r="5">
          <cell r="B5" t="str">
            <v>UNITS</v>
          </cell>
          <cell r="D5" t="str">
            <v>PAT CARE</v>
          </cell>
          <cell r="E5" t="str">
            <v>OTHER</v>
          </cell>
          <cell r="G5" t="str">
            <v>PHYSICIAN</v>
          </cell>
          <cell r="H5" t="str">
            <v>RESIDENT</v>
          </cell>
        </row>
        <row r="6">
          <cell r="B6" t="str">
            <v>OF</v>
          </cell>
          <cell r="C6" t="str">
            <v>DIRECT</v>
          </cell>
          <cell r="D6" t="str">
            <v>OVERHEAD</v>
          </cell>
          <cell r="E6" t="str">
            <v>OVERHEAD</v>
          </cell>
          <cell r="F6" t="str">
            <v>N/A</v>
          </cell>
          <cell r="G6" t="str">
            <v>SUPPORT</v>
          </cell>
          <cell r="H6" t="str">
            <v>INTERN</v>
          </cell>
          <cell r="I6" t="str">
            <v>LEVEL</v>
          </cell>
        </row>
        <row r="7">
          <cell r="B7" t="str">
            <v>MEASURE</v>
          </cell>
          <cell r="C7" t="str">
            <v>EXPENSES</v>
          </cell>
          <cell r="D7" t="str">
            <v>EXPENSES</v>
          </cell>
          <cell r="E7" t="str">
            <v>EXPENSES</v>
          </cell>
          <cell r="G7" t="str">
            <v>EXPENSES</v>
          </cell>
          <cell r="H7" t="str">
            <v>EXPENSES</v>
          </cell>
          <cell r="I7" t="str">
            <v>I</v>
          </cell>
        </row>
        <row r="9">
          <cell r="A9" t="str">
            <v>CODE</v>
          </cell>
          <cell r="B9" t="str">
            <v>COL 1</v>
          </cell>
          <cell r="C9" t="str">
            <v>COL 2</v>
          </cell>
          <cell r="D9" t="str">
            <v>COL 3</v>
          </cell>
          <cell r="E9" t="str">
            <v>COL 4</v>
          </cell>
          <cell r="F9" t="str">
            <v>COL 5</v>
          </cell>
          <cell r="G9" t="str">
            <v>COL 6</v>
          </cell>
          <cell r="H9" t="str">
            <v>COL 7</v>
          </cell>
          <cell r="I9" t="str">
            <v>COL 8</v>
          </cell>
        </row>
        <row r="10">
          <cell r="A10" t="str">
            <v>MSG</v>
          </cell>
          <cell r="B10">
            <v>43801</v>
          </cell>
          <cell r="C10">
            <v>27547.702819874721</v>
          </cell>
          <cell r="D10">
            <v>7621.1544327530046</v>
          </cell>
          <cell r="E10">
            <v>8637.2075233668711</v>
          </cell>
          <cell r="F10" t="str">
            <v xml:space="preserve"> /////////</v>
          </cell>
          <cell r="G10">
            <v>466.72997993071078</v>
          </cell>
          <cell r="H10">
            <v>0</v>
          </cell>
          <cell r="I10">
            <v>44272.794755925308</v>
          </cell>
        </row>
        <row r="11">
          <cell r="A11" t="str">
            <v>PED</v>
          </cell>
          <cell r="B11">
            <v>0</v>
          </cell>
          <cell r="C11">
            <v>0</v>
          </cell>
          <cell r="D11">
            <v>0</v>
          </cell>
          <cell r="E11">
            <v>0</v>
          </cell>
          <cell r="F11" t="str">
            <v xml:space="preserve"> /////////</v>
          </cell>
          <cell r="G11">
            <v>0</v>
          </cell>
          <cell r="H11">
            <v>0</v>
          </cell>
          <cell r="I11">
            <v>0</v>
          </cell>
        </row>
        <row r="12">
          <cell r="A12" t="str">
            <v>PSY</v>
          </cell>
          <cell r="B12">
            <v>5490</v>
          </cell>
          <cell r="C12">
            <v>3239.0422893270052</v>
          </cell>
          <cell r="D12">
            <v>890.01961784726507</v>
          </cell>
          <cell r="E12">
            <v>1015.3528015196043</v>
          </cell>
          <cell r="F12" t="str">
            <v xml:space="preserve"> /////////</v>
          </cell>
          <cell r="G12">
            <v>0</v>
          </cell>
          <cell r="H12">
            <v>0</v>
          </cell>
          <cell r="I12">
            <v>5144.4147086938747</v>
          </cell>
        </row>
        <row r="13">
          <cell r="A13" t="str">
            <v>OBS</v>
          </cell>
          <cell r="B13">
            <v>5563</v>
          </cell>
          <cell r="C13">
            <v>1937.8835006195845</v>
          </cell>
          <cell r="D13">
            <v>784.08116274256099</v>
          </cell>
          <cell r="E13">
            <v>615.96367050484162</v>
          </cell>
          <cell r="F13" t="str">
            <v xml:space="preserve"> /////////</v>
          </cell>
          <cell r="G13">
            <v>0</v>
          </cell>
          <cell r="H13">
            <v>0</v>
          </cell>
          <cell r="I13">
            <v>3337.928333866987</v>
          </cell>
        </row>
        <row r="14">
          <cell r="A14" t="str">
            <v>DEF</v>
          </cell>
          <cell r="B14">
            <v>0</v>
          </cell>
          <cell r="C14">
            <v>0</v>
          </cell>
          <cell r="D14">
            <v>0</v>
          </cell>
          <cell r="E14">
            <v>0</v>
          </cell>
          <cell r="F14" t="str">
            <v xml:space="preserve"> /////////</v>
          </cell>
          <cell r="G14">
            <v>0</v>
          </cell>
          <cell r="H14">
            <v>0</v>
          </cell>
          <cell r="I14">
            <v>0</v>
          </cell>
        </row>
        <row r="15">
          <cell r="A15" t="str">
            <v>MIS</v>
          </cell>
          <cell r="B15">
            <v>5436</v>
          </cell>
          <cell r="C15">
            <v>7789.4403556329953</v>
          </cell>
          <cell r="D15">
            <v>1488.7581337189581</v>
          </cell>
          <cell r="E15">
            <v>2419.7937001470655</v>
          </cell>
          <cell r="F15" t="str">
            <v xml:space="preserve"> /////////</v>
          </cell>
          <cell r="G15">
            <v>0</v>
          </cell>
          <cell r="H15">
            <v>0</v>
          </cell>
          <cell r="I15">
            <v>11697.992189499018</v>
          </cell>
        </row>
        <row r="16">
          <cell r="A16" t="str">
            <v>CCU</v>
          </cell>
          <cell r="B16">
            <v>0</v>
          </cell>
          <cell r="C16">
            <v>0</v>
          </cell>
          <cell r="D16">
            <v>0</v>
          </cell>
          <cell r="E16">
            <v>0</v>
          </cell>
          <cell r="F16" t="str">
            <v xml:space="preserve"> /////////</v>
          </cell>
          <cell r="G16">
            <v>0</v>
          </cell>
          <cell r="H16">
            <v>0</v>
          </cell>
          <cell r="I16">
            <v>0</v>
          </cell>
        </row>
        <row r="17">
          <cell r="A17" t="str">
            <v>PIC</v>
          </cell>
          <cell r="B17">
            <v>0</v>
          </cell>
          <cell r="C17">
            <v>0</v>
          </cell>
          <cell r="D17">
            <v>0</v>
          </cell>
          <cell r="E17">
            <v>0</v>
          </cell>
          <cell r="F17" t="str">
            <v xml:space="preserve"> /////////</v>
          </cell>
          <cell r="G17">
            <v>0</v>
          </cell>
          <cell r="H17">
            <v>0</v>
          </cell>
          <cell r="I17">
            <v>0</v>
          </cell>
        </row>
        <row r="18">
          <cell r="A18" t="str">
            <v>NEO</v>
          </cell>
          <cell r="B18">
            <v>3221</v>
          </cell>
          <cell r="C18">
            <v>3949.5717497429428</v>
          </cell>
          <cell r="D18">
            <v>297.98910124194708</v>
          </cell>
          <cell r="E18">
            <v>1211.5207041412007</v>
          </cell>
          <cell r="F18" t="str">
            <v xml:space="preserve"> /////////</v>
          </cell>
          <cell r="G18">
            <v>2.0318942785368561</v>
          </cell>
          <cell r="H18">
            <v>0</v>
          </cell>
          <cell r="I18">
            <v>5461.1134494046273</v>
          </cell>
        </row>
        <row r="19">
          <cell r="A19" t="str">
            <v>BUR</v>
          </cell>
          <cell r="B19">
            <v>0</v>
          </cell>
          <cell r="C19">
            <v>0</v>
          </cell>
          <cell r="D19">
            <v>0</v>
          </cell>
          <cell r="E19">
            <v>0</v>
          </cell>
          <cell r="F19" t="str">
            <v xml:space="preserve"> /////////</v>
          </cell>
          <cell r="G19">
            <v>0</v>
          </cell>
          <cell r="H19">
            <v>0</v>
          </cell>
          <cell r="I19">
            <v>0</v>
          </cell>
        </row>
        <row r="20">
          <cell r="A20" t="str">
            <v>TRM</v>
          </cell>
          <cell r="B20">
            <v>0</v>
          </cell>
          <cell r="C20">
            <v>0</v>
          </cell>
          <cell r="D20">
            <v>0</v>
          </cell>
          <cell r="E20">
            <v>0</v>
          </cell>
          <cell r="F20" t="str">
            <v xml:space="preserve"> /////////</v>
          </cell>
          <cell r="G20">
            <v>0</v>
          </cell>
          <cell r="H20">
            <v>0</v>
          </cell>
          <cell r="I20">
            <v>0</v>
          </cell>
        </row>
        <row r="21">
          <cell r="A21" t="str">
            <v>ONC</v>
          </cell>
          <cell r="B21">
            <v>0</v>
          </cell>
          <cell r="C21">
            <v>0</v>
          </cell>
          <cell r="D21">
            <v>0</v>
          </cell>
          <cell r="E21">
            <v>0</v>
          </cell>
          <cell r="F21" t="str">
            <v xml:space="preserve"> /////////</v>
          </cell>
          <cell r="G21">
            <v>0</v>
          </cell>
          <cell r="H21">
            <v>0</v>
          </cell>
          <cell r="I21">
            <v>0</v>
          </cell>
        </row>
        <row r="22">
          <cell r="A22" t="str">
            <v>NUR</v>
          </cell>
          <cell r="B22">
            <v>4384</v>
          </cell>
          <cell r="C22">
            <v>1216.09121</v>
          </cell>
          <cell r="D22">
            <v>16.676014187722195</v>
          </cell>
          <cell r="E22">
            <v>370.49954787797304</v>
          </cell>
          <cell r="F22" t="str">
            <v xml:space="preserve"> /////////</v>
          </cell>
          <cell r="G22">
            <v>0</v>
          </cell>
          <cell r="H22">
            <v>0</v>
          </cell>
          <cell r="I22">
            <v>1603.2667720656952</v>
          </cell>
        </row>
        <row r="23">
          <cell r="A23" t="str">
            <v>PRE</v>
          </cell>
          <cell r="B23">
            <v>0</v>
          </cell>
          <cell r="C23">
            <v>0</v>
          </cell>
          <cell r="D23">
            <v>0</v>
          </cell>
          <cell r="E23">
            <v>0</v>
          </cell>
          <cell r="F23" t="str">
            <v xml:space="preserve"> /////////</v>
          </cell>
          <cell r="G23">
            <v>0</v>
          </cell>
          <cell r="H23">
            <v>0</v>
          </cell>
          <cell r="I23">
            <v>0</v>
          </cell>
        </row>
        <row r="24">
          <cell r="A24" t="str">
            <v>CHR</v>
          </cell>
          <cell r="B24">
            <v>0</v>
          </cell>
          <cell r="C24">
            <v>0</v>
          </cell>
          <cell r="D24">
            <v>0</v>
          </cell>
          <cell r="E24">
            <v>0</v>
          </cell>
          <cell r="F24" t="str">
            <v xml:space="preserve"> /////////</v>
          </cell>
          <cell r="G24">
            <v>0</v>
          </cell>
          <cell r="H24">
            <v>0</v>
          </cell>
          <cell r="I24">
            <v>0</v>
          </cell>
        </row>
        <row r="25">
          <cell r="A25" t="str">
            <v>EMG</v>
          </cell>
          <cell r="B25">
            <v>486997</v>
          </cell>
          <cell r="C25">
            <v>9472.0940932641788</v>
          </cell>
          <cell r="D25">
            <v>1242.2166772502644</v>
          </cell>
          <cell r="E25">
            <v>3077.2870134523064</v>
          </cell>
          <cell r="F25" t="str">
            <v xml:space="preserve"> /////////</v>
          </cell>
          <cell r="G25">
            <v>0</v>
          </cell>
          <cell r="H25">
            <v>0</v>
          </cell>
          <cell r="I25">
            <v>13791.59778396675</v>
          </cell>
        </row>
        <row r="26">
          <cell r="A26" t="str">
            <v>CL</v>
          </cell>
          <cell r="B26">
            <v>257863</v>
          </cell>
          <cell r="C26">
            <v>6276.5276017304577</v>
          </cell>
          <cell r="D26">
            <v>822.16894701876913</v>
          </cell>
          <cell r="E26">
            <v>2072.1915038225407</v>
          </cell>
          <cell r="F26" t="str">
            <v xml:space="preserve"> /////////</v>
          </cell>
          <cell r="G26">
            <v>0</v>
          </cell>
          <cell r="H26">
            <v>0</v>
          </cell>
          <cell r="I26">
            <v>9170.8880525717686</v>
          </cell>
        </row>
        <row r="27">
          <cell r="A27" t="str">
            <v>PDC</v>
          </cell>
          <cell r="B27">
            <v>1736</v>
          </cell>
          <cell r="C27">
            <v>234.61896250000001</v>
          </cell>
          <cell r="D27">
            <v>14.260386978501545</v>
          </cell>
          <cell r="E27">
            <v>77.552275900601984</v>
          </cell>
          <cell r="F27" t="str">
            <v xml:space="preserve"> /////////</v>
          </cell>
          <cell r="G27">
            <v>0</v>
          </cell>
          <cell r="H27">
            <v>0</v>
          </cell>
          <cell r="I27">
            <v>326.43162537910354</v>
          </cell>
        </row>
        <row r="28">
          <cell r="A28" t="str">
            <v>SDS</v>
          </cell>
          <cell r="B28">
            <v>5523</v>
          </cell>
          <cell r="C28">
            <v>1868.32448</v>
          </cell>
          <cell r="D28">
            <v>214.0682834360467</v>
          </cell>
          <cell r="E28">
            <v>575.57034416671445</v>
          </cell>
          <cell r="F28" t="str">
            <v xml:space="preserve"> /////////</v>
          </cell>
          <cell r="G28">
            <v>0</v>
          </cell>
          <cell r="H28">
            <v>0</v>
          </cell>
          <cell r="I28">
            <v>2657.9631076027608</v>
          </cell>
        </row>
        <row r="29">
          <cell r="A29" t="str">
            <v>DEL</v>
          </cell>
          <cell r="B29">
            <v>97296</v>
          </cell>
          <cell r="C29">
            <v>4211.2879685443313</v>
          </cell>
          <cell r="D29">
            <v>579.16378101559064</v>
          </cell>
          <cell r="E29">
            <v>1408.2553519949056</v>
          </cell>
          <cell r="F29" t="str">
            <v xml:space="preserve"> /////////</v>
          </cell>
          <cell r="G29">
            <v>0</v>
          </cell>
          <cell r="H29">
            <v>0</v>
          </cell>
          <cell r="I29">
            <v>6198.7071015548281</v>
          </cell>
        </row>
        <row r="30">
          <cell r="A30" t="str">
            <v>OR</v>
          </cell>
          <cell r="B30">
            <v>1190372</v>
          </cell>
          <cell r="C30">
            <v>15891.246628009467</v>
          </cell>
          <cell r="D30">
            <v>3272.2986088437638</v>
          </cell>
          <cell r="E30">
            <v>5754.2755295842599</v>
          </cell>
          <cell r="F30" t="str">
            <v xml:space="preserve"> /////////</v>
          </cell>
          <cell r="G30">
            <v>389.00670070521306</v>
          </cell>
          <cell r="H30">
            <v>0</v>
          </cell>
          <cell r="I30">
            <v>25306.827467142706</v>
          </cell>
        </row>
        <row r="31">
          <cell r="A31" t="str">
            <v>ORC</v>
          </cell>
          <cell r="B31">
            <v>4194</v>
          </cell>
          <cell r="C31">
            <v>11.43825</v>
          </cell>
          <cell r="D31">
            <v>2.5538971847254448</v>
          </cell>
          <cell r="E31">
            <v>4.8335195059979874</v>
          </cell>
          <cell r="F31" t="str">
            <v xml:space="preserve"> /////////</v>
          </cell>
          <cell r="G31">
            <v>0</v>
          </cell>
          <cell r="H31">
            <v>0</v>
          </cell>
          <cell r="I31">
            <v>18.82566669072343</v>
          </cell>
        </row>
        <row r="32">
          <cell r="A32" t="str">
            <v>ANS</v>
          </cell>
          <cell r="B32">
            <v>1142348</v>
          </cell>
          <cell r="C32">
            <v>1283.6281209672156</v>
          </cell>
          <cell r="D32">
            <v>93.132725593592113</v>
          </cell>
          <cell r="E32">
            <v>451.5306629353687</v>
          </cell>
          <cell r="F32" t="str">
            <v xml:space="preserve"> /////////</v>
          </cell>
          <cell r="G32">
            <v>0</v>
          </cell>
          <cell r="H32">
            <v>0</v>
          </cell>
          <cell r="I32">
            <v>1828.2915094961763</v>
          </cell>
        </row>
        <row r="33">
          <cell r="A33" t="str">
            <v>LAB</v>
          </cell>
          <cell r="B33">
            <v>11691696</v>
          </cell>
          <cell r="C33">
            <v>10543.677055394794</v>
          </cell>
          <cell r="D33">
            <v>1394.7923830741233</v>
          </cell>
          <cell r="E33">
            <v>3733.8139409373548</v>
          </cell>
          <cell r="F33" t="str">
            <v xml:space="preserve"> /////////</v>
          </cell>
          <cell r="G33">
            <v>0</v>
          </cell>
          <cell r="H33">
            <v>0</v>
          </cell>
          <cell r="I33">
            <v>15672.283379406272</v>
          </cell>
        </row>
        <row r="34">
          <cell r="A34" t="str">
            <v>EKG</v>
          </cell>
          <cell r="B34">
            <v>752547</v>
          </cell>
          <cell r="C34">
            <v>989.82997607410675</v>
          </cell>
          <cell r="D34">
            <v>301.20026624583488</v>
          </cell>
          <cell r="E34">
            <v>363.7701946117291</v>
          </cell>
          <cell r="F34" t="str">
            <v xml:space="preserve"> /////////</v>
          </cell>
          <cell r="G34">
            <v>0.70195985556695129</v>
          </cell>
          <cell r="H34">
            <v>0</v>
          </cell>
          <cell r="I34">
            <v>1655.5023967872376</v>
          </cell>
        </row>
        <row r="35">
          <cell r="A35" t="str">
            <v>IRC</v>
          </cell>
          <cell r="B35">
            <v>130721</v>
          </cell>
          <cell r="C35">
            <v>5618.5887744248394</v>
          </cell>
          <cell r="D35">
            <v>1209.036140238318</v>
          </cell>
          <cell r="E35">
            <v>1977.9599831598819</v>
          </cell>
          <cell r="F35" t="str">
            <v xml:space="preserve"> /////////</v>
          </cell>
          <cell r="G35">
            <v>5.7069947415211528</v>
          </cell>
          <cell r="H35">
            <v>0</v>
          </cell>
          <cell r="I35">
            <v>8811.291892564559</v>
          </cell>
        </row>
        <row r="36">
          <cell r="A36" t="str">
            <v>RAD</v>
          </cell>
          <cell r="B36">
            <v>389100</v>
          </cell>
          <cell r="C36">
            <v>4565.8630791335709</v>
          </cell>
          <cell r="D36">
            <v>997.72531576129109</v>
          </cell>
          <cell r="E36">
            <v>1760.8725485749678</v>
          </cell>
          <cell r="F36" t="str">
            <v xml:space="preserve"> /////////</v>
          </cell>
          <cell r="G36">
            <v>0</v>
          </cell>
          <cell r="H36">
            <v>0</v>
          </cell>
          <cell r="I36">
            <v>7324.4609434698305</v>
          </cell>
        </row>
        <row r="37">
          <cell r="A37" t="str">
            <v>CAT</v>
          </cell>
          <cell r="B37">
            <v>583451</v>
          </cell>
          <cell r="C37">
            <v>1626.2420468019409</v>
          </cell>
          <cell r="D37">
            <v>90.81438948918597</v>
          </cell>
          <cell r="E37">
            <v>618.0990090960729</v>
          </cell>
          <cell r="F37" t="str">
            <v xml:space="preserve"> /////////</v>
          </cell>
          <cell r="G37">
            <v>0</v>
          </cell>
          <cell r="H37">
            <v>0</v>
          </cell>
          <cell r="I37">
            <v>2335.1554453871995</v>
          </cell>
        </row>
        <row r="38">
          <cell r="A38" t="str">
            <v>RAT</v>
          </cell>
          <cell r="B38">
            <v>226184</v>
          </cell>
          <cell r="C38">
            <v>3686.3</v>
          </cell>
          <cell r="D38">
            <v>343.66845530824463</v>
          </cell>
          <cell r="E38">
            <v>1542.353398332504</v>
          </cell>
          <cell r="F38" t="str">
            <v xml:space="preserve"> /////////</v>
          </cell>
          <cell r="G38">
            <v>0</v>
          </cell>
          <cell r="H38">
            <v>0</v>
          </cell>
          <cell r="I38">
            <v>5572.3218536407485</v>
          </cell>
        </row>
        <row r="39">
          <cell r="A39" t="str">
            <v>NUC</v>
          </cell>
          <cell r="B39">
            <v>181014</v>
          </cell>
          <cell r="C39">
            <v>2145.9086124702253</v>
          </cell>
          <cell r="D39">
            <v>804.33673879542664</v>
          </cell>
          <cell r="E39">
            <v>890.9790804922294</v>
          </cell>
          <cell r="F39" t="str">
            <v xml:space="preserve"> /////////</v>
          </cell>
          <cell r="G39">
            <v>0</v>
          </cell>
          <cell r="H39">
            <v>0</v>
          </cell>
          <cell r="I39">
            <v>3841.2244317578816</v>
          </cell>
        </row>
        <row r="40">
          <cell r="A40" t="str">
            <v>RES</v>
          </cell>
          <cell r="B40">
            <v>3110049</v>
          </cell>
          <cell r="C40">
            <v>2967.3818536038821</v>
          </cell>
          <cell r="D40">
            <v>114.05317309133237</v>
          </cell>
          <cell r="E40">
            <v>920.78052567927625</v>
          </cell>
          <cell r="F40" t="str">
            <v xml:space="preserve"> /////////</v>
          </cell>
          <cell r="G40">
            <v>0</v>
          </cell>
          <cell r="H40">
            <v>0</v>
          </cell>
          <cell r="I40">
            <v>4002.2155523744905</v>
          </cell>
        </row>
        <row r="41">
          <cell r="A41" t="str">
            <v>PUL</v>
          </cell>
          <cell r="B41">
            <v>98026</v>
          </cell>
          <cell r="C41">
            <v>178.44825020291134</v>
          </cell>
          <cell r="D41">
            <v>52.275328692645409</v>
          </cell>
          <cell r="E41">
            <v>74.008925345313997</v>
          </cell>
          <cell r="F41" t="str">
            <v xml:space="preserve"> /////////</v>
          </cell>
          <cell r="G41">
            <v>0</v>
          </cell>
          <cell r="H41">
            <v>0</v>
          </cell>
          <cell r="I41">
            <v>304.73250424087075</v>
          </cell>
        </row>
        <row r="42">
          <cell r="A42" t="str">
            <v>EEG</v>
          </cell>
          <cell r="B42">
            <v>110342</v>
          </cell>
          <cell r="C42">
            <v>444.25234473753869</v>
          </cell>
          <cell r="D42">
            <v>211.49230819620132</v>
          </cell>
          <cell r="E42">
            <v>189.60418977308797</v>
          </cell>
          <cell r="F42" t="str">
            <v xml:space="preserve"> /////////</v>
          </cell>
          <cell r="G42">
            <v>0</v>
          </cell>
          <cell r="H42">
            <v>0</v>
          </cell>
          <cell r="I42">
            <v>845.34884270682801</v>
          </cell>
        </row>
        <row r="43">
          <cell r="A43" t="str">
            <v>PTH</v>
          </cell>
          <cell r="B43">
            <v>347704</v>
          </cell>
          <cell r="C43">
            <v>1387.9268313365683</v>
          </cell>
          <cell r="D43">
            <v>204.78326245041714</v>
          </cell>
          <cell r="E43">
            <v>459.40068669380344</v>
          </cell>
          <cell r="F43" t="str">
            <v xml:space="preserve"> /////////</v>
          </cell>
          <cell r="G43">
            <v>0</v>
          </cell>
          <cell r="H43">
            <v>0</v>
          </cell>
          <cell r="I43">
            <v>2052.1107804807889</v>
          </cell>
        </row>
        <row r="44">
          <cell r="A44" t="str">
            <v>OTH</v>
          </cell>
          <cell r="B44">
            <v>317989</v>
          </cell>
          <cell r="C44">
            <v>1348.4180368019411</v>
          </cell>
          <cell r="D44">
            <v>17.955823142989935</v>
          </cell>
          <cell r="E44">
            <v>413.83202996046526</v>
          </cell>
          <cell r="F44" t="str">
            <v xml:space="preserve"> /////////</v>
          </cell>
          <cell r="G44">
            <v>0</v>
          </cell>
          <cell r="H44">
            <v>0</v>
          </cell>
          <cell r="I44">
            <v>1780.2058899053961</v>
          </cell>
        </row>
        <row r="45">
          <cell r="A45" t="str">
            <v>STH</v>
          </cell>
          <cell r="B45">
            <v>35670</v>
          </cell>
          <cell r="C45">
            <v>166.16693999999998</v>
          </cell>
          <cell r="D45">
            <v>4.55791767411612</v>
          </cell>
          <cell r="E45">
            <v>54.992562479579369</v>
          </cell>
          <cell r="F45" t="str">
            <v xml:space="preserve"> /////////</v>
          </cell>
          <cell r="G45">
            <v>0</v>
          </cell>
          <cell r="H45">
            <v>0</v>
          </cell>
          <cell r="I45">
            <v>225.71742015369546</v>
          </cell>
        </row>
        <row r="46">
          <cell r="A46" t="str">
            <v>REC</v>
          </cell>
          <cell r="B46">
            <v>0</v>
          </cell>
          <cell r="C46">
            <v>0</v>
          </cell>
          <cell r="D46">
            <v>0</v>
          </cell>
          <cell r="E46">
            <v>0</v>
          </cell>
          <cell r="F46" t="str">
            <v xml:space="preserve"> /////////</v>
          </cell>
          <cell r="G46">
            <v>0</v>
          </cell>
          <cell r="H46">
            <v>0</v>
          </cell>
          <cell r="I46">
            <v>0</v>
          </cell>
        </row>
        <row r="47">
          <cell r="A47" t="str">
            <v>AUD</v>
          </cell>
          <cell r="B47">
            <v>8456</v>
          </cell>
          <cell r="C47">
            <v>100.5</v>
          </cell>
          <cell r="D47">
            <v>9.3694706775028038</v>
          </cell>
          <cell r="E47">
            <v>30.888403159085748</v>
          </cell>
          <cell r="F47" t="str">
            <v xml:space="preserve"> /////////</v>
          </cell>
          <cell r="G47">
            <v>0</v>
          </cell>
          <cell r="H47">
            <v>0</v>
          </cell>
          <cell r="I47">
            <v>140.75787383658854</v>
          </cell>
        </row>
        <row r="48">
          <cell r="A48" t="str">
            <v>OPM</v>
          </cell>
          <cell r="B48">
            <v>0</v>
          </cell>
          <cell r="C48">
            <v>0</v>
          </cell>
          <cell r="D48">
            <v>0</v>
          </cell>
          <cell r="E48">
            <v>0</v>
          </cell>
          <cell r="F48" t="str">
            <v xml:space="preserve"> /////////</v>
          </cell>
          <cell r="G48">
            <v>0</v>
          </cell>
          <cell r="H48">
            <v>0</v>
          </cell>
          <cell r="I48">
            <v>0</v>
          </cell>
        </row>
        <row r="49">
          <cell r="A49" t="str">
            <v>RDL</v>
          </cell>
          <cell r="B49">
            <v>0</v>
          </cell>
          <cell r="C49">
            <v>0</v>
          </cell>
          <cell r="D49">
            <v>0</v>
          </cell>
          <cell r="E49">
            <v>0</v>
          </cell>
          <cell r="F49" t="str">
            <v xml:space="preserve"> /////////</v>
          </cell>
          <cell r="G49">
            <v>0</v>
          </cell>
          <cell r="H49">
            <v>0</v>
          </cell>
          <cell r="I49">
            <v>0</v>
          </cell>
        </row>
        <row r="50">
          <cell r="A50" t="str">
            <v>OA</v>
          </cell>
          <cell r="B50">
            <v>0</v>
          </cell>
          <cell r="C50">
            <v>0</v>
          </cell>
          <cell r="D50">
            <v>0</v>
          </cell>
          <cell r="E50">
            <v>0</v>
          </cell>
          <cell r="F50" t="str">
            <v xml:space="preserve"> /////////</v>
          </cell>
          <cell r="G50">
            <v>0</v>
          </cell>
          <cell r="H50">
            <v>0</v>
          </cell>
          <cell r="I50">
            <v>0</v>
          </cell>
        </row>
        <row r="51">
          <cell r="A51" t="str">
            <v>LEU</v>
          </cell>
          <cell r="B51">
            <v>0</v>
          </cell>
          <cell r="C51">
            <v>0</v>
          </cell>
          <cell r="D51">
            <v>0</v>
          </cell>
          <cell r="E51">
            <v>0</v>
          </cell>
          <cell r="F51" t="str">
            <v xml:space="preserve"> /////////</v>
          </cell>
          <cell r="G51">
            <v>0</v>
          </cell>
          <cell r="H51">
            <v>0</v>
          </cell>
          <cell r="I51">
            <v>0</v>
          </cell>
        </row>
        <row r="52">
          <cell r="A52" t="str">
            <v>HYP</v>
          </cell>
          <cell r="B52">
            <v>0</v>
          </cell>
          <cell r="C52">
            <v>0</v>
          </cell>
          <cell r="D52">
            <v>0</v>
          </cell>
          <cell r="E52">
            <v>0</v>
          </cell>
          <cell r="F52" t="str">
            <v xml:space="preserve"> /////////</v>
          </cell>
          <cell r="G52">
            <v>0</v>
          </cell>
          <cell r="H52">
            <v>0</v>
          </cell>
          <cell r="I52">
            <v>0</v>
          </cell>
        </row>
        <row r="53">
          <cell r="A53" t="str">
            <v>FSE</v>
          </cell>
          <cell r="B53">
            <v>0</v>
          </cell>
          <cell r="C53">
            <v>0</v>
          </cell>
          <cell r="D53">
            <v>0</v>
          </cell>
          <cell r="E53">
            <v>0</v>
          </cell>
          <cell r="F53" t="str">
            <v xml:space="preserve"> /////////</v>
          </cell>
          <cell r="G53">
            <v>0</v>
          </cell>
          <cell r="H53">
            <v>0</v>
          </cell>
          <cell r="I53">
            <v>0</v>
          </cell>
        </row>
        <row r="54">
          <cell r="A54" t="str">
            <v>MRI</v>
          </cell>
          <cell r="B54">
            <v>28018</v>
          </cell>
          <cell r="C54">
            <v>804.04016999999999</v>
          </cell>
          <cell r="D54">
            <v>76.118059183590418</v>
          </cell>
          <cell r="E54">
            <v>256.34139181605684</v>
          </cell>
          <cell r="F54" t="str">
            <v xml:space="preserve"> /////////</v>
          </cell>
          <cell r="G54">
            <v>0</v>
          </cell>
          <cell r="H54">
            <v>0</v>
          </cell>
          <cell r="I54">
            <v>1136.4996209996473</v>
          </cell>
        </row>
        <row r="55">
          <cell r="A55" t="str">
            <v>LIT</v>
          </cell>
          <cell r="B55">
            <v>21</v>
          </cell>
          <cell r="C55">
            <v>24</v>
          </cell>
          <cell r="D55">
            <v>2.2374855349260425</v>
          </cell>
          <cell r="E55">
            <v>10.124963146745504</v>
          </cell>
          <cell r="F55" t="str">
            <v xml:space="preserve"> /////////</v>
          </cell>
          <cell r="G55">
            <v>0</v>
          </cell>
          <cell r="H55">
            <v>0</v>
          </cell>
          <cell r="I55">
            <v>36.362448681671552</v>
          </cell>
        </row>
        <row r="56">
          <cell r="A56" t="str">
            <v>RHB</v>
          </cell>
          <cell r="B56">
            <v>0</v>
          </cell>
          <cell r="C56">
            <v>0</v>
          </cell>
          <cell r="D56">
            <v>0</v>
          </cell>
          <cell r="E56">
            <v>0</v>
          </cell>
          <cell r="F56" t="str">
            <v xml:space="preserve"> /////////</v>
          </cell>
          <cell r="G56">
            <v>0</v>
          </cell>
          <cell r="H56">
            <v>0</v>
          </cell>
          <cell r="I56">
            <v>0</v>
          </cell>
        </row>
        <row r="57">
          <cell r="A57" t="str">
            <v>OBV</v>
          </cell>
          <cell r="B57">
            <v>45365</v>
          </cell>
          <cell r="C57">
            <v>1330.7675948963388</v>
          </cell>
          <cell r="D57">
            <v>382.08891531883728</v>
          </cell>
          <cell r="E57">
            <v>698.31216084028574</v>
          </cell>
          <cell r="F57" t="str">
            <v xml:space="preserve"> /////////</v>
          </cell>
          <cell r="G57">
            <v>0</v>
          </cell>
          <cell r="H57">
            <v>0</v>
          </cell>
          <cell r="I57">
            <v>2411.1686710554618</v>
          </cell>
        </row>
        <row r="58">
          <cell r="A58" t="str">
            <v>AMR</v>
          </cell>
          <cell r="B58">
            <v>0</v>
          </cell>
          <cell r="C58">
            <v>161.36261906925449</v>
          </cell>
          <cell r="D58">
            <v>15.016567840301065</v>
          </cell>
          <cell r="E58">
            <v>5.9513827699848854</v>
          </cell>
          <cell r="F58" t="str">
            <v xml:space="preserve"> /////////</v>
          </cell>
          <cell r="G58" t="str">
            <v>////////////</v>
          </cell>
          <cell r="H58" t="str">
            <v>////////////</v>
          </cell>
          <cell r="I58">
            <v>182.33056967954045</v>
          </cell>
        </row>
        <row r="59">
          <cell r="A59" t="str">
            <v>TMT</v>
          </cell>
          <cell r="B59">
            <v>0</v>
          </cell>
          <cell r="C59">
            <v>0</v>
          </cell>
          <cell r="D59">
            <v>0</v>
          </cell>
          <cell r="E59">
            <v>0</v>
          </cell>
          <cell r="F59" t="str">
            <v xml:space="preserve"> /////////</v>
          </cell>
          <cell r="G59">
            <v>0</v>
          </cell>
          <cell r="H59">
            <v>0</v>
          </cell>
          <cell r="I59">
            <v>0</v>
          </cell>
        </row>
        <row r="60">
          <cell r="A60" t="str">
            <v>OCL</v>
          </cell>
          <cell r="B60">
            <v>0</v>
          </cell>
          <cell r="C60">
            <v>0</v>
          </cell>
          <cell r="D60">
            <v>0</v>
          </cell>
          <cell r="E60">
            <v>0</v>
          </cell>
          <cell r="F60" t="str">
            <v xml:space="preserve"> /////////</v>
          </cell>
          <cell r="G60">
            <v>0</v>
          </cell>
          <cell r="H60">
            <v>0</v>
          </cell>
          <cell r="I60">
            <v>0</v>
          </cell>
        </row>
        <row r="61">
          <cell r="A61" t="str">
            <v>TNA</v>
          </cell>
          <cell r="B61">
            <v>0</v>
          </cell>
          <cell r="C61">
            <v>5.7203311336568143</v>
          </cell>
          <cell r="D61">
            <v>0.52991823088424495</v>
          </cell>
          <cell r="E61">
            <v>0.21089578100455236</v>
          </cell>
          <cell r="F61" t="str">
            <v xml:space="preserve"> /////////</v>
          </cell>
          <cell r="G61">
            <v>0</v>
          </cell>
          <cell r="H61">
            <v>0</v>
          </cell>
          <cell r="I61">
            <v>6.4611451455456113</v>
          </cell>
        </row>
        <row r="62">
          <cell r="A62" t="str">
            <v>ADM</v>
          </cell>
          <cell r="B62">
            <v>15176</v>
          </cell>
          <cell r="C62" t="str">
            <v>////////////</v>
          </cell>
          <cell r="D62">
            <v>548.58057793559772</v>
          </cell>
          <cell r="E62">
            <v>670.77846475290551</v>
          </cell>
          <cell r="F62" t="str">
            <v xml:space="preserve"> /////////</v>
          </cell>
          <cell r="G62" t="str">
            <v>////////////</v>
          </cell>
          <cell r="H62" t="str">
            <v>////////////</v>
          </cell>
          <cell r="I62">
            <v>1219.3590426885032</v>
          </cell>
        </row>
        <row r="63">
          <cell r="A63" t="str">
            <v>MSS</v>
          </cell>
          <cell r="B63">
            <v>24887.001029999999</v>
          </cell>
          <cell r="C63">
            <v>39859.699999999997</v>
          </cell>
          <cell r="D63">
            <v>2664.2860083889332</v>
          </cell>
          <cell r="E63">
            <v>876.7513168352923</v>
          </cell>
          <cell r="F63" t="str">
            <v xml:space="preserve"> /////////</v>
          </cell>
          <cell r="G63" t="str">
            <v>////////////</v>
          </cell>
          <cell r="H63" t="str">
            <v>////////////</v>
          </cell>
          <cell r="I63">
            <v>43400.737325224218</v>
          </cell>
        </row>
        <row r="64">
          <cell r="A64" t="str">
            <v>CDS</v>
          </cell>
          <cell r="B64">
            <v>24887.001029999999</v>
          </cell>
          <cell r="C64">
            <v>19398.3</v>
          </cell>
          <cell r="D64">
            <v>5010.36520494045</v>
          </cell>
          <cell r="E64">
            <v>1924.1198952707871</v>
          </cell>
          <cell r="F64" t="str">
            <v xml:space="preserve"> /////////</v>
          </cell>
          <cell r="G64" t="str">
            <v>////////////</v>
          </cell>
          <cell r="H64" t="str">
            <v>////////////</v>
          </cell>
          <cell r="I64">
            <v>26332.785100211237</v>
          </cell>
        </row>
        <row r="65">
          <cell r="F65" t="str">
            <v xml:space="preserve"> /////////</v>
          </cell>
        </row>
        <row r="67">
          <cell r="B67">
            <v>21375527.002060004</v>
          </cell>
          <cell r="C67">
            <v>182282.29254629445</v>
          </cell>
          <cell r="D67">
            <v>31793.825480023865</v>
          </cell>
          <cell r="E67">
            <v>45165.780098428666</v>
          </cell>
          <cell r="G67">
            <v>864.17752951154887</v>
          </cell>
          <cell r="H67">
            <v>0</v>
          </cell>
          <cell r="I67">
            <v>260106.07565425851</v>
          </cell>
        </row>
      </sheetData>
      <sheetData sheetId="3">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cell r="X4">
            <v>23</v>
          </cell>
          <cell r="Y4">
            <v>24</v>
          </cell>
          <cell r="Z4">
            <v>25</v>
          </cell>
          <cell r="AA4">
            <v>26</v>
          </cell>
          <cell r="AB4">
            <v>27</v>
          </cell>
          <cell r="AC4">
            <v>28</v>
          </cell>
          <cell r="AD4">
            <v>29</v>
          </cell>
          <cell r="AE4">
            <v>30</v>
          </cell>
          <cell r="AF4">
            <v>31</v>
          </cell>
          <cell r="AG4">
            <v>32</v>
          </cell>
          <cell r="AH4">
            <v>33</v>
          </cell>
          <cell r="AI4">
            <v>34</v>
          </cell>
          <cell r="AJ4">
            <v>35</v>
          </cell>
          <cell r="AK4">
            <v>36</v>
          </cell>
          <cell r="AL4">
            <v>37</v>
          </cell>
          <cell r="AM4">
            <v>38</v>
          </cell>
          <cell r="AN4">
            <v>39</v>
          </cell>
          <cell r="AO4">
            <v>40</v>
          </cell>
          <cell r="AP4">
            <v>41</v>
          </cell>
          <cell r="AQ4">
            <v>42</v>
          </cell>
          <cell r="AR4">
            <v>43</v>
          </cell>
          <cell r="AS4">
            <v>44</v>
          </cell>
          <cell r="AT4">
            <v>45</v>
          </cell>
          <cell r="AU4">
            <v>46</v>
          </cell>
          <cell r="AV4">
            <v>47</v>
          </cell>
          <cell r="AW4">
            <v>48</v>
          </cell>
          <cell r="AX4">
            <v>49</v>
          </cell>
          <cell r="AY4">
            <v>50</v>
          </cell>
          <cell r="AZ4">
            <v>51</v>
          </cell>
          <cell r="BA4">
            <v>52</v>
          </cell>
          <cell r="BB4">
            <v>53</v>
          </cell>
          <cell r="BC4">
            <v>54</v>
          </cell>
          <cell r="BD4">
            <v>55</v>
          </cell>
          <cell r="BE4">
            <v>56</v>
          </cell>
          <cell r="BF4">
            <v>57</v>
          </cell>
          <cell r="BG4">
            <v>58</v>
          </cell>
          <cell r="BH4">
            <v>59</v>
          </cell>
          <cell r="BI4">
            <v>60</v>
          </cell>
          <cell r="BJ4">
            <v>61</v>
          </cell>
          <cell r="BK4">
            <v>62</v>
          </cell>
          <cell r="BL4">
            <v>63</v>
          </cell>
          <cell r="BM4">
            <v>64</v>
          </cell>
          <cell r="BN4">
            <v>65</v>
          </cell>
          <cell r="BO4">
            <v>66</v>
          </cell>
          <cell r="BP4">
            <v>67</v>
          </cell>
          <cell r="BQ4">
            <v>68</v>
          </cell>
          <cell r="BR4">
            <v>69</v>
          </cell>
          <cell r="BS4">
            <v>70</v>
          </cell>
          <cell r="BT4">
            <v>71</v>
          </cell>
          <cell r="BU4">
            <v>72</v>
          </cell>
          <cell r="BV4">
            <v>73</v>
          </cell>
          <cell r="BW4">
            <v>74</v>
          </cell>
          <cell r="BX4">
            <v>75</v>
          </cell>
          <cell r="BY4">
            <v>76</v>
          </cell>
          <cell r="BZ4">
            <v>77</v>
          </cell>
          <cell r="CA4">
            <v>78</v>
          </cell>
          <cell r="CB4">
            <v>79</v>
          </cell>
          <cell r="CC4">
            <v>80</v>
          </cell>
          <cell r="CD4">
            <v>81</v>
          </cell>
          <cell r="CE4">
            <v>82</v>
          </cell>
          <cell r="CF4">
            <v>83</v>
          </cell>
          <cell r="CG4">
            <v>84</v>
          </cell>
          <cell r="CH4">
            <v>85</v>
          </cell>
          <cell r="CI4">
            <v>86</v>
          </cell>
          <cell r="CJ4">
            <v>87</v>
          </cell>
          <cell r="CK4">
            <v>88</v>
          </cell>
          <cell r="CL4">
            <v>89</v>
          </cell>
          <cell r="CM4">
            <v>90</v>
          </cell>
          <cell r="CN4">
            <v>91</v>
          </cell>
          <cell r="CO4">
            <v>92</v>
          </cell>
          <cell r="CP4">
            <v>93</v>
          </cell>
          <cell r="CQ4">
            <v>94</v>
          </cell>
          <cell r="CR4">
            <v>95</v>
          </cell>
          <cell r="CS4">
            <v>96</v>
          </cell>
          <cell r="CT4">
            <v>97</v>
          </cell>
          <cell r="CU4">
            <v>98</v>
          </cell>
          <cell r="CV4">
            <v>99</v>
          </cell>
        </row>
        <row r="5">
          <cell r="AD5" t="str">
            <v>HSCRC TRIAL BALANCE</v>
          </cell>
          <cell r="BB5" t="str">
            <v>HSCRC TRIAL BALANCE</v>
          </cell>
          <cell r="BR5" t="str">
            <v>HSCRC TRIAL BALANCE</v>
          </cell>
          <cell r="CH5" t="str">
            <v>OVERHEAD ALLOCATION</v>
          </cell>
          <cell r="CP5" t="str">
            <v>FINAL HSCRC TRIAL BALANCE FOR</v>
          </cell>
        </row>
        <row r="6">
          <cell r="F6" t="str">
            <v>HSCRC</v>
          </cell>
          <cell r="H6" t="str">
            <v>RECLASSED TRIAL BALANCE</v>
          </cell>
          <cell r="P6" t="str">
            <v>HSCRC TRIAL BALANCE</v>
          </cell>
          <cell r="V6" t="str">
            <v>PHYSICIAN PART B OVERHEAD ALLOCATION</v>
          </cell>
          <cell r="AD6" t="str">
            <v>ADJUSTED FOR PART B ALLOCATIONS</v>
          </cell>
          <cell r="AL6" t="str">
            <v>DONATED SERVICES</v>
          </cell>
          <cell r="AT6" t="str">
            <v>DATA PROCESSING ALLOCATION</v>
          </cell>
          <cell r="BB6" t="str">
            <v>ADJUSTED FOR DONATED SERVICES &amp; D/P</v>
          </cell>
          <cell r="BJ6" t="str">
            <v>PHYSICIAN COST ALLOCATION</v>
          </cell>
          <cell r="BR6" t="str">
            <v>ADJUSTED FOR PHYSICIAN COST ALLOCATION</v>
          </cell>
          <cell r="BZ6" t="str">
            <v>CAFETERIA, PARKING ALLOCATION</v>
          </cell>
          <cell r="CH6" t="str">
            <v>AUXILIARY ENTERPRISES, OIP'S and URs</v>
          </cell>
          <cell r="CP6" t="str">
            <v>J &amp; M SCHEDULE USE</v>
          </cell>
        </row>
        <row r="7">
          <cell r="F7" t="str">
            <v>SCHD</v>
          </cell>
          <cell r="BZ7" t="str">
            <v>Yes, Salary &amp; Other are Reversed Here</v>
          </cell>
        </row>
        <row r="8">
          <cell r="B8" t="str">
            <v>CODE</v>
          </cell>
          <cell r="D8" t="str">
            <v>DESCRIPTION</v>
          </cell>
          <cell r="F8" t="str">
            <v>#</v>
          </cell>
          <cell r="H8" t="str">
            <v>SALARIES</v>
          </cell>
          <cell r="J8" t="str">
            <v>OTHER</v>
          </cell>
          <cell r="L8" t="str">
            <v>TOTAL</v>
          </cell>
          <cell r="N8" t="str">
            <v>FTES</v>
          </cell>
          <cell r="P8" t="str">
            <v>SALARIES</v>
          </cell>
          <cell r="R8" t="str">
            <v>OTHER</v>
          </cell>
          <cell r="T8" t="str">
            <v>TOTAL</v>
          </cell>
          <cell r="V8" t="str">
            <v>SALARIES</v>
          </cell>
          <cell r="X8" t="str">
            <v>OTHER</v>
          </cell>
          <cell r="Z8" t="str">
            <v>TOTAL</v>
          </cell>
          <cell r="AB8" t="str">
            <v>FTES</v>
          </cell>
          <cell r="AD8" t="str">
            <v>SALARIES</v>
          </cell>
          <cell r="AF8" t="str">
            <v>OTHER</v>
          </cell>
          <cell r="AH8" t="str">
            <v>TOTAL</v>
          </cell>
          <cell r="AJ8" t="str">
            <v>FTES</v>
          </cell>
          <cell r="AL8" t="str">
            <v>SALARIES</v>
          </cell>
          <cell r="AN8" t="str">
            <v>OTHER</v>
          </cell>
          <cell r="AP8" t="str">
            <v>TOTAL</v>
          </cell>
          <cell r="AR8" t="str">
            <v>FTES</v>
          </cell>
          <cell r="AT8" t="str">
            <v>SALARIES</v>
          </cell>
          <cell r="AV8" t="str">
            <v>OTHER</v>
          </cell>
          <cell r="AX8" t="str">
            <v>TOTAL</v>
          </cell>
          <cell r="AZ8" t="str">
            <v>FTES</v>
          </cell>
          <cell r="BB8" t="str">
            <v>SALARIES</v>
          </cell>
          <cell r="BD8" t="str">
            <v>OTHER</v>
          </cell>
          <cell r="BF8" t="str">
            <v>TOTAL</v>
          </cell>
          <cell r="BH8" t="str">
            <v>FTES</v>
          </cell>
          <cell r="BJ8" t="str">
            <v>SALARIES</v>
          </cell>
          <cell r="BL8" t="str">
            <v>OTHER</v>
          </cell>
          <cell r="BN8" t="str">
            <v>TOTAL</v>
          </cell>
          <cell r="BP8" t="str">
            <v>FTES</v>
          </cell>
          <cell r="BR8" t="str">
            <v>SALARIES</v>
          </cell>
          <cell r="BT8" t="str">
            <v>OTHER</v>
          </cell>
          <cell r="BV8" t="str">
            <v>TOTAL</v>
          </cell>
          <cell r="BX8" t="str">
            <v>FTES</v>
          </cell>
          <cell r="BZ8" t="str">
            <v>OTHER</v>
          </cell>
          <cell r="CB8" t="str">
            <v>SALARIES</v>
          </cell>
          <cell r="CD8" t="str">
            <v>TOTAL</v>
          </cell>
          <cell r="CF8" t="str">
            <v>FTES</v>
          </cell>
          <cell r="CH8" t="str">
            <v>SALARIES</v>
          </cell>
          <cell r="CJ8" t="str">
            <v>OTHER</v>
          </cell>
          <cell r="CL8" t="str">
            <v>TOTAL</v>
          </cell>
          <cell r="CN8" t="str">
            <v>FTES</v>
          </cell>
          <cell r="CP8" t="str">
            <v>SALARIES</v>
          </cell>
          <cell r="CR8" t="str">
            <v>OTHER</v>
          </cell>
          <cell r="CT8" t="str">
            <v>TOTAL</v>
          </cell>
          <cell r="CV8" t="str">
            <v>FTES</v>
          </cell>
        </row>
        <row r="9">
          <cell r="B9" t="str">
            <v>DTY</v>
          </cell>
          <cell r="D9" t="str">
            <v>DIETARY</v>
          </cell>
          <cell r="F9" t="str">
            <v>C1</v>
          </cell>
          <cell r="H9">
            <v>0</v>
          </cell>
          <cell r="J9">
            <v>3300518.06</v>
          </cell>
          <cell r="L9">
            <v>3300518.06</v>
          </cell>
          <cell r="N9">
            <v>0</v>
          </cell>
          <cell r="O9" t="str">
            <v>DTY</v>
          </cell>
          <cell r="P9">
            <v>0</v>
          </cell>
          <cell r="R9">
            <v>3300.5</v>
          </cell>
          <cell r="T9">
            <v>3300.5</v>
          </cell>
          <cell r="X9">
            <v>0</v>
          </cell>
          <cell r="Z9">
            <v>0</v>
          </cell>
          <cell r="AD9">
            <v>0</v>
          </cell>
          <cell r="AF9">
            <v>3300.5</v>
          </cell>
          <cell r="AH9">
            <v>3300.5</v>
          </cell>
          <cell r="AJ9">
            <v>0</v>
          </cell>
          <cell r="AL9">
            <v>0</v>
          </cell>
          <cell r="AN9">
            <v>0</v>
          </cell>
          <cell r="AP9">
            <v>0</v>
          </cell>
          <cell r="AR9">
            <v>0</v>
          </cell>
          <cell r="AT9">
            <v>0.6880899867666519</v>
          </cell>
          <cell r="AV9">
            <v>107.99744155271283</v>
          </cell>
          <cell r="AX9">
            <v>108.68553153947948</v>
          </cell>
          <cell r="AZ9">
            <v>2.0257732177394725E-3</v>
          </cell>
          <cell r="BB9">
            <v>0.6880899867666519</v>
          </cell>
          <cell r="BD9">
            <v>3408.4974415527126</v>
          </cell>
          <cell r="BF9">
            <v>3409.1855315394791</v>
          </cell>
          <cell r="BH9">
            <v>2.0257732177394725E-3</v>
          </cell>
          <cell r="BN9">
            <v>0</v>
          </cell>
          <cell r="BR9">
            <v>0.6880899867666519</v>
          </cell>
          <cell r="BT9">
            <v>3408.4974415527126</v>
          </cell>
          <cell r="BV9">
            <v>3409.1855315394791</v>
          </cell>
          <cell r="BX9">
            <v>2.0257732177394725E-3</v>
          </cell>
          <cell r="CB9">
            <v>6.8000000000000005E-4</v>
          </cell>
          <cell r="CD9">
            <v>6.8000000000000005E-4</v>
          </cell>
          <cell r="CG9" t="str">
            <v>DTY</v>
          </cell>
          <cell r="CH9">
            <v>0</v>
          </cell>
          <cell r="CJ9">
            <v>0</v>
          </cell>
          <cell r="CL9">
            <v>0</v>
          </cell>
          <cell r="CN9">
            <v>0</v>
          </cell>
          <cell r="CO9" t="str">
            <v>DTY</v>
          </cell>
          <cell r="CP9">
            <v>0.68876998676665191</v>
          </cell>
          <cell r="CR9">
            <v>3408.4974415527126</v>
          </cell>
          <cell r="CT9">
            <v>3409.1862115394792</v>
          </cell>
          <cell r="CV9">
            <v>2.0257732177394725E-3</v>
          </cell>
        </row>
        <row r="10">
          <cell r="B10" t="str">
            <v>LL</v>
          </cell>
          <cell r="D10" t="str">
            <v>LAUNDRY &amp; LINEN</v>
          </cell>
          <cell r="F10" t="str">
            <v>C2</v>
          </cell>
          <cell r="H10">
            <v>99751.093438422497</v>
          </cell>
          <cell r="J10">
            <v>1000541.8800000001</v>
          </cell>
          <cell r="L10">
            <v>1100292.9734384227</v>
          </cell>
          <cell r="N10">
            <v>2.5787259615384617</v>
          </cell>
          <cell r="O10" t="str">
            <v>LL</v>
          </cell>
          <cell r="P10">
            <v>99.8</v>
          </cell>
          <cell r="R10">
            <v>1000.5</v>
          </cell>
          <cell r="T10">
            <v>1100.3</v>
          </cell>
          <cell r="X10">
            <v>0</v>
          </cell>
          <cell r="Z10">
            <v>0</v>
          </cell>
          <cell r="AD10">
            <v>99.8</v>
          </cell>
          <cell r="AF10">
            <v>1000.5</v>
          </cell>
          <cell r="AH10">
            <v>1100.3</v>
          </cell>
          <cell r="AJ10">
            <v>2.5787259615384617</v>
          </cell>
          <cell r="AL10">
            <v>0</v>
          </cell>
          <cell r="AN10">
            <v>0</v>
          </cell>
          <cell r="AP10">
            <v>0</v>
          </cell>
          <cell r="AR10">
            <v>0</v>
          </cell>
          <cell r="AT10">
            <v>3.6215262461402734E-2</v>
          </cell>
          <cell r="AV10">
            <v>5.6840758711954118</v>
          </cell>
          <cell r="AX10">
            <v>5.720291133656815</v>
          </cell>
          <cell r="AZ10">
            <v>1.0661964303891961E-4</v>
          </cell>
          <cell r="BB10">
            <v>99.836215262461394</v>
          </cell>
          <cell r="BD10">
            <v>1006.1840758711954</v>
          </cell>
          <cell r="BF10">
            <v>1106.0202911336569</v>
          </cell>
          <cell r="BH10">
            <v>2.5788325811815005</v>
          </cell>
          <cell r="BN10">
            <v>0</v>
          </cell>
          <cell r="BR10">
            <v>99.836215262461394</v>
          </cell>
          <cell r="BT10">
            <v>1006.1840758711954</v>
          </cell>
          <cell r="BV10">
            <v>1106.0202911336569</v>
          </cell>
          <cell r="BX10">
            <v>2.5788325811815005</v>
          </cell>
          <cell r="CB10">
            <v>0.86241000000000001</v>
          </cell>
          <cell r="CD10">
            <v>0.86241000000000001</v>
          </cell>
          <cell r="CG10" t="str">
            <v>LL</v>
          </cell>
          <cell r="CH10">
            <v>-0.7465321409117267</v>
          </cell>
          <cell r="CJ10">
            <v>-7.4880048528925318</v>
          </cell>
          <cell r="CL10">
            <v>-8.2345369938042587</v>
          </cell>
          <cell r="CN10">
            <v>-1.9299054742496095E-2</v>
          </cell>
          <cell r="CO10" t="str">
            <v>LL</v>
          </cell>
          <cell r="CP10">
            <v>99.952093121549666</v>
          </cell>
          <cell r="CR10">
            <v>998.69607101830286</v>
          </cell>
          <cell r="CT10">
            <v>1098.6481641398525</v>
          </cell>
          <cell r="CV10">
            <v>2.5595335264390044</v>
          </cell>
        </row>
        <row r="11">
          <cell r="B11" t="str">
            <v>SSS</v>
          </cell>
          <cell r="D11" t="str">
            <v>SOCIAL SERVICES</v>
          </cell>
          <cell r="F11" t="str">
            <v>C3</v>
          </cell>
          <cell r="H11">
            <v>505192.30529228889</v>
          </cell>
          <cell r="J11">
            <v>1599.28</v>
          </cell>
          <cell r="L11">
            <v>506791.58529228892</v>
          </cell>
          <cell r="N11">
            <v>5.1590144230769228</v>
          </cell>
          <cell r="O11" t="str">
            <v>SSS</v>
          </cell>
          <cell r="P11">
            <v>505.2</v>
          </cell>
          <cell r="R11">
            <v>1.6</v>
          </cell>
          <cell r="T11">
            <v>506.8</v>
          </cell>
          <cell r="X11">
            <v>0</v>
          </cell>
          <cell r="Z11">
            <v>0</v>
          </cell>
          <cell r="AD11">
            <v>505.2</v>
          </cell>
          <cell r="AF11">
            <v>1.6</v>
          </cell>
          <cell r="AH11">
            <v>506.8</v>
          </cell>
          <cell r="AJ11">
            <v>5.1590144230769228</v>
          </cell>
          <cell r="AL11">
            <v>0</v>
          </cell>
          <cell r="AN11">
            <v>0</v>
          </cell>
          <cell r="AP11">
            <v>0</v>
          </cell>
          <cell r="AR11">
            <v>0</v>
          </cell>
          <cell r="AT11">
            <v>0.25350683722981909</v>
          </cell>
          <cell r="AV11">
            <v>39.788531098367883</v>
          </cell>
          <cell r="AX11">
            <v>40.042037935597705</v>
          </cell>
          <cell r="AZ11">
            <v>7.4633750127243732E-4</v>
          </cell>
          <cell r="BB11">
            <v>505.45350683722978</v>
          </cell>
          <cell r="BD11">
            <v>41.388531098367885</v>
          </cell>
          <cell r="BF11">
            <v>546.84203793559766</v>
          </cell>
          <cell r="BH11">
            <v>5.1597607605781954</v>
          </cell>
          <cell r="BN11">
            <v>0</v>
          </cell>
          <cell r="BR11">
            <v>505.45350683722978</v>
          </cell>
          <cell r="BT11">
            <v>41.388531098367885</v>
          </cell>
          <cell r="BV11">
            <v>546.84203793559766</v>
          </cell>
          <cell r="BX11">
            <v>5.1597607605781954</v>
          </cell>
          <cell r="CB11">
            <v>1.73854</v>
          </cell>
          <cell r="CD11">
            <v>1.73854</v>
          </cell>
          <cell r="CG11" t="str">
            <v>SSS</v>
          </cell>
          <cell r="CH11">
            <v>0</v>
          </cell>
          <cell r="CJ11">
            <v>0</v>
          </cell>
          <cell r="CL11">
            <v>0</v>
          </cell>
          <cell r="CN11">
            <v>0</v>
          </cell>
          <cell r="CO11" t="str">
            <v>SSS</v>
          </cell>
          <cell r="CP11">
            <v>507.19204683722978</v>
          </cell>
          <cell r="CR11">
            <v>41.388531098367885</v>
          </cell>
          <cell r="CT11">
            <v>548.58057793559772</v>
          </cell>
          <cell r="CV11">
            <v>5.1597607605781954</v>
          </cell>
        </row>
        <row r="12">
          <cell r="B12" t="str">
            <v>PUR</v>
          </cell>
          <cell r="D12" t="str">
            <v>PURCHASING &amp; STORES</v>
          </cell>
          <cell r="F12" t="str">
            <v>C4</v>
          </cell>
          <cell r="H12">
            <v>1196840.4079845827</v>
          </cell>
          <cell r="J12">
            <v>1283411.8700000001</v>
          </cell>
          <cell r="L12">
            <v>2480252.2779845828</v>
          </cell>
          <cell r="N12">
            <v>20.308173076923076</v>
          </cell>
          <cell r="O12" t="str">
            <v>PUR</v>
          </cell>
          <cell r="P12">
            <v>1196.8</v>
          </cell>
          <cell r="R12">
            <v>1283.4000000000001</v>
          </cell>
          <cell r="T12">
            <v>2480.1999999999998</v>
          </cell>
          <cell r="X12">
            <v>0</v>
          </cell>
          <cell r="Z12">
            <v>0</v>
          </cell>
          <cell r="AD12">
            <v>1196.8</v>
          </cell>
          <cell r="AF12">
            <v>1283.4000000000001</v>
          </cell>
          <cell r="AH12">
            <v>2480.1999999999998</v>
          </cell>
          <cell r="AJ12">
            <v>20.308173076923076</v>
          </cell>
          <cell r="AL12">
            <v>0</v>
          </cell>
          <cell r="AN12">
            <v>0</v>
          </cell>
          <cell r="AP12">
            <v>0</v>
          </cell>
          <cell r="AR12">
            <v>0</v>
          </cell>
          <cell r="AT12">
            <v>0.76052051168945745</v>
          </cell>
          <cell r="AV12">
            <v>119.36559329510366</v>
          </cell>
          <cell r="AX12">
            <v>120.12611380679313</v>
          </cell>
          <cell r="AZ12">
            <v>2.2390125038173119E-3</v>
          </cell>
          <cell r="BB12">
            <v>1197.5605205116894</v>
          </cell>
          <cell r="BD12">
            <v>1402.7655932951038</v>
          </cell>
          <cell r="BF12">
            <v>2600.3261138067933</v>
          </cell>
          <cell r="BH12">
            <v>20.310412089426894</v>
          </cell>
          <cell r="BN12">
            <v>0</v>
          </cell>
          <cell r="BR12">
            <v>1197.5605205116894</v>
          </cell>
          <cell r="BT12">
            <v>1402.7655932951038</v>
          </cell>
          <cell r="BV12">
            <v>2600.3261138067933</v>
          </cell>
          <cell r="BX12">
            <v>20.310412089426894</v>
          </cell>
          <cell r="CB12">
            <v>6.7582500000000003</v>
          </cell>
          <cell r="CD12">
            <v>6.7582500000000003</v>
          </cell>
          <cell r="CG12" t="str">
            <v>PUR</v>
          </cell>
          <cell r="CH12">
            <v>-14.896809208674396</v>
          </cell>
          <cell r="CJ12">
            <v>-15.974345147431144</v>
          </cell>
          <cell r="CL12">
            <v>-30.871154356105542</v>
          </cell>
          <cell r="CN12">
            <v>-0.25277136173326648</v>
          </cell>
          <cell r="CO12" t="str">
            <v>PUR</v>
          </cell>
          <cell r="CP12">
            <v>1189.4219613030152</v>
          </cell>
          <cell r="CR12">
            <v>1386.7912481476726</v>
          </cell>
          <cell r="CT12">
            <v>2576.2132094506878</v>
          </cell>
          <cell r="CV12">
            <v>20.057640727693627</v>
          </cell>
        </row>
        <row r="13">
          <cell r="B13" t="str">
            <v>POP</v>
          </cell>
          <cell r="D13" t="str">
            <v>PLANT OPERATIONS</v>
          </cell>
          <cell r="F13" t="str">
            <v>C5</v>
          </cell>
          <cell r="H13">
            <v>3230654.4345939183</v>
          </cell>
          <cell r="J13">
            <v>8976277.0500000026</v>
          </cell>
          <cell r="L13">
            <v>12206931.48459392</v>
          </cell>
          <cell r="N13">
            <v>46.156129807692309</v>
          </cell>
          <cell r="O13" t="str">
            <v>POP</v>
          </cell>
          <cell r="P13">
            <v>3230.7</v>
          </cell>
          <cell r="R13">
            <v>8976.2999999999993</v>
          </cell>
          <cell r="T13">
            <v>12207</v>
          </cell>
          <cell r="X13">
            <v>0</v>
          </cell>
          <cell r="Z13">
            <v>0</v>
          </cell>
          <cell r="AD13">
            <v>3230.7</v>
          </cell>
          <cell r="AF13">
            <v>8976.2999999999993</v>
          </cell>
          <cell r="AH13">
            <v>12207</v>
          </cell>
          <cell r="AJ13">
            <v>46.156129807692309</v>
          </cell>
          <cell r="AL13">
            <v>0</v>
          </cell>
          <cell r="AN13">
            <v>0</v>
          </cell>
          <cell r="AP13">
            <v>0</v>
          </cell>
          <cell r="AR13">
            <v>0</v>
          </cell>
          <cell r="AT13">
            <v>1.8469783855315394</v>
          </cell>
          <cell r="AV13">
            <v>289.88786943096602</v>
          </cell>
          <cell r="AX13">
            <v>291.73484781649756</v>
          </cell>
          <cell r="AZ13">
            <v>5.4376017949849011E-3</v>
          </cell>
          <cell r="BB13">
            <v>3232.5469783855315</v>
          </cell>
          <cell r="BD13">
            <v>9266.1878694309653</v>
          </cell>
          <cell r="BF13">
            <v>12498.734847816497</v>
          </cell>
          <cell r="BH13">
            <v>46.161567409487297</v>
          </cell>
          <cell r="BN13">
            <v>0</v>
          </cell>
          <cell r="BR13">
            <v>3232.5469783855315</v>
          </cell>
          <cell r="BT13">
            <v>9266.1878694309653</v>
          </cell>
          <cell r="BV13">
            <v>12498.734847816497</v>
          </cell>
          <cell r="BX13">
            <v>46.161567409487297</v>
          </cell>
          <cell r="CB13">
            <v>15.19537</v>
          </cell>
          <cell r="CD13">
            <v>15.19537</v>
          </cell>
          <cell r="CG13" t="str">
            <v>POP</v>
          </cell>
          <cell r="CH13">
            <v>-74.445502264154484</v>
          </cell>
          <cell r="CJ13">
            <v>-206.84460903459296</v>
          </cell>
          <cell r="CL13">
            <v>-281.29011129874743</v>
          </cell>
          <cell r="CN13">
            <v>-1.0635975885595059</v>
          </cell>
          <cell r="CO13" t="str">
            <v>POP</v>
          </cell>
          <cell r="CP13">
            <v>3173.2968461213768</v>
          </cell>
          <cell r="CR13">
            <v>9059.343260396372</v>
          </cell>
          <cell r="CT13">
            <v>12232.640106517749</v>
          </cell>
          <cell r="CV13">
            <v>45.097969820927794</v>
          </cell>
        </row>
        <row r="14">
          <cell r="B14" t="str">
            <v>HKP</v>
          </cell>
          <cell r="D14" t="str">
            <v>HOUSEKEEPING</v>
          </cell>
          <cell r="F14" t="str">
            <v>C6</v>
          </cell>
          <cell r="H14">
            <v>0</v>
          </cell>
          <cell r="J14">
            <v>4307363.5899999989</v>
          </cell>
          <cell r="L14">
            <v>4307363.5899999989</v>
          </cell>
          <cell r="N14">
            <v>0</v>
          </cell>
          <cell r="O14" t="str">
            <v>HKP</v>
          </cell>
          <cell r="P14">
            <v>0</v>
          </cell>
          <cell r="R14">
            <v>4307.3999999999996</v>
          </cell>
          <cell r="T14">
            <v>4307.3999999999996</v>
          </cell>
          <cell r="X14">
            <v>0</v>
          </cell>
          <cell r="Z14">
            <v>0</v>
          </cell>
          <cell r="AD14">
            <v>0</v>
          </cell>
          <cell r="AF14">
            <v>4307.3999999999996</v>
          </cell>
          <cell r="AH14">
            <v>4307.3999999999996</v>
          </cell>
          <cell r="AJ14">
            <v>0</v>
          </cell>
          <cell r="AL14">
            <v>0</v>
          </cell>
          <cell r="AN14">
            <v>0</v>
          </cell>
          <cell r="AP14">
            <v>0</v>
          </cell>
          <cell r="AR14">
            <v>0</v>
          </cell>
          <cell r="AT14">
            <v>0.28972209969122187</v>
          </cell>
          <cell r="AV14">
            <v>45.472606969563294</v>
          </cell>
          <cell r="AX14">
            <v>45.76232906925452</v>
          </cell>
          <cell r="AZ14">
            <v>8.5295714431135692E-4</v>
          </cell>
          <cell r="BB14">
            <v>0.28972209969122187</v>
          </cell>
          <cell r="BD14">
            <v>4352.8726069695631</v>
          </cell>
          <cell r="BF14">
            <v>4353.1623290692542</v>
          </cell>
          <cell r="BH14">
            <v>8.5295714431135692E-4</v>
          </cell>
          <cell r="BN14">
            <v>0</v>
          </cell>
          <cell r="BR14">
            <v>0.28972209969122187</v>
          </cell>
          <cell r="BT14">
            <v>4352.8726069695631</v>
          </cell>
          <cell r="BV14">
            <v>4353.1623290692542</v>
          </cell>
          <cell r="BX14">
            <v>8.5295714431135692E-4</v>
          </cell>
          <cell r="CB14">
            <v>2.9E-4</v>
          </cell>
          <cell r="CD14">
            <v>2.9E-4</v>
          </cell>
          <cell r="CG14" t="str">
            <v>HKP</v>
          </cell>
          <cell r="CH14">
            <v>0</v>
          </cell>
          <cell r="CJ14">
            <v>-99.256621958141366</v>
          </cell>
          <cell r="CL14">
            <v>-99.256621958141366</v>
          </cell>
          <cell r="CN14">
            <v>0</v>
          </cell>
          <cell r="CO14" t="str">
            <v>HKP</v>
          </cell>
          <cell r="CP14">
            <v>0.29001209969122188</v>
          </cell>
          <cell r="CR14">
            <v>4253.6159850114218</v>
          </cell>
          <cell r="CT14">
            <v>4253.9059971111128</v>
          </cell>
          <cell r="CV14">
            <v>8.5295714431135692E-4</v>
          </cell>
        </row>
        <row r="15">
          <cell r="B15" t="str">
            <v>CSS</v>
          </cell>
          <cell r="D15" t="str">
            <v>CENTRAL SVCS &amp; SUPPLY</v>
          </cell>
          <cell r="F15" t="str">
            <v>C7</v>
          </cell>
          <cell r="H15">
            <v>937464.79110080563</v>
          </cell>
          <cell r="J15">
            <v>1632441.2820899966</v>
          </cell>
          <cell r="L15">
            <v>2569906.0731908022</v>
          </cell>
          <cell r="N15">
            <v>18.771569437643187</v>
          </cell>
          <cell r="O15" t="str">
            <v>CSS</v>
          </cell>
          <cell r="P15">
            <v>937.5</v>
          </cell>
          <cell r="R15">
            <v>1632.4</v>
          </cell>
          <cell r="T15">
            <v>2569.9</v>
          </cell>
          <cell r="X15">
            <v>0</v>
          </cell>
          <cell r="Z15">
            <v>0</v>
          </cell>
          <cell r="AD15">
            <v>937.5</v>
          </cell>
          <cell r="AF15">
            <v>1632.4</v>
          </cell>
          <cell r="AH15">
            <v>2569.9</v>
          </cell>
          <cell r="AJ15">
            <v>18.771569437643187</v>
          </cell>
          <cell r="AL15">
            <v>0</v>
          </cell>
          <cell r="AN15">
            <v>0</v>
          </cell>
          <cell r="AP15">
            <v>0</v>
          </cell>
          <cell r="AR15">
            <v>0</v>
          </cell>
          <cell r="AT15">
            <v>0.76052051168945745</v>
          </cell>
          <cell r="AV15">
            <v>119.36559329510366</v>
          </cell>
          <cell r="AX15">
            <v>120.12611380679313</v>
          </cell>
          <cell r="AZ15">
            <v>2.2390125038173119E-3</v>
          </cell>
          <cell r="BB15">
            <v>938.26052051168949</v>
          </cell>
          <cell r="BD15">
            <v>1751.7655932951038</v>
          </cell>
          <cell r="BF15">
            <v>2690.0261138067935</v>
          </cell>
          <cell r="BH15">
            <v>18.773808450147005</v>
          </cell>
          <cell r="BN15">
            <v>0</v>
          </cell>
          <cell r="BR15">
            <v>938.26052051168949</v>
          </cell>
          <cell r="BT15">
            <v>1751.7655932951038</v>
          </cell>
          <cell r="BV15">
            <v>2690.0261138067935</v>
          </cell>
          <cell r="BX15">
            <v>18.773808450147005</v>
          </cell>
          <cell r="CB15">
            <v>6.24695</v>
          </cell>
          <cell r="CD15">
            <v>6.24695</v>
          </cell>
          <cell r="CG15" t="str">
            <v>CSS</v>
          </cell>
          <cell r="CH15">
            <v>-11.668417977627637</v>
          </cell>
          <cell r="CJ15">
            <v>-20.318637440232344</v>
          </cell>
          <cell r="CL15">
            <v>-31.987055417859981</v>
          </cell>
          <cell r="CN15">
            <v>-0.2336455943452371</v>
          </cell>
          <cell r="CO15" t="str">
            <v>CSS</v>
          </cell>
          <cell r="CP15">
            <v>932.83905253406181</v>
          </cell>
          <cell r="CR15">
            <v>1731.4469558548715</v>
          </cell>
          <cell r="CT15">
            <v>2664.2860083889332</v>
          </cell>
          <cell r="CV15">
            <v>18.540162855801768</v>
          </cell>
        </row>
        <row r="16">
          <cell r="B16" t="str">
            <v>PHM</v>
          </cell>
          <cell r="D16" t="str">
            <v>PHARMACY</v>
          </cell>
          <cell r="F16" t="str">
            <v>C8</v>
          </cell>
          <cell r="H16">
            <v>4175589.7868170217</v>
          </cell>
          <cell r="J16">
            <v>696734.90000000154</v>
          </cell>
          <cell r="L16">
            <v>4872324.686817023</v>
          </cell>
          <cell r="N16">
            <v>36.261538461538464</v>
          </cell>
          <cell r="O16" t="str">
            <v>PHM</v>
          </cell>
          <cell r="P16">
            <v>4175.6000000000004</v>
          </cell>
          <cell r="R16">
            <v>696.7</v>
          </cell>
          <cell r="T16">
            <v>4872.3</v>
          </cell>
          <cell r="X16">
            <v>0</v>
          </cell>
          <cell r="Z16">
            <v>0</v>
          </cell>
          <cell r="AD16">
            <v>4175.6000000000004</v>
          </cell>
          <cell r="AF16">
            <v>696.7</v>
          </cell>
          <cell r="AH16">
            <v>4872.3</v>
          </cell>
          <cell r="AJ16">
            <v>36.261538461538464</v>
          </cell>
          <cell r="AL16">
            <v>0</v>
          </cell>
          <cell r="AN16">
            <v>0</v>
          </cell>
          <cell r="AP16">
            <v>0</v>
          </cell>
          <cell r="AR16">
            <v>0</v>
          </cell>
          <cell r="AT16">
            <v>0.79673577415086005</v>
          </cell>
          <cell r="AV16">
            <v>125.04966916629907</v>
          </cell>
          <cell r="AX16">
            <v>125.84640494044993</v>
          </cell>
          <cell r="AZ16">
            <v>2.3456321468562314E-3</v>
          </cell>
          <cell r="BB16">
            <v>4176.3967357741512</v>
          </cell>
          <cell r="BD16">
            <v>821.7496691662991</v>
          </cell>
          <cell r="BF16">
            <v>4998.1464049404503</v>
          </cell>
          <cell r="BH16">
            <v>36.26388409368532</v>
          </cell>
          <cell r="BN16">
            <v>0</v>
          </cell>
          <cell r="BR16">
            <v>4176.3967357741512</v>
          </cell>
          <cell r="BT16">
            <v>821.7496691662991</v>
          </cell>
          <cell r="BV16">
            <v>4998.1464049404503</v>
          </cell>
          <cell r="BX16">
            <v>36.26388409368532</v>
          </cell>
          <cell r="CB16">
            <v>12.2188</v>
          </cell>
          <cell r="CD16">
            <v>12.2188</v>
          </cell>
          <cell r="CG16" t="str">
            <v>PHM</v>
          </cell>
          <cell r="CH16">
            <v>0</v>
          </cell>
          <cell r="CJ16">
            <v>0</v>
          </cell>
          <cell r="CL16">
            <v>0</v>
          </cell>
          <cell r="CN16">
            <v>0</v>
          </cell>
          <cell r="CO16" t="str">
            <v>PHM</v>
          </cell>
          <cell r="CP16">
            <v>4188.6155357741509</v>
          </cell>
          <cell r="CR16">
            <v>821.7496691662991</v>
          </cell>
          <cell r="CT16">
            <v>5010.36520494045</v>
          </cell>
          <cell r="CV16">
            <v>36.26388409368532</v>
          </cell>
        </row>
        <row r="17">
          <cell r="B17" t="str">
            <v>FIS</v>
          </cell>
          <cell r="D17" t="str">
            <v>GENERAL ACCOUNTING</v>
          </cell>
          <cell r="F17" t="str">
            <v>C9</v>
          </cell>
          <cell r="H17">
            <v>626548.3932811406</v>
          </cell>
          <cell r="J17">
            <v>1360973.3</v>
          </cell>
          <cell r="L17">
            <v>1987521.6932811406</v>
          </cell>
          <cell r="N17">
            <v>7.2557692307692312</v>
          </cell>
          <cell r="O17" t="str">
            <v>FIS</v>
          </cell>
          <cell r="P17">
            <v>626.5</v>
          </cell>
          <cell r="R17">
            <v>1361</v>
          </cell>
          <cell r="T17">
            <v>1987.5</v>
          </cell>
          <cell r="X17">
            <v>0</v>
          </cell>
          <cell r="Z17">
            <v>0</v>
          </cell>
          <cell r="AD17">
            <v>626.5</v>
          </cell>
          <cell r="AF17">
            <v>1361</v>
          </cell>
          <cell r="AH17">
            <v>1987.5</v>
          </cell>
          <cell r="AJ17">
            <v>7.2557692307692312</v>
          </cell>
          <cell r="AL17">
            <v>0</v>
          </cell>
          <cell r="AN17">
            <v>0</v>
          </cell>
          <cell r="AP17">
            <v>0</v>
          </cell>
          <cell r="AR17">
            <v>0</v>
          </cell>
          <cell r="AT17">
            <v>1.2675341861490956</v>
          </cell>
          <cell r="AV17">
            <v>198.94265549183942</v>
          </cell>
          <cell r="AX17">
            <v>200.21018967798852</v>
          </cell>
          <cell r="AZ17">
            <v>3.7316875063621866E-3</v>
          </cell>
          <cell r="BB17">
            <v>627.76753418614908</v>
          </cell>
          <cell r="BD17">
            <v>1559.9426554918393</v>
          </cell>
          <cell r="BF17">
            <v>2187.7101896779886</v>
          </cell>
          <cell r="BH17">
            <v>7.2595009182755934</v>
          </cell>
          <cell r="BN17">
            <v>0</v>
          </cell>
          <cell r="BR17">
            <v>627.76753418614908</v>
          </cell>
          <cell r="BT17">
            <v>1559.9426554918393</v>
          </cell>
          <cell r="BV17">
            <v>2187.7101896779886</v>
          </cell>
          <cell r="BX17">
            <v>7.2595009182755934</v>
          </cell>
          <cell r="CB17">
            <v>2.0626500000000001</v>
          </cell>
          <cell r="CD17">
            <v>2.0626500000000001</v>
          </cell>
          <cell r="CG17" t="str">
            <v>FIS</v>
          </cell>
          <cell r="CH17">
            <v>-46.630683412520824</v>
          </cell>
          <cell r="CJ17">
            <v>-101.29004521557681</v>
          </cell>
          <cell r="CL17">
            <v>-147.92072862809763</v>
          </cell>
          <cell r="CN17">
            <v>-1.1378022146232296</v>
          </cell>
          <cell r="CO17" t="str">
            <v>FIS</v>
          </cell>
          <cell r="CP17">
            <v>583.19950077362819</v>
          </cell>
          <cell r="CR17">
            <v>1458.6526102762625</v>
          </cell>
          <cell r="CT17">
            <v>2041.8521110498907</v>
          </cell>
          <cell r="CV17">
            <v>6.1216987036523633</v>
          </cell>
        </row>
        <row r="18">
          <cell r="B18" t="str">
            <v>PAC</v>
          </cell>
          <cell r="D18" t="str">
            <v>PATIENT ACCOUNTS</v>
          </cell>
          <cell r="F18" t="str">
            <v>C10</v>
          </cell>
          <cell r="H18">
            <v>2063997.8161338044</v>
          </cell>
          <cell r="J18">
            <v>1839675.7916799195</v>
          </cell>
          <cell r="L18">
            <v>3903673.6078137239</v>
          </cell>
          <cell r="N18">
            <v>41.834535940821986</v>
          </cell>
          <cell r="O18" t="str">
            <v>PAC</v>
          </cell>
          <cell r="P18">
            <v>2064</v>
          </cell>
          <cell r="R18">
            <v>1839.7</v>
          </cell>
          <cell r="T18">
            <v>3903.7</v>
          </cell>
          <cell r="X18">
            <v>0</v>
          </cell>
          <cell r="Z18">
            <v>0</v>
          </cell>
          <cell r="AD18">
            <v>2064</v>
          </cell>
          <cell r="AF18">
            <v>1839.7</v>
          </cell>
          <cell r="AH18">
            <v>3903.7</v>
          </cell>
          <cell r="AJ18">
            <v>41.834535940821986</v>
          </cell>
          <cell r="AL18">
            <v>0</v>
          </cell>
          <cell r="AN18">
            <v>0</v>
          </cell>
          <cell r="AP18">
            <v>0</v>
          </cell>
          <cell r="AR18">
            <v>0</v>
          </cell>
          <cell r="AT18">
            <v>1.6296868107631231</v>
          </cell>
          <cell r="AV18">
            <v>255.78341420379357</v>
          </cell>
          <cell r="AX18">
            <v>257.41310101455667</v>
          </cell>
          <cell r="AZ18">
            <v>4.7978839367513832E-3</v>
          </cell>
          <cell r="BB18">
            <v>2065.6296868107629</v>
          </cell>
          <cell r="BD18">
            <v>2095.4834142037935</v>
          </cell>
          <cell r="BF18">
            <v>4161.1131010145564</v>
          </cell>
          <cell r="BH18">
            <v>41.839333824758739</v>
          </cell>
          <cell r="BN18">
            <v>0</v>
          </cell>
          <cell r="BR18">
            <v>2065.6296868107629</v>
          </cell>
          <cell r="BT18">
            <v>2095.4834142037935</v>
          </cell>
          <cell r="BV18">
            <v>4161.1131010145564</v>
          </cell>
          <cell r="BX18">
            <v>41.839333824758739</v>
          </cell>
          <cell r="CB18">
            <v>13.86509</v>
          </cell>
          <cell r="CD18">
            <v>13.86509</v>
          </cell>
          <cell r="CG18" t="str">
            <v>PAC</v>
          </cell>
          <cell r="CH18">
            <v>-34.016264477645606</v>
          </cell>
          <cell r="CJ18">
            <v>-30.319265744246966</v>
          </cell>
          <cell r="CL18">
            <v>-64.335530221892569</v>
          </cell>
          <cell r="CN18">
            <v>-0.68946518631893661</v>
          </cell>
          <cell r="CO18" t="str">
            <v>PAC</v>
          </cell>
          <cell r="CP18">
            <v>2045.4785123331171</v>
          </cell>
          <cell r="CR18">
            <v>2065.1641484595466</v>
          </cell>
          <cell r="CT18">
            <v>4110.6426607926642</v>
          </cell>
          <cell r="CV18">
            <v>41.149868638439806</v>
          </cell>
        </row>
        <row r="19">
          <cell r="B19" t="str">
            <v>MGT</v>
          </cell>
          <cell r="D19" t="str">
            <v>HOSPITAL ADMIN</v>
          </cell>
          <cell r="F19" t="str">
            <v>C11</v>
          </cell>
          <cell r="H19">
            <v>7567683.2097787801</v>
          </cell>
          <cell r="J19">
            <v>16064168.598713309</v>
          </cell>
          <cell r="L19">
            <v>23631851.808492087</v>
          </cell>
          <cell r="N19">
            <v>52.141689834654663</v>
          </cell>
          <cell r="O19" t="str">
            <v>MGT</v>
          </cell>
          <cell r="P19">
            <v>7567.7</v>
          </cell>
          <cell r="R19">
            <v>16064.2</v>
          </cell>
          <cell r="T19">
            <v>23631.9</v>
          </cell>
          <cell r="X19">
            <v>0</v>
          </cell>
          <cell r="Z19">
            <v>0</v>
          </cell>
          <cell r="AD19">
            <v>7567.7</v>
          </cell>
          <cell r="AF19">
            <v>16064.2</v>
          </cell>
          <cell r="AH19">
            <v>23631.9</v>
          </cell>
          <cell r="AJ19">
            <v>52.141689834654663</v>
          </cell>
          <cell r="AL19">
            <v>0</v>
          </cell>
          <cell r="AN19">
            <v>0</v>
          </cell>
          <cell r="AP19">
            <v>0</v>
          </cell>
          <cell r="AR19">
            <v>0</v>
          </cell>
          <cell r="AT19">
            <v>13.182355535950595</v>
          </cell>
          <cell r="AV19">
            <v>2069.0036171151301</v>
          </cell>
          <cell r="AX19">
            <v>2082.1859726510806</v>
          </cell>
          <cell r="AZ19">
            <v>3.8809550066166744E-2</v>
          </cell>
          <cell r="BB19">
            <v>7580.8823555359504</v>
          </cell>
          <cell r="BD19">
            <v>18133.20361711513</v>
          </cell>
          <cell r="BF19">
            <v>25714.085972651083</v>
          </cell>
          <cell r="BH19">
            <v>52.180499384720832</v>
          </cell>
          <cell r="BN19">
            <v>0</v>
          </cell>
          <cell r="BR19">
            <v>7580.8823555359504</v>
          </cell>
          <cell r="BT19">
            <v>18133.20361711513</v>
          </cell>
          <cell r="BV19">
            <v>25714.085972651083</v>
          </cell>
          <cell r="BX19">
            <v>52.180499384720832</v>
          </cell>
          <cell r="CB19">
            <v>16.27422</v>
          </cell>
          <cell r="CD19">
            <v>16.27422</v>
          </cell>
          <cell r="CG19" t="str">
            <v>MGT</v>
          </cell>
          <cell r="CH19">
            <v>-563.22263963272007</v>
          </cell>
          <cell r="CJ19">
            <v>-1195.571113492322</v>
          </cell>
          <cell r="CL19">
            <v>-1758.793753125042</v>
          </cell>
          <cell r="CN19">
            <v>-3.8806302232150709</v>
          </cell>
          <cell r="CO19" t="str">
            <v>MGT</v>
          </cell>
          <cell r="CP19">
            <v>7033.933935903231</v>
          </cell>
          <cell r="CR19">
            <v>16937.632503622808</v>
          </cell>
          <cell r="CT19">
            <v>23971.566439526039</v>
          </cell>
          <cell r="CV19">
            <v>48.299869161505761</v>
          </cell>
        </row>
        <row r="20">
          <cell r="B20" t="str">
            <v>MRD</v>
          </cell>
          <cell r="D20" t="str">
            <v>MEDICAL RECORDS</v>
          </cell>
          <cell r="F20" t="str">
            <v>C12</v>
          </cell>
          <cell r="H20">
            <v>2165684.0751297451</v>
          </cell>
          <cell r="J20">
            <v>1138448.8</v>
          </cell>
          <cell r="L20">
            <v>3304132.8751297453</v>
          </cell>
          <cell r="N20">
            <v>33.092067307692311</v>
          </cell>
          <cell r="O20" t="str">
            <v>MRD</v>
          </cell>
          <cell r="P20">
            <v>2165.6999999999998</v>
          </cell>
          <cell r="R20">
            <v>1138.4000000000001</v>
          </cell>
          <cell r="T20">
            <v>3304.1</v>
          </cell>
          <cell r="X20">
            <v>0</v>
          </cell>
          <cell r="Z20">
            <v>0</v>
          </cell>
          <cell r="AD20">
            <v>2165.6999999999998</v>
          </cell>
          <cell r="AF20">
            <v>1138.4000000000001</v>
          </cell>
          <cell r="AH20">
            <v>3304.1</v>
          </cell>
          <cell r="AJ20">
            <v>33.092067307692311</v>
          </cell>
          <cell r="AL20">
            <v>0</v>
          </cell>
          <cell r="AN20">
            <v>0</v>
          </cell>
          <cell r="AP20">
            <v>0</v>
          </cell>
          <cell r="AR20">
            <v>0</v>
          </cell>
          <cell r="AT20">
            <v>1.9194089104543448</v>
          </cell>
          <cell r="AV20">
            <v>301.25602117335683</v>
          </cell>
          <cell r="AX20">
            <v>303.17543008381119</v>
          </cell>
          <cell r="AZ20">
            <v>5.6508410810627392E-3</v>
          </cell>
          <cell r="BB20">
            <v>2167.6194089104542</v>
          </cell>
          <cell r="BD20">
            <v>1439.656021173357</v>
          </cell>
          <cell r="BF20">
            <v>3607.2754300838114</v>
          </cell>
          <cell r="BH20">
            <v>33.097718148773374</v>
          </cell>
          <cell r="BN20">
            <v>0</v>
          </cell>
          <cell r="BR20">
            <v>2167.6194089104542</v>
          </cell>
          <cell r="BT20">
            <v>1439.656021173357</v>
          </cell>
          <cell r="BV20">
            <v>3607.2754300838114</v>
          </cell>
          <cell r="BX20">
            <v>33.097718148773374</v>
          </cell>
          <cell r="CB20">
            <v>11.15199</v>
          </cell>
          <cell r="CD20">
            <v>11.15199</v>
          </cell>
          <cell r="CG20" t="str">
            <v>MRD</v>
          </cell>
          <cell r="CH20">
            <v>0</v>
          </cell>
          <cell r="CJ20">
            <v>0</v>
          </cell>
          <cell r="CL20">
            <v>0</v>
          </cell>
          <cell r="CN20">
            <v>0</v>
          </cell>
          <cell r="CO20" t="str">
            <v>MRD</v>
          </cell>
          <cell r="CP20">
            <v>2178.7713989104541</v>
          </cell>
          <cell r="CR20">
            <v>1439.656021173357</v>
          </cell>
          <cell r="CT20">
            <v>3618.4274200838108</v>
          </cell>
          <cell r="CV20">
            <v>33.097718148773374</v>
          </cell>
        </row>
        <row r="21">
          <cell r="B21" t="str">
            <v>MSA</v>
          </cell>
          <cell r="D21" t="str">
            <v>MEDICAL STAFF ADMIN</v>
          </cell>
          <cell r="F21" t="str">
            <v>C13</v>
          </cell>
          <cell r="H21">
            <v>1010539.0321373952</v>
          </cell>
          <cell r="J21">
            <v>132766.52999999997</v>
          </cell>
          <cell r="L21">
            <v>1143305.5621373951</v>
          </cell>
          <cell r="N21">
            <v>10.087259615384616</v>
          </cell>
          <cell r="O21" t="str">
            <v>MSA</v>
          </cell>
          <cell r="P21">
            <v>1010.5</v>
          </cell>
          <cell r="R21">
            <v>132.80000000000001</v>
          </cell>
          <cell r="T21">
            <v>1143.3</v>
          </cell>
          <cell r="X21">
            <v>0</v>
          </cell>
          <cell r="Z21">
            <v>0</v>
          </cell>
          <cell r="AD21">
            <v>1010.5</v>
          </cell>
          <cell r="AF21">
            <v>132.80000000000001</v>
          </cell>
          <cell r="AH21">
            <v>1143.3</v>
          </cell>
          <cell r="AJ21">
            <v>10.087259615384616</v>
          </cell>
          <cell r="AL21">
            <v>0</v>
          </cell>
          <cell r="AN21">
            <v>0</v>
          </cell>
          <cell r="AP21">
            <v>0</v>
          </cell>
          <cell r="AR21">
            <v>0</v>
          </cell>
          <cell r="AT21">
            <v>0.2172915747684164</v>
          </cell>
          <cell r="AV21">
            <v>34.104455227172473</v>
          </cell>
          <cell r="AX21">
            <v>34.32174680194089</v>
          </cell>
          <cell r="AZ21">
            <v>6.3971785823351772E-4</v>
          </cell>
          <cell r="BB21">
            <v>1010.7172915747684</v>
          </cell>
          <cell r="BD21">
            <v>166.90445522717249</v>
          </cell>
          <cell r="BF21">
            <v>1177.6217468019408</v>
          </cell>
          <cell r="BH21">
            <v>10.087899333242849</v>
          </cell>
          <cell r="BJ21">
            <v>0</v>
          </cell>
          <cell r="BN21">
            <v>0</v>
          </cell>
          <cell r="BP21">
            <v>3.5524999422426848</v>
          </cell>
          <cell r="BR21">
            <v>1010.7172915747684</v>
          </cell>
          <cell r="BT21">
            <v>166.90445522717249</v>
          </cell>
          <cell r="BV21">
            <v>1177.6217468019408</v>
          </cell>
          <cell r="BX21">
            <v>13.640399275485533</v>
          </cell>
          <cell r="CB21">
            <v>4.3523300000000003</v>
          </cell>
          <cell r="CD21">
            <v>4.3523300000000003</v>
          </cell>
          <cell r="CG21" t="str">
            <v>MSA</v>
          </cell>
          <cell r="CH21">
            <v>-72.451077377226383</v>
          </cell>
          <cell r="CJ21">
            <v>-9.5187596245446304</v>
          </cell>
          <cell r="CL21">
            <v>-81.969837001771012</v>
          </cell>
          <cell r="CN21">
            <v>-0.72321088416804047</v>
          </cell>
          <cell r="CO21" t="str">
            <v>MSA</v>
          </cell>
          <cell r="CP21">
            <v>942.61854419754206</v>
          </cell>
          <cell r="CR21">
            <v>157.38569560262786</v>
          </cell>
          <cell r="CT21">
            <v>1100.0042398001699</v>
          </cell>
          <cell r="CV21">
            <v>12.917188391317493</v>
          </cell>
        </row>
        <row r="22">
          <cell r="B22" t="str">
            <v>NAD</v>
          </cell>
          <cell r="D22" t="str">
            <v>NURSING ADMIN</v>
          </cell>
          <cell r="F22" t="str">
            <v>C14</v>
          </cell>
          <cell r="H22">
            <v>3493932.9802738382</v>
          </cell>
          <cell r="J22">
            <v>114606.89</v>
          </cell>
          <cell r="L22">
            <v>3608539.8702738383</v>
          </cell>
          <cell r="N22">
            <v>28.542329545454546</v>
          </cell>
          <cell r="O22" t="str">
            <v>NAD</v>
          </cell>
          <cell r="P22">
            <v>3493.9</v>
          </cell>
          <cell r="R22">
            <v>114.6</v>
          </cell>
          <cell r="T22">
            <v>3608.5</v>
          </cell>
          <cell r="X22">
            <v>0</v>
          </cell>
          <cell r="Z22">
            <v>0</v>
          </cell>
          <cell r="AD22">
            <v>3493.9</v>
          </cell>
          <cell r="AF22">
            <v>114.6</v>
          </cell>
          <cell r="AH22">
            <v>3608.5</v>
          </cell>
          <cell r="AJ22">
            <v>28.542329545454546</v>
          </cell>
          <cell r="AL22">
            <v>0</v>
          </cell>
          <cell r="AN22">
            <v>0</v>
          </cell>
          <cell r="AP22">
            <v>0</v>
          </cell>
          <cell r="AR22">
            <v>0</v>
          </cell>
          <cell r="AT22">
            <v>1.3761799735333038</v>
          </cell>
          <cell r="AV22">
            <v>215.99488310542566</v>
          </cell>
          <cell r="AX22">
            <v>217.37106307895897</v>
          </cell>
          <cell r="AZ22">
            <v>4.0515464354789451E-3</v>
          </cell>
          <cell r="BB22">
            <v>3495.2761799735335</v>
          </cell>
          <cell r="BD22">
            <v>330.59488310542565</v>
          </cell>
          <cell r="BF22">
            <v>3825.8710630789592</v>
          </cell>
          <cell r="BH22">
            <v>28.546381091890026</v>
          </cell>
          <cell r="BN22">
            <v>0</v>
          </cell>
          <cell r="BR22">
            <v>3495.2761799735335</v>
          </cell>
          <cell r="BT22">
            <v>330.59488310542565</v>
          </cell>
          <cell r="BV22">
            <v>3825.8710630789592</v>
          </cell>
          <cell r="BX22">
            <v>28.546381091890026</v>
          </cell>
          <cell r="CB22">
            <v>9.6184499999999993</v>
          </cell>
          <cell r="CD22">
            <v>9.6184499999999993</v>
          </cell>
          <cell r="CG22" t="str">
            <v>NAD</v>
          </cell>
          <cell r="CH22">
            <v>0</v>
          </cell>
          <cell r="CJ22">
            <v>0</v>
          </cell>
          <cell r="CL22">
            <v>0</v>
          </cell>
          <cell r="CN22">
            <v>0</v>
          </cell>
          <cell r="CO22" t="str">
            <v>NAD</v>
          </cell>
          <cell r="CP22">
            <v>3504.8946299735335</v>
          </cell>
          <cell r="CR22">
            <v>330.59488310542565</v>
          </cell>
          <cell r="CT22">
            <v>3835.4895130789591</v>
          </cell>
          <cell r="CV22">
            <v>28.546381091890026</v>
          </cell>
        </row>
        <row r="23">
          <cell r="B23" t="str">
            <v>OAO</v>
          </cell>
          <cell r="D23" t="str">
            <v>ORGAN ACQUISITION OVERHEAD</v>
          </cell>
          <cell r="F23" t="str">
            <v>C15</v>
          </cell>
          <cell r="H23">
            <v>0</v>
          </cell>
          <cell r="J23">
            <v>0</v>
          </cell>
          <cell r="L23">
            <v>0</v>
          </cell>
          <cell r="N23">
            <v>0</v>
          </cell>
          <cell r="O23" t="str">
            <v>OAO</v>
          </cell>
          <cell r="P23">
            <v>0</v>
          </cell>
          <cell r="R23">
            <v>0</v>
          </cell>
          <cell r="T23">
            <v>0</v>
          </cell>
          <cell r="AD23">
            <v>0</v>
          </cell>
          <cell r="AF23">
            <v>0</v>
          </cell>
          <cell r="AH23">
            <v>0</v>
          </cell>
          <cell r="AJ23">
            <v>0</v>
          </cell>
          <cell r="AL23">
            <v>0</v>
          </cell>
          <cell r="AN23">
            <v>0</v>
          </cell>
          <cell r="AP23">
            <v>0</v>
          </cell>
          <cell r="AR23">
            <v>0</v>
          </cell>
          <cell r="AT23">
            <v>0</v>
          </cell>
          <cell r="AV23">
            <v>0</v>
          </cell>
          <cell r="AX23">
            <v>0</v>
          </cell>
          <cell r="AZ23">
            <v>0</v>
          </cell>
          <cell r="BB23">
            <v>0</v>
          </cell>
          <cell r="BD23">
            <v>0</v>
          </cell>
          <cell r="BF23">
            <v>0</v>
          </cell>
          <cell r="BH23">
            <v>0</v>
          </cell>
          <cell r="BN23">
            <v>0</v>
          </cell>
          <cell r="BR23">
            <v>0</v>
          </cell>
          <cell r="BT23">
            <v>0</v>
          </cell>
          <cell r="BV23">
            <v>0</v>
          </cell>
          <cell r="BX23">
            <v>0</v>
          </cell>
          <cell r="CB23">
            <v>0</v>
          </cell>
          <cell r="CD23">
            <v>0</v>
          </cell>
          <cell r="CG23" t="str">
            <v>OAO</v>
          </cell>
          <cell r="CH23">
            <v>0</v>
          </cell>
          <cell r="CJ23">
            <v>0</v>
          </cell>
          <cell r="CL23">
            <v>0</v>
          </cell>
          <cell r="CN23">
            <v>0</v>
          </cell>
          <cell r="CO23" t="str">
            <v>NAD</v>
          </cell>
          <cell r="CP23">
            <v>0</v>
          </cell>
          <cell r="CR23">
            <v>0</v>
          </cell>
          <cell r="CT23">
            <v>0</v>
          </cell>
          <cell r="CV23">
            <v>0</v>
          </cell>
        </row>
        <row r="24">
          <cell r="B24" t="str">
            <v>MSG</v>
          </cell>
          <cell r="D24" t="str">
            <v>MED/SURG ACUTE</v>
          </cell>
          <cell r="F24" t="str">
            <v>D1</v>
          </cell>
          <cell r="H24">
            <v>22816149.738658499</v>
          </cell>
          <cell r="J24">
            <v>1479263.6125219455</v>
          </cell>
          <cell r="L24">
            <v>24295413.351180445</v>
          </cell>
          <cell r="N24">
            <v>272.15276218659403</v>
          </cell>
          <cell r="O24" t="str">
            <v>MSG</v>
          </cell>
          <cell r="P24">
            <v>22816.1</v>
          </cell>
          <cell r="R24">
            <v>1479.3</v>
          </cell>
          <cell r="T24">
            <v>24295.399999999998</v>
          </cell>
          <cell r="AD24">
            <v>22816.1</v>
          </cell>
          <cell r="AF24">
            <v>1479.3</v>
          </cell>
          <cell r="AH24">
            <v>24295.399999999998</v>
          </cell>
          <cell r="AJ24">
            <v>272.15276218659403</v>
          </cell>
          <cell r="AL24">
            <v>0</v>
          </cell>
          <cell r="AN24">
            <v>0</v>
          </cell>
          <cell r="AP24">
            <v>0</v>
          </cell>
          <cell r="AR24">
            <v>0</v>
          </cell>
          <cell r="AT24">
            <v>14.962987560652845</v>
          </cell>
          <cell r="AV24">
            <v>2348.4782595500665</v>
          </cell>
          <cell r="AX24">
            <v>2363.4412471107194</v>
          </cell>
          <cell r="AZ24">
            <v>4.4051824675104344E-2</v>
          </cell>
          <cell r="BB24">
            <v>22831.06298756065</v>
          </cell>
          <cell r="BD24">
            <v>3827.7782595500667</v>
          </cell>
          <cell r="BF24">
            <v>26658.841247110715</v>
          </cell>
          <cell r="BH24">
            <v>272.19681401126911</v>
          </cell>
          <cell r="BJ24">
            <v>795.82601276400476</v>
          </cell>
          <cell r="BN24">
            <v>795.82601276400476</v>
          </cell>
          <cell r="BP24">
            <v>3.921194456900996</v>
          </cell>
          <cell r="BR24">
            <v>23626.889000324656</v>
          </cell>
          <cell r="BT24">
            <v>3827.7782595500667</v>
          </cell>
          <cell r="BV24">
            <v>27454.667259874725</v>
          </cell>
          <cell r="BX24">
            <v>276.1180084681701</v>
          </cell>
          <cell r="CB24">
            <v>93.035560000000004</v>
          </cell>
          <cell r="CD24">
            <v>93.035560000000004</v>
          </cell>
          <cell r="CG24" t="str">
            <v>MSG</v>
          </cell>
          <cell r="CO24" t="str">
            <v>MSG</v>
          </cell>
          <cell r="CP24">
            <v>23719.924560324656</v>
          </cell>
          <cell r="CR24">
            <v>3827.7782595500667</v>
          </cell>
          <cell r="CT24">
            <v>27547.702819874721</v>
          </cell>
          <cell r="CV24">
            <v>276.1180084681701</v>
          </cell>
        </row>
        <row r="25">
          <cell r="B25" t="str">
            <v>PED</v>
          </cell>
          <cell r="D25" t="str">
            <v>PEDIATRIC ACUTE</v>
          </cell>
          <cell r="F25" t="str">
            <v>D2</v>
          </cell>
          <cell r="H25">
            <v>0</v>
          </cell>
          <cell r="J25">
            <v>0</v>
          </cell>
          <cell r="L25">
            <v>0</v>
          </cell>
          <cell r="N25">
            <v>0</v>
          </cell>
          <cell r="O25" t="str">
            <v>PED</v>
          </cell>
          <cell r="P25">
            <v>0</v>
          </cell>
          <cell r="R25">
            <v>0</v>
          </cell>
          <cell r="T25">
            <v>0</v>
          </cell>
          <cell r="AD25">
            <v>0</v>
          </cell>
          <cell r="AF25">
            <v>0</v>
          </cell>
          <cell r="AH25">
            <v>0</v>
          </cell>
          <cell r="AJ25">
            <v>0</v>
          </cell>
          <cell r="AL25">
            <v>0</v>
          </cell>
          <cell r="AN25">
            <v>0</v>
          </cell>
          <cell r="AP25">
            <v>0</v>
          </cell>
          <cell r="AR25">
            <v>0</v>
          </cell>
          <cell r="AT25">
            <v>0</v>
          </cell>
          <cell r="AV25">
            <v>0</v>
          </cell>
          <cell r="AX25">
            <v>0</v>
          </cell>
          <cell r="AZ25">
            <v>0</v>
          </cell>
          <cell r="BB25">
            <v>0</v>
          </cell>
          <cell r="BD25">
            <v>0</v>
          </cell>
          <cell r="BF25">
            <v>0</v>
          </cell>
          <cell r="BH25">
            <v>0</v>
          </cell>
          <cell r="BJ25">
            <v>0</v>
          </cell>
          <cell r="BN25">
            <v>0</v>
          </cell>
          <cell r="BP25">
            <v>0</v>
          </cell>
          <cell r="BR25">
            <v>0</v>
          </cell>
          <cell r="BT25">
            <v>0</v>
          </cell>
          <cell r="BV25">
            <v>0</v>
          </cell>
          <cell r="BX25">
            <v>0</v>
          </cell>
          <cell r="CB25">
            <v>0</v>
          </cell>
          <cell r="CD25">
            <v>0</v>
          </cell>
          <cell r="CG25" t="str">
            <v>PED</v>
          </cell>
          <cell r="CO25" t="str">
            <v>PED</v>
          </cell>
          <cell r="CP25">
            <v>0</v>
          </cell>
          <cell r="CR25">
            <v>0</v>
          </cell>
          <cell r="CT25">
            <v>0</v>
          </cell>
          <cell r="CV25">
            <v>0</v>
          </cell>
        </row>
        <row r="26">
          <cell r="B26" t="str">
            <v>PSY</v>
          </cell>
          <cell r="D26" t="str">
            <v>PSYCHIATRIC ACUTE</v>
          </cell>
          <cell r="F26" t="str">
            <v>D3</v>
          </cell>
          <cell r="H26">
            <v>2210449.2960213041</v>
          </cell>
          <cell r="J26">
            <v>617618.15877720644</v>
          </cell>
          <cell r="L26">
            <v>2828067.4547985103</v>
          </cell>
          <cell r="N26">
            <v>25.304027887309399</v>
          </cell>
          <cell r="O26" t="str">
            <v>PSY</v>
          </cell>
          <cell r="P26">
            <v>2210.4</v>
          </cell>
          <cell r="R26">
            <v>617.6</v>
          </cell>
          <cell r="T26">
            <v>2828</v>
          </cell>
          <cell r="AD26">
            <v>2210.4</v>
          </cell>
          <cell r="AF26">
            <v>617.6</v>
          </cell>
          <cell r="AH26">
            <v>2828</v>
          </cell>
          <cell r="AJ26">
            <v>25.304027887309399</v>
          </cell>
          <cell r="AL26">
            <v>0</v>
          </cell>
          <cell r="AN26">
            <v>0</v>
          </cell>
          <cell r="AP26">
            <v>0</v>
          </cell>
          <cell r="AR26">
            <v>0</v>
          </cell>
          <cell r="AT26">
            <v>1.5210410233789149</v>
          </cell>
          <cell r="AV26">
            <v>238.73118659020733</v>
          </cell>
          <cell r="AX26">
            <v>240.25222761358626</v>
          </cell>
          <cell r="AZ26">
            <v>4.4780250076346239E-3</v>
          </cell>
          <cell r="BB26">
            <v>2211.9210410233791</v>
          </cell>
          <cell r="BD26">
            <v>856.33118659020738</v>
          </cell>
          <cell r="BF26">
            <v>3068.2522276135865</v>
          </cell>
          <cell r="BH26">
            <v>25.308505912317035</v>
          </cell>
          <cell r="BJ26">
            <v>161.95601171341869</v>
          </cell>
          <cell r="BN26">
            <v>161.95601171341869</v>
          </cell>
          <cell r="BP26">
            <v>0.90986523434504885</v>
          </cell>
          <cell r="BR26">
            <v>2373.8770527367979</v>
          </cell>
          <cell r="BT26">
            <v>856.33118659020738</v>
          </cell>
          <cell r="BV26">
            <v>3230.2082393270052</v>
          </cell>
          <cell r="BX26">
            <v>26.218371146662083</v>
          </cell>
          <cell r="CB26">
            <v>8.8340499999999995</v>
          </cell>
          <cell r="CD26">
            <v>8.8340499999999995</v>
          </cell>
          <cell r="CG26" t="str">
            <v>PSY</v>
          </cell>
          <cell r="CO26" t="str">
            <v>PSY</v>
          </cell>
          <cell r="CP26">
            <v>2382.7111027367978</v>
          </cell>
          <cell r="CR26">
            <v>856.33118659020738</v>
          </cell>
          <cell r="CT26">
            <v>3239.0422893270052</v>
          </cell>
          <cell r="CV26">
            <v>26.218371146662083</v>
          </cell>
        </row>
        <row r="27">
          <cell r="B27" t="str">
            <v>OBS</v>
          </cell>
          <cell r="D27" t="str">
            <v>OBSTETRICS ACUTE</v>
          </cell>
          <cell r="F27" t="str">
            <v>D4</v>
          </cell>
          <cell r="H27">
            <v>1589205.6215546136</v>
          </cell>
          <cell r="J27">
            <v>47139.153005748529</v>
          </cell>
          <cell r="L27">
            <v>1636344.7745603621</v>
          </cell>
          <cell r="N27">
            <v>17.130312206197871</v>
          </cell>
          <cell r="O27" t="str">
            <v>OBS</v>
          </cell>
          <cell r="P27">
            <v>1589.2</v>
          </cell>
          <cell r="R27">
            <v>47.1</v>
          </cell>
          <cell r="T27">
            <v>1636.3</v>
          </cell>
          <cell r="AD27">
            <v>1589.2</v>
          </cell>
          <cell r="AF27">
            <v>47.1</v>
          </cell>
          <cell r="AH27">
            <v>1636.3</v>
          </cell>
          <cell r="AJ27">
            <v>17.130312206197871</v>
          </cell>
          <cell r="AL27">
            <v>0</v>
          </cell>
          <cell r="AN27">
            <v>0</v>
          </cell>
          <cell r="AP27">
            <v>0</v>
          </cell>
          <cell r="AR27">
            <v>0</v>
          </cell>
          <cell r="AT27">
            <v>1.1588883987648875</v>
          </cell>
          <cell r="AV27">
            <v>181.89042787825318</v>
          </cell>
          <cell r="AX27">
            <v>183.04931627701808</v>
          </cell>
          <cell r="AZ27">
            <v>3.4118285772454277E-3</v>
          </cell>
          <cell r="BB27">
            <v>1590.358888398765</v>
          </cell>
          <cell r="BD27">
            <v>228.99042787825317</v>
          </cell>
          <cell r="BF27">
            <v>1819.3493162770183</v>
          </cell>
          <cell r="BH27">
            <v>17.133724034775117</v>
          </cell>
          <cell r="BJ27">
            <v>112.60127434256647</v>
          </cell>
          <cell r="BN27">
            <v>112.60127434256647</v>
          </cell>
          <cell r="BP27">
            <v>0.47441025634112688</v>
          </cell>
          <cell r="BR27">
            <v>1702.9601627413315</v>
          </cell>
          <cell r="BT27">
            <v>228.99042787825317</v>
          </cell>
          <cell r="BV27">
            <v>1931.9505906195845</v>
          </cell>
          <cell r="BX27">
            <v>17.608134291116244</v>
          </cell>
          <cell r="CB27">
            <v>5.9329099999999997</v>
          </cell>
          <cell r="CD27">
            <v>5.9329099999999997</v>
          </cell>
          <cell r="CG27" t="str">
            <v>OBS</v>
          </cell>
          <cell r="CO27" t="str">
            <v>OBS</v>
          </cell>
          <cell r="CP27">
            <v>1708.8930727413315</v>
          </cell>
          <cell r="CR27">
            <v>228.99042787825317</v>
          </cell>
          <cell r="CT27">
            <v>1937.8835006195845</v>
          </cell>
          <cell r="CV27">
            <v>17.608134291116244</v>
          </cell>
        </row>
        <row r="28">
          <cell r="B28" t="str">
            <v>DEF</v>
          </cell>
          <cell r="D28" t="str">
            <v>DEFINITIVE OBSERVATION</v>
          </cell>
          <cell r="F28" t="str">
            <v>D5</v>
          </cell>
          <cell r="H28">
            <v>0</v>
          </cell>
          <cell r="J28">
            <v>0</v>
          </cell>
          <cell r="L28">
            <v>0</v>
          </cell>
          <cell r="N28">
            <v>0</v>
          </cell>
          <cell r="O28" t="str">
            <v>DEF</v>
          </cell>
          <cell r="P28">
            <v>0</v>
          </cell>
          <cell r="R28">
            <v>0</v>
          </cell>
          <cell r="T28">
            <v>0</v>
          </cell>
          <cell r="AD28">
            <v>0</v>
          </cell>
          <cell r="AF28">
            <v>0</v>
          </cell>
          <cell r="AH28">
            <v>0</v>
          </cell>
          <cell r="AJ28">
            <v>0</v>
          </cell>
          <cell r="AL28">
            <v>0</v>
          </cell>
          <cell r="AN28">
            <v>0</v>
          </cell>
          <cell r="AP28">
            <v>0</v>
          </cell>
          <cell r="AR28">
            <v>0</v>
          </cell>
          <cell r="AT28">
            <v>0</v>
          </cell>
          <cell r="AV28">
            <v>0</v>
          </cell>
          <cell r="AX28">
            <v>0</v>
          </cell>
          <cell r="AZ28">
            <v>0</v>
          </cell>
          <cell r="BB28">
            <v>0</v>
          </cell>
          <cell r="BD28">
            <v>0</v>
          </cell>
          <cell r="BF28">
            <v>0</v>
          </cell>
          <cell r="BH28">
            <v>0</v>
          </cell>
          <cell r="BJ28">
            <v>0</v>
          </cell>
          <cell r="BN28">
            <v>0</v>
          </cell>
          <cell r="BP28">
            <v>0</v>
          </cell>
          <cell r="BR28">
            <v>0</v>
          </cell>
          <cell r="BT28">
            <v>0</v>
          </cell>
          <cell r="BV28">
            <v>0</v>
          </cell>
          <cell r="BX28">
            <v>0</v>
          </cell>
          <cell r="CB28">
            <v>0</v>
          </cell>
          <cell r="CD28">
            <v>0</v>
          </cell>
          <cell r="CG28" t="str">
            <v>DEF</v>
          </cell>
          <cell r="CO28" t="str">
            <v>DEF</v>
          </cell>
          <cell r="CP28">
            <v>0</v>
          </cell>
          <cell r="CR28">
            <v>0</v>
          </cell>
          <cell r="CT28">
            <v>0</v>
          </cell>
          <cell r="CV28">
            <v>0</v>
          </cell>
        </row>
        <row r="29">
          <cell r="B29" t="str">
            <v>MIS</v>
          </cell>
          <cell r="D29" t="str">
            <v>MED/SURG INTENSIVE CARE</v>
          </cell>
          <cell r="F29" t="str">
            <v>D6</v>
          </cell>
          <cell r="H29">
            <v>6831969.2489291634</v>
          </cell>
          <cell r="J29">
            <v>352802.09749182116</v>
          </cell>
          <cell r="L29">
            <v>7184771.3464209847</v>
          </cell>
          <cell r="N29">
            <v>62.821008117436271</v>
          </cell>
          <cell r="O29" t="str">
            <v>MIS</v>
          </cell>
          <cell r="P29">
            <v>6832</v>
          </cell>
          <cell r="R29">
            <v>352.8</v>
          </cell>
          <cell r="T29">
            <v>7184.8</v>
          </cell>
          <cell r="AD29">
            <v>6832</v>
          </cell>
          <cell r="AF29">
            <v>352.8</v>
          </cell>
          <cell r="AH29">
            <v>7184.8</v>
          </cell>
          <cell r="AJ29">
            <v>62.821008117436271</v>
          </cell>
          <cell r="AL29">
            <v>0</v>
          </cell>
          <cell r="AN29">
            <v>0</v>
          </cell>
          <cell r="AP29">
            <v>0</v>
          </cell>
          <cell r="AR29">
            <v>0</v>
          </cell>
          <cell r="AT29">
            <v>3.6939567710630787</v>
          </cell>
          <cell r="AV29">
            <v>579.77573886193204</v>
          </cell>
          <cell r="AX29">
            <v>583.46969563299513</v>
          </cell>
          <cell r="AZ29">
            <v>1.0875203589969802E-2</v>
          </cell>
          <cell r="BB29">
            <v>6835.6939567710633</v>
          </cell>
          <cell r="BD29">
            <v>932.575738861932</v>
          </cell>
          <cell r="BF29">
            <v>7768.2696956329955</v>
          </cell>
          <cell r="BH29">
            <v>62.83188332102624</v>
          </cell>
          <cell r="BJ29">
            <v>0</v>
          </cell>
          <cell r="BN29">
            <v>0</v>
          </cell>
          <cell r="BP29">
            <v>0</v>
          </cell>
          <cell r="BR29">
            <v>6835.6939567710633</v>
          </cell>
          <cell r="BT29">
            <v>932.575738861932</v>
          </cell>
          <cell r="BV29">
            <v>7768.2696956329955</v>
          </cell>
          <cell r="BX29">
            <v>62.83188332102624</v>
          </cell>
          <cell r="CB29">
            <v>21.170660000000002</v>
          </cell>
          <cell r="CD29">
            <v>21.170660000000002</v>
          </cell>
          <cell r="CG29" t="str">
            <v>MIS</v>
          </cell>
          <cell r="CO29" t="str">
            <v>MIS</v>
          </cell>
          <cell r="CP29">
            <v>6856.8646167710631</v>
          </cell>
          <cell r="CR29">
            <v>932.575738861932</v>
          </cell>
          <cell r="CT29">
            <v>7789.4403556329953</v>
          </cell>
          <cell r="CV29">
            <v>62.83188332102624</v>
          </cell>
        </row>
        <row r="30">
          <cell r="B30" t="str">
            <v>CCU</v>
          </cell>
          <cell r="D30" t="str">
            <v>CORONARY CARE</v>
          </cell>
          <cell r="F30" t="str">
            <v>D7</v>
          </cell>
          <cell r="H30">
            <v>0</v>
          </cell>
          <cell r="J30">
            <v>0</v>
          </cell>
          <cell r="L30">
            <v>0</v>
          </cell>
          <cell r="N30">
            <v>0</v>
          </cell>
          <cell r="O30" t="str">
            <v>CCU</v>
          </cell>
          <cell r="P30">
            <v>0</v>
          </cell>
          <cell r="R30">
            <v>0</v>
          </cell>
          <cell r="T30">
            <v>0</v>
          </cell>
          <cell r="AD30">
            <v>0</v>
          </cell>
          <cell r="AF30">
            <v>0</v>
          </cell>
          <cell r="AH30">
            <v>0</v>
          </cell>
          <cell r="AJ30">
            <v>0</v>
          </cell>
          <cell r="AL30">
            <v>0</v>
          </cell>
          <cell r="AN30">
            <v>0</v>
          </cell>
          <cell r="AP30">
            <v>0</v>
          </cell>
          <cell r="AR30">
            <v>0</v>
          </cell>
          <cell r="AT30">
            <v>0</v>
          </cell>
          <cell r="AV30">
            <v>0</v>
          </cell>
          <cell r="AX30">
            <v>0</v>
          </cell>
          <cell r="AZ30">
            <v>0</v>
          </cell>
          <cell r="BB30">
            <v>0</v>
          </cell>
          <cell r="BD30">
            <v>0</v>
          </cell>
          <cell r="BF30">
            <v>0</v>
          </cell>
          <cell r="BH30">
            <v>0</v>
          </cell>
          <cell r="BJ30">
            <v>0</v>
          </cell>
          <cell r="BN30">
            <v>0</v>
          </cell>
          <cell r="BP30">
            <v>0</v>
          </cell>
          <cell r="BR30">
            <v>0</v>
          </cell>
          <cell r="BT30">
            <v>0</v>
          </cell>
          <cell r="BV30">
            <v>0</v>
          </cell>
          <cell r="BX30">
            <v>0</v>
          </cell>
          <cell r="CB30">
            <v>0</v>
          </cell>
          <cell r="CD30">
            <v>0</v>
          </cell>
          <cell r="CG30" t="str">
            <v>CCU</v>
          </cell>
          <cell r="CO30" t="str">
            <v>CCU</v>
          </cell>
          <cell r="CP30">
            <v>0</v>
          </cell>
          <cell r="CR30">
            <v>0</v>
          </cell>
          <cell r="CT30">
            <v>0</v>
          </cell>
          <cell r="CV30">
            <v>0</v>
          </cell>
        </row>
        <row r="31">
          <cell r="B31" t="str">
            <v>PIC</v>
          </cell>
          <cell r="D31" t="str">
            <v>PEDIATRIC INTENSIVE CARE</v>
          </cell>
          <cell r="F31" t="str">
            <v>D8</v>
          </cell>
          <cell r="H31">
            <v>0</v>
          </cell>
          <cell r="J31">
            <v>0</v>
          </cell>
          <cell r="L31">
            <v>0</v>
          </cell>
          <cell r="N31">
            <v>0</v>
          </cell>
          <cell r="O31" t="str">
            <v>PIC</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PIC</v>
          </cell>
          <cell r="CO31" t="str">
            <v>PIC</v>
          </cell>
          <cell r="CP31">
            <v>0</v>
          </cell>
          <cell r="CR31">
            <v>0</v>
          </cell>
          <cell r="CT31">
            <v>0</v>
          </cell>
          <cell r="CV31">
            <v>0</v>
          </cell>
        </row>
        <row r="32">
          <cell r="B32" t="str">
            <v>NEO</v>
          </cell>
          <cell r="D32" t="str">
            <v>NEONATAL INTENSIVE CARE</v>
          </cell>
          <cell r="F32" t="str">
            <v>D9</v>
          </cell>
          <cell r="H32">
            <v>3589011.3784555392</v>
          </cell>
          <cell r="J32">
            <v>67347.72457021891</v>
          </cell>
          <cell r="L32">
            <v>3656359.1030257582</v>
          </cell>
          <cell r="N32">
            <v>32.716144492315678</v>
          </cell>
          <cell r="O32" t="str">
            <v>NEO</v>
          </cell>
          <cell r="P32">
            <v>3589</v>
          </cell>
          <cell r="R32">
            <v>67.3</v>
          </cell>
          <cell r="T32">
            <v>3656.3</v>
          </cell>
          <cell r="AD32">
            <v>3589</v>
          </cell>
          <cell r="AF32">
            <v>67.3</v>
          </cell>
          <cell r="AH32">
            <v>3656.3</v>
          </cell>
          <cell r="AJ32">
            <v>32.716144492315678</v>
          </cell>
          <cell r="AL32">
            <v>0</v>
          </cell>
          <cell r="AN32">
            <v>0</v>
          </cell>
          <cell r="AP32">
            <v>0</v>
          </cell>
          <cell r="AR32">
            <v>0</v>
          </cell>
          <cell r="AT32">
            <v>1.5572562858403176</v>
          </cell>
          <cell r="AV32">
            <v>244.41526246140273</v>
          </cell>
          <cell r="AX32">
            <v>245.97251874724304</v>
          </cell>
          <cell r="AZ32">
            <v>4.5846446506735434E-3</v>
          </cell>
          <cell r="BB32">
            <v>3590.5572562858401</v>
          </cell>
          <cell r="BD32">
            <v>311.71526246140274</v>
          </cell>
          <cell r="BF32">
            <v>3902.2725187472429</v>
          </cell>
          <cell r="BH32">
            <v>32.720729136966348</v>
          </cell>
          <cell r="BJ32">
            <v>36.222840995699734</v>
          </cell>
          <cell r="BN32">
            <v>36.222840995699734</v>
          </cell>
          <cell r="BP32">
            <v>0.15261361278997149</v>
          </cell>
          <cell r="BR32">
            <v>3626.7800972815398</v>
          </cell>
          <cell r="BT32">
            <v>311.71526246140274</v>
          </cell>
          <cell r="BV32">
            <v>3938.4953597429426</v>
          </cell>
          <cell r="BX32">
            <v>32.873342749756318</v>
          </cell>
          <cell r="CB32">
            <v>11.07639</v>
          </cell>
          <cell r="CD32">
            <v>11.07639</v>
          </cell>
          <cell r="CG32" t="str">
            <v>NEO</v>
          </cell>
          <cell r="CO32" t="str">
            <v>NEO</v>
          </cell>
          <cell r="CP32">
            <v>3637.85648728154</v>
          </cell>
          <cell r="CR32">
            <v>311.71526246140274</v>
          </cell>
          <cell r="CT32">
            <v>3949.5717497429428</v>
          </cell>
          <cell r="CV32">
            <v>32.873342749756318</v>
          </cell>
        </row>
        <row r="33">
          <cell r="B33" t="str">
            <v>BUR</v>
          </cell>
          <cell r="D33" t="str">
            <v>BURN CARE</v>
          </cell>
          <cell r="F33" t="str">
            <v>D10</v>
          </cell>
          <cell r="H33">
            <v>0</v>
          </cell>
          <cell r="J33">
            <v>0</v>
          </cell>
          <cell r="L33">
            <v>0</v>
          </cell>
          <cell r="N33">
            <v>0</v>
          </cell>
          <cell r="O33" t="str">
            <v>BUR</v>
          </cell>
          <cell r="P33">
            <v>0</v>
          </cell>
          <cell r="R33">
            <v>0</v>
          </cell>
          <cell r="T33">
            <v>0</v>
          </cell>
          <cell r="AD33">
            <v>0</v>
          </cell>
          <cell r="AF33">
            <v>0</v>
          </cell>
          <cell r="AH33">
            <v>0</v>
          </cell>
          <cell r="AJ33">
            <v>0</v>
          </cell>
          <cell r="AL33">
            <v>0</v>
          </cell>
          <cell r="AN33">
            <v>0</v>
          </cell>
          <cell r="AP33">
            <v>0</v>
          </cell>
          <cell r="AR33">
            <v>0</v>
          </cell>
          <cell r="AT33">
            <v>0</v>
          </cell>
          <cell r="AV33">
            <v>0</v>
          </cell>
          <cell r="AX33">
            <v>0</v>
          </cell>
          <cell r="AZ33">
            <v>0</v>
          </cell>
          <cell r="BB33">
            <v>0</v>
          </cell>
          <cell r="BD33">
            <v>0</v>
          </cell>
          <cell r="BF33">
            <v>0</v>
          </cell>
          <cell r="BH33">
            <v>0</v>
          </cell>
          <cell r="BJ33">
            <v>0</v>
          </cell>
          <cell r="BN33">
            <v>0</v>
          </cell>
          <cell r="BP33">
            <v>0</v>
          </cell>
          <cell r="BR33">
            <v>0</v>
          </cell>
          <cell r="BT33">
            <v>0</v>
          </cell>
          <cell r="BV33">
            <v>0</v>
          </cell>
          <cell r="BX33">
            <v>0</v>
          </cell>
          <cell r="CB33">
            <v>0</v>
          </cell>
          <cell r="CD33">
            <v>0</v>
          </cell>
          <cell r="CG33" t="str">
            <v>BUR</v>
          </cell>
          <cell r="CO33" t="str">
            <v>BUR</v>
          </cell>
          <cell r="CP33">
            <v>0</v>
          </cell>
          <cell r="CR33">
            <v>0</v>
          </cell>
          <cell r="CT33">
            <v>0</v>
          </cell>
          <cell r="CV33">
            <v>0</v>
          </cell>
        </row>
        <row r="34">
          <cell r="B34" t="str">
            <v>PSI</v>
          </cell>
          <cell r="D34" t="str">
            <v>PSYCHIATRIC - ICU</v>
          </cell>
          <cell r="F34" t="str">
            <v>D11</v>
          </cell>
          <cell r="H34">
            <v>0</v>
          </cell>
          <cell r="J34">
            <v>0</v>
          </cell>
          <cell r="L34">
            <v>0</v>
          </cell>
          <cell r="N34">
            <v>0</v>
          </cell>
          <cell r="O34" t="str">
            <v>PSI</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PSI</v>
          </cell>
          <cell r="CO34" t="str">
            <v>PSI</v>
          </cell>
          <cell r="CP34">
            <v>0</v>
          </cell>
          <cell r="CR34">
            <v>0</v>
          </cell>
          <cell r="CT34">
            <v>0</v>
          </cell>
          <cell r="CV34">
            <v>0</v>
          </cell>
        </row>
        <row r="35">
          <cell r="B35" t="str">
            <v>TRM</v>
          </cell>
          <cell r="D35" t="str">
            <v>SHOCK TRAUMA</v>
          </cell>
          <cell r="F35" t="str">
            <v>D12</v>
          </cell>
          <cell r="H35">
            <v>0</v>
          </cell>
          <cell r="J35">
            <v>0</v>
          </cell>
          <cell r="L35">
            <v>0</v>
          </cell>
          <cell r="N35">
            <v>0</v>
          </cell>
          <cell r="O35" t="str">
            <v>TRM</v>
          </cell>
          <cell r="P35">
            <v>0</v>
          </cell>
          <cell r="R35">
            <v>0</v>
          </cell>
          <cell r="T35">
            <v>0</v>
          </cell>
          <cell r="AD35">
            <v>0</v>
          </cell>
          <cell r="AF35">
            <v>0</v>
          </cell>
          <cell r="AH35">
            <v>0</v>
          </cell>
          <cell r="AJ35">
            <v>0</v>
          </cell>
          <cell r="AL35">
            <v>0</v>
          </cell>
          <cell r="AN35">
            <v>0</v>
          </cell>
          <cell r="AP35">
            <v>0</v>
          </cell>
          <cell r="AR35">
            <v>0</v>
          </cell>
          <cell r="AT35">
            <v>0</v>
          </cell>
          <cell r="AV35">
            <v>0</v>
          </cell>
          <cell r="AX35">
            <v>0</v>
          </cell>
          <cell r="AZ35">
            <v>0</v>
          </cell>
          <cell r="BB35">
            <v>0</v>
          </cell>
          <cell r="BD35">
            <v>0</v>
          </cell>
          <cell r="BF35">
            <v>0</v>
          </cell>
          <cell r="BH35">
            <v>0</v>
          </cell>
          <cell r="BJ35">
            <v>0</v>
          </cell>
          <cell r="BN35">
            <v>0</v>
          </cell>
          <cell r="BP35">
            <v>0</v>
          </cell>
          <cell r="BR35">
            <v>0</v>
          </cell>
          <cell r="BT35">
            <v>0</v>
          </cell>
          <cell r="BV35">
            <v>0</v>
          </cell>
          <cell r="BX35">
            <v>0</v>
          </cell>
          <cell r="CB35">
            <v>0</v>
          </cell>
          <cell r="CD35">
            <v>0</v>
          </cell>
          <cell r="CG35" t="str">
            <v>TRM</v>
          </cell>
          <cell r="CO35" t="str">
            <v>TRM</v>
          </cell>
          <cell r="CP35">
            <v>0</v>
          </cell>
          <cell r="CR35">
            <v>0</v>
          </cell>
          <cell r="CT35">
            <v>0</v>
          </cell>
          <cell r="CV35">
            <v>0</v>
          </cell>
        </row>
        <row r="36">
          <cell r="B36" t="str">
            <v>ONC</v>
          </cell>
          <cell r="D36" t="str">
            <v>ONCOLOGY</v>
          </cell>
          <cell r="F36" t="str">
            <v>D13</v>
          </cell>
          <cell r="H36">
            <v>0</v>
          </cell>
          <cell r="J36">
            <v>0</v>
          </cell>
          <cell r="L36">
            <v>0</v>
          </cell>
          <cell r="N36">
            <v>0</v>
          </cell>
          <cell r="O36" t="str">
            <v>ONC</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ONC</v>
          </cell>
          <cell r="CO36" t="str">
            <v>ONC</v>
          </cell>
          <cell r="CP36">
            <v>0</v>
          </cell>
          <cell r="CR36">
            <v>0</v>
          </cell>
          <cell r="CT36">
            <v>0</v>
          </cell>
          <cell r="CV36">
            <v>0</v>
          </cell>
        </row>
        <row r="37">
          <cell r="B37" t="str">
            <v>NUR</v>
          </cell>
          <cell r="D37" t="str">
            <v>NEWBORN NURSERY</v>
          </cell>
          <cell r="F37" t="str">
            <v>D14</v>
          </cell>
          <cell r="H37">
            <v>1194606.7824904532</v>
          </cell>
          <cell r="J37">
            <v>17214.704837734549</v>
          </cell>
          <cell r="L37">
            <v>1211821.4873281878</v>
          </cell>
          <cell r="N37">
            <v>12.735775507653214</v>
          </cell>
          <cell r="O37" t="str">
            <v>NUR</v>
          </cell>
          <cell r="P37">
            <v>1194.5999999999999</v>
          </cell>
          <cell r="R37">
            <v>17.2</v>
          </cell>
          <cell r="T37">
            <v>1211.8</v>
          </cell>
          <cell r="AD37">
            <v>1194.5999999999999</v>
          </cell>
          <cell r="AF37">
            <v>17.2</v>
          </cell>
          <cell r="AH37">
            <v>1211.8</v>
          </cell>
          <cell r="AJ37">
            <v>12.735775507653214</v>
          </cell>
          <cell r="AL37">
            <v>0</v>
          </cell>
          <cell r="AN37">
            <v>0</v>
          </cell>
          <cell r="AP37">
            <v>0</v>
          </cell>
          <cell r="AR37">
            <v>0</v>
          </cell>
          <cell r="AT37">
            <v>0</v>
          </cell>
          <cell r="AV37">
            <v>0</v>
          </cell>
          <cell r="AX37">
            <v>0</v>
          </cell>
          <cell r="AZ37">
            <v>0</v>
          </cell>
          <cell r="BB37">
            <v>1194.5999999999999</v>
          </cell>
          <cell r="BD37">
            <v>17.2</v>
          </cell>
          <cell r="BF37">
            <v>1211.8</v>
          </cell>
          <cell r="BH37">
            <v>12.735775507653214</v>
          </cell>
          <cell r="BJ37">
            <v>0</v>
          </cell>
          <cell r="BN37">
            <v>0</v>
          </cell>
          <cell r="BP37">
            <v>0</v>
          </cell>
          <cell r="BR37">
            <v>1194.5999999999999</v>
          </cell>
          <cell r="BT37">
            <v>17.2</v>
          </cell>
          <cell r="BV37">
            <v>1211.8</v>
          </cell>
          <cell r="BX37">
            <v>12.735775507653214</v>
          </cell>
          <cell r="CB37">
            <v>4.2912100000000004</v>
          </cell>
          <cell r="CD37">
            <v>4.2912100000000004</v>
          </cell>
          <cell r="CG37" t="str">
            <v>NUR</v>
          </cell>
          <cell r="CO37" t="str">
            <v>NUR</v>
          </cell>
          <cell r="CP37">
            <v>1198.89121</v>
          </cell>
          <cell r="CR37">
            <v>17.2</v>
          </cell>
          <cell r="CT37">
            <v>1216.09121</v>
          </cell>
          <cell r="CV37">
            <v>12.735775507653214</v>
          </cell>
        </row>
        <row r="38">
          <cell r="B38" t="str">
            <v>PRE</v>
          </cell>
          <cell r="D38" t="str">
            <v>PREMATURE NURSERY</v>
          </cell>
          <cell r="F38" t="str">
            <v>D15</v>
          </cell>
          <cell r="H38">
            <v>0</v>
          </cell>
          <cell r="J38">
            <v>0</v>
          </cell>
          <cell r="L38">
            <v>0</v>
          </cell>
          <cell r="N38">
            <v>0</v>
          </cell>
          <cell r="O38" t="str">
            <v>PRE</v>
          </cell>
          <cell r="P38">
            <v>0</v>
          </cell>
          <cell r="R38">
            <v>0</v>
          </cell>
          <cell r="T38">
            <v>0</v>
          </cell>
          <cell r="AD38">
            <v>0</v>
          </cell>
          <cell r="AF38">
            <v>0</v>
          </cell>
          <cell r="AH38">
            <v>0</v>
          </cell>
          <cell r="AJ38">
            <v>0</v>
          </cell>
          <cell r="AL38">
            <v>0</v>
          </cell>
          <cell r="AN38">
            <v>0</v>
          </cell>
          <cell r="AP38">
            <v>0</v>
          </cell>
          <cell r="AR38">
            <v>0</v>
          </cell>
          <cell r="AT38">
            <v>0</v>
          </cell>
          <cell r="AV38">
            <v>0</v>
          </cell>
          <cell r="AX38">
            <v>0</v>
          </cell>
          <cell r="AZ38">
            <v>0</v>
          </cell>
          <cell r="BB38">
            <v>0</v>
          </cell>
          <cell r="BD38">
            <v>0</v>
          </cell>
          <cell r="BF38">
            <v>0</v>
          </cell>
          <cell r="BH38">
            <v>0</v>
          </cell>
          <cell r="BJ38">
            <v>0</v>
          </cell>
          <cell r="BN38">
            <v>0</v>
          </cell>
          <cell r="BP38">
            <v>0</v>
          </cell>
          <cell r="BR38">
            <v>0</v>
          </cell>
          <cell r="BT38">
            <v>0</v>
          </cell>
          <cell r="BV38">
            <v>0</v>
          </cell>
          <cell r="BX38">
            <v>0</v>
          </cell>
          <cell r="CB38">
            <v>0</v>
          </cell>
          <cell r="CD38">
            <v>0</v>
          </cell>
          <cell r="CG38" t="str">
            <v>PRE</v>
          </cell>
          <cell r="CO38" t="str">
            <v>PRE</v>
          </cell>
          <cell r="CP38">
            <v>0</v>
          </cell>
          <cell r="CR38">
            <v>0</v>
          </cell>
          <cell r="CT38">
            <v>0</v>
          </cell>
          <cell r="CV38">
            <v>0</v>
          </cell>
        </row>
        <row r="39">
          <cell r="B39" t="str">
            <v>ECF</v>
          </cell>
          <cell r="D39" t="str">
            <v>SKILLED NURSING CARE</v>
          </cell>
          <cell r="F39" t="str">
            <v>D16</v>
          </cell>
          <cell r="H39">
            <v>0</v>
          </cell>
          <cell r="J39">
            <v>0</v>
          </cell>
          <cell r="L39">
            <v>0</v>
          </cell>
          <cell r="N39">
            <v>0</v>
          </cell>
          <cell r="O39" t="str">
            <v>ECF</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R39">
            <v>0</v>
          </cell>
          <cell r="BT39">
            <v>0</v>
          </cell>
          <cell r="BV39">
            <v>0</v>
          </cell>
          <cell r="BX39">
            <v>0</v>
          </cell>
          <cell r="CG39" t="str">
            <v>ECF</v>
          </cell>
          <cell r="CO39" t="str">
            <v>ECF</v>
          </cell>
          <cell r="CP39">
            <v>0</v>
          </cell>
          <cell r="CR39">
            <v>0</v>
          </cell>
          <cell r="CT39">
            <v>0</v>
          </cell>
          <cell r="CV39">
            <v>0</v>
          </cell>
        </row>
        <row r="40">
          <cell r="B40" t="str">
            <v>CHR</v>
          </cell>
          <cell r="D40" t="str">
            <v>CHRONIC CARE</v>
          </cell>
          <cell r="F40" t="str">
            <v>D17</v>
          </cell>
          <cell r="H40">
            <v>0</v>
          </cell>
          <cell r="J40">
            <v>0</v>
          </cell>
          <cell r="L40">
            <v>0</v>
          </cell>
          <cell r="N40">
            <v>0</v>
          </cell>
          <cell r="O40" t="str">
            <v>ICC</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ICC</v>
          </cell>
          <cell r="CO40" t="str">
            <v>ICC</v>
          </cell>
          <cell r="CP40">
            <v>0</v>
          </cell>
          <cell r="CR40">
            <v>0</v>
          </cell>
          <cell r="CT40">
            <v>0</v>
          </cell>
          <cell r="CV40">
            <v>0</v>
          </cell>
        </row>
        <row r="41">
          <cell r="B41" t="str">
            <v>EMG</v>
          </cell>
          <cell r="D41" t="str">
            <v>EMERGENCY SERVICES</v>
          </cell>
          <cell r="F41" t="str">
            <v>D18</v>
          </cell>
          <cell r="H41">
            <v>7079413.5498396112</v>
          </cell>
          <cell r="J41">
            <v>289021.27100307803</v>
          </cell>
          <cell r="L41">
            <v>7368434.8208426889</v>
          </cell>
          <cell r="N41">
            <v>77.866268045204308</v>
          </cell>
          <cell r="O41" t="str">
            <v>EMG</v>
          </cell>
          <cell r="P41">
            <v>7079.4</v>
          </cell>
          <cell r="R41">
            <v>289</v>
          </cell>
          <cell r="T41">
            <v>7368.4</v>
          </cell>
          <cell r="AD41">
            <v>7079.4</v>
          </cell>
          <cell r="AF41">
            <v>289</v>
          </cell>
          <cell r="AH41">
            <v>7368.4</v>
          </cell>
          <cell r="AJ41">
            <v>77.866268045204308</v>
          </cell>
          <cell r="AL41">
            <v>0</v>
          </cell>
          <cell r="AN41">
            <v>0</v>
          </cell>
          <cell r="AP41">
            <v>0</v>
          </cell>
          <cell r="AR41">
            <v>0</v>
          </cell>
          <cell r="AT41">
            <v>3.1869430966034402</v>
          </cell>
          <cell r="AV41">
            <v>500.19867666519627</v>
          </cell>
          <cell r="AX41">
            <v>503.38561976179972</v>
          </cell>
          <cell r="AZ41">
            <v>9.3825285874249258E-3</v>
          </cell>
          <cell r="BB41">
            <v>7082.5869430966031</v>
          </cell>
          <cell r="BD41">
            <v>789.19867666519622</v>
          </cell>
          <cell r="BF41">
            <v>7871.7856197617994</v>
          </cell>
          <cell r="BH41">
            <v>77.875650573791731</v>
          </cell>
          <cell r="BJ41">
            <v>1571.9131435023805</v>
          </cell>
          <cell r="BN41">
            <v>1571.9131435023805</v>
          </cell>
          <cell r="BP41">
            <v>6.3981809881066534</v>
          </cell>
          <cell r="BR41">
            <v>8654.5000865989841</v>
          </cell>
          <cell r="BT41">
            <v>789.19867666519622</v>
          </cell>
          <cell r="BV41">
            <v>9443.6987632641794</v>
          </cell>
          <cell r="BX41">
            <v>84.27383156189839</v>
          </cell>
          <cell r="CB41">
            <v>28.395330000000001</v>
          </cell>
          <cell r="CD41">
            <v>28.395330000000001</v>
          </cell>
          <cell r="CG41" t="str">
            <v>EMG</v>
          </cell>
          <cell r="CO41" t="str">
            <v>EMG</v>
          </cell>
          <cell r="CP41">
            <v>8682.8954165989835</v>
          </cell>
          <cell r="CR41">
            <v>789.19867666519622</v>
          </cell>
          <cell r="CT41">
            <v>9472.0940932641788</v>
          </cell>
          <cell r="CV41">
            <v>84.27383156189839</v>
          </cell>
        </row>
        <row r="42">
          <cell r="B42" t="str">
            <v>CL</v>
          </cell>
          <cell r="D42" t="str">
            <v>CLINIC SERVICES</v>
          </cell>
          <cell r="F42" t="str">
            <v>D19</v>
          </cell>
          <cell r="H42">
            <v>4516137.5106393443</v>
          </cell>
          <cell r="J42">
            <v>368443.22588849516</v>
          </cell>
          <cell r="L42">
            <v>4884580.7365278397</v>
          </cell>
          <cell r="N42">
            <v>43.559388020658474</v>
          </cell>
          <cell r="O42" t="str">
            <v>CL</v>
          </cell>
          <cell r="P42">
            <v>4516.1000000000004</v>
          </cell>
          <cell r="R42">
            <v>368.4</v>
          </cell>
          <cell r="T42">
            <v>4884.5</v>
          </cell>
          <cell r="AD42">
            <v>4516.1000000000004</v>
          </cell>
          <cell r="AF42">
            <v>368.4</v>
          </cell>
          <cell r="AH42">
            <v>4884.5</v>
          </cell>
          <cell r="AJ42">
            <v>43.559388020658474</v>
          </cell>
          <cell r="AL42">
            <v>0</v>
          </cell>
          <cell r="AN42">
            <v>0</v>
          </cell>
          <cell r="AP42">
            <v>0</v>
          </cell>
          <cell r="AR42">
            <v>0</v>
          </cell>
          <cell r="AT42">
            <v>6.0841640935156596</v>
          </cell>
          <cell r="AV42">
            <v>954.92474636082932</v>
          </cell>
          <cell r="AX42">
            <v>961.00891045434503</v>
          </cell>
          <cell r="AZ42">
            <v>1.7912100030538496E-2</v>
          </cell>
          <cell r="BB42">
            <v>4522.1841640935163</v>
          </cell>
          <cell r="BD42">
            <v>1323.3247463608293</v>
          </cell>
          <cell r="BF42">
            <v>5845.5089104543458</v>
          </cell>
          <cell r="BH42">
            <v>43.57730012068901</v>
          </cell>
          <cell r="BJ42">
            <v>415.68891127611147</v>
          </cell>
          <cell r="BN42">
            <v>415.68891127611147</v>
          </cell>
          <cell r="BP42">
            <v>1.9195978354934726</v>
          </cell>
          <cell r="BR42">
            <v>4937.8730753696282</v>
          </cell>
          <cell r="BT42">
            <v>1323.3247463608293</v>
          </cell>
          <cell r="BV42">
            <v>6261.1978217304577</v>
          </cell>
          <cell r="BX42">
            <v>45.49689795618248</v>
          </cell>
          <cell r="CB42">
            <v>15.32978</v>
          </cell>
          <cell r="CD42">
            <v>15.32978</v>
          </cell>
          <cell r="CG42" t="str">
            <v>CL</v>
          </cell>
          <cell r="CO42" t="str">
            <v>CL</v>
          </cell>
          <cell r="CP42">
            <v>4953.2028553696282</v>
          </cell>
          <cell r="CR42">
            <v>1323.3247463608293</v>
          </cell>
          <cell r="CT42">
            <v>6276.5276017304577</v>
          </cell>
          <cell r="CV42">
            <v>45.49689795618248</v>
          </cell>
        </row>
        <row r="43">
          <cell r="B43" t="str">
            <v>PDC</v>
          </cell>
          <cell r="D43" t="str">
            <v>PSYCH DAY &amp; NIGHT</v>
          </cell>
          <cell r="F43" t="str">
            <v>D20</v>
          </cell>
          <cell r="H43">
            <v>206447.95325074942</v>
          </cell>
          <cell r="J43">
            <v>1357.1825971445019</v>
          </cell>
          <cell r="L43">
            <v>207805.13584789392</v>
          </cell>
          <cell r="N43">
            <v>2.5468235060726627</v>
          </cell>
          <cell r="O43" t="str">
            <v>PDC</v>
          </cell>
          <cell r="P43">
            <v>206.4</v>
          </cell>
          <cell r="R43">
            <v>1.4</v>
          </cell>
          <cell r="T43">
            <v>207.8</v>
          </cell>
          <cell r="AD43">
            <v>206.4</v>
          </cell>
          <cell r="AF43">
            <v>1.4</v>
          </cell>
          <cell r="AH43">
            <v>207.8</v>
          </cell>
          <cell r="AJ43">
            <v>2.5468235060726627</v>
          </cell>
          <cell r="AL43">
            <v>0</v>
          </cell>
          <cell r="AN43">
            <v>0</v>
          </cell>
          <cell r="AP43">
            <v>0</v>
          </cell>
          <cell r="AR43">
            <v>0</v>
          </cell>
          <cell r="AT43">
            <v>0</v>
          </cell>
          <cell r="AV43">
            <v>0</v>
          </cell>
          <cell r="AX43">
            <v>0</v>
          </cell>
          <cell r="AZ43">
            <v>0</v>
          </cell>
          <cell r="BB43">
            <v>206.4</v>
          </cell>
          <cell r="BD43">
            <v>1.4</v>
          </cell>
          <cell r="BF43">
            <v>207.8</v>
          </cell>
          <cell r="BH43">
            <v>2.5468235060726627</v>
          </cell>
          <cell r="BJ43">
            <v>25.908562499999999</v>
          </cell>
          <cell r="BN43">
            <v>25.908562499999999</v>
          </cell>
          <cell r="BP43">
            <v>0.15514109281437125</v>
          </cell>
          <cell r="BR43">
            <v>232.30856249999999</v>
          </cell>
          <cell r="BT43">
            <v>1.4</v>
          </cell>
          <cell r="BV43">
            <v>233.7085625</v>
          </cell>
          <cell r="BX43">
            <v>2.701964598887034</v>
          </cell>
          <cell r="CB43">
            <v>0.91039999999999999</v>
          </cell>
          <cell r="CD43">
            <v>0.91039999999999999</v>
          </cell>
          <cell r="CG43" t="str">
            <v>PDC</v>
          </cell>
          <cell r="CO43" t="str">
            <v>PDC</v>
          </cell>
          <cell r="CP43">
            <v>233.2189625</v>
          </cell>
          <cell r="CR43">
            <v>1.4</v>
          </cell>
          <cell r="CT43">
            <v>234.61896250000001</v>
          </cell>
          <cell r="CV43">
            <v>2.701964598887034</v>
          </cell>
        </row>
        <row r="44">
          <cell r="B44" t="str">
            <v>AMS</v>
          </cell>
          <cell r="D44" t="str">
            <v>AMBULATORY SURGERY (PBP)</v>
          </cell>
          <cell r="F44" t="str">
            <v>D21</v>
          </cell>
          <cell r="H44">
            <v>0</v>
          </cell>
          <cell r="L44">
            <v>0</v>
          </cell>
          <cell r="N44">
            <v>0</v>
          </cell>
          <cell r="O44" t="str">
            <v>AMS</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AMS</v>
          </cell>
          <cell r="CO44" t="str">
            <v>FSC</v>
          </cell>
          <cell r="CP44">
            <v>0</v>
          </cell>
          <cell r="CR44">
            <v>0</v>
          </cell>
          <cell r="CT44">
            <v>0</v>
          </cell>
          <cell r="CV44">
            <v>0</v>
          </cell>
        </row>
        <row r="45">
          <cell r="B45" t="str">
            <v>SDS</v>
          </cell>
          <cell r="D45" t="str">
            <v>SAME DAY SURGERY</v>
          </cell>
          <cell r="F45" t="str">
            <v>D22</v>
          </cell>
          <cell r="H45">
            <v>1036822.5153078837</v>
          </cell>
          <cell r="J45">
            <v>827837.15973266331</v>
          </cell>
          <cell r="L45">
            <v>1864659.675040547</v>
          </cell>
          <cell r="N45">
            <v>11.053790619202736</v>
          </cell>
          <cell r="O45" t="str">
            <v>SDS</v>
          </cell>
          <cell r="P45">
            <v>1036.8</v>
          </cell>
          <cell r="R45">
            <v>827.8</v>
          </cell>
          <cell r="T45">
            <v>1864.6</v>
          </cell>
          <cell r="AD45">
            <v>1036.8</v>
          </cell>
          <cell r="AF45">
            <v>827.8</v>
          </cell>
          <cell r="AH45">
            <v>1864.6</v>
          </cell>
          <cell r="AJ45">
            <v>11.053790619202736</v>
          </cell>
          <cell r="AL45">
            <v>0</v>
          </cell>
          <cell r="AN45">
            <v>0</v>
          </cell>
          <cell r="AP45">
            <v>0</v>
          </cell>
          <cell r="AR45">
            <v>0</v>
          </cell>
          <cell r="AT45">
            <v>0</v>
          </cell>
          <cell r="AV45">
            <v>0</v>
          </cell>
          <cell r="AX45">
            <v>0</v>
          </cell>
          <cell r="AZ45">
            <v>0</v>
          </cell>
          <cell r="BB45">
            <v>1036.8</v>
          </cell>
          <cell r="BD45">
            <v>827.8</v>
          </cell>
          <cell r="BF45">
            <v>1864.6</v>
          </cell>
          <cell r="BH45">
            <v>11.053790619202736</v>
          </cell>
          <cell r="BJ45">
            <v>0</v>
          </cell>
          <cell r="BN45">
            <v>0</v>
          </cell>
          <cell r="BP45">
            <v>0</v>
          </cell>
          <cell r="BR45">
            <v>1036.8</v>
          </cell>
          <cell r="BT45">
            <v>827.8</v>
          </cell>
          <cell r="BV45">
            <v>1864.6</v>
          </cell>
          <cell r="BX45">
            <v>11.053790619202736</v>
          </cell>
          <cell r="CB45">
            <v>3.7244799999999998</v>
          </cell>
          <cell r="CD45">
            <v>3.7244799999999998</v>
          </cell>
          <cell r="CG45" t="str">
            <v>SDS</v>
          </cell>
          <cell r="CO45" t="str">
            <v>SDS</v>
          </cell>
          <cell r="CP45">
            <v>1040.52448</v>
          </cell>
          <cell r="CR45">
            <v>827.8</v>
          </cell>
          <cell r="CT45">
            <v>1868.32448</v>
          </cell>
          <cell r="CV45">
            <v>11.053790619202736</v>
          </cell>
        </row>
        <row r="46">
          <cell r="B46" t="str">
            <v>DEL</v>
          </cell>
          <cell r="D46" t="str">
            <v>LABOR &amp; DELIVERY</v>
          </cell>
          <cell r="F46" t="str">
            <v>D23</v>
          </cell>
          <cell r="H46">
            <v>3781374.9130327888</v>
          </cell>
          <cell r="J46">
            <v>223393.90267328231</v>
          </cell>
          <cell r="L46">
            <v>4004768.815706071</v>
          </cell>
          <cell r="N46">
            <v>35.605166638871999</v>
          </cell>
          <cell r="O46" t="str">
            <v>DEL</v>
          </cell>
          <cell r="P46">
            <v>3781.4</v>
          </cell>
          <cell r="R46">
            <v>223.4</v>
          </cell>
          <cell r="T46">
            <v>4004.8</v>
          </cell>
          <cell r="AD46">
            <v>3781.4</v>
          </cell>
          <cell r="AF46">
            <v>223.4</v>
          </cell>
          <cell r="AH46">
            <v>4004.8</v>
          </cell>
          <cell r="AJ46">
            <v>35.605166638871999</v>
          </cell>
          <cell r="AL46">
            <v>0</v>
          </cell>
          <cell r="AN46">
            <v>0</v>
          </cell>
          <cell r="AP46">
            <v>0</v>
          </cell>
          <cell r="AR46">
            <v>0</v>
          </cell>
          <cell r="AT46">
            <v>1.2313189236876929</v>
          </cell>
          <cell r="AV46">
            <v>193.25857962064401</v>
          </cell>
          <cell r="AX46">
            <v>194.48989854433171</v>
          </cell>
          <cell r="AZ46">
            <v>3.6250678633232671E-3</v>
          </cell>
          <cell r="BB46">
            <v>3782.6313189236876</v>
          </cell>
          <cell r="BD46">
            <v>416.65857962064399</v>
          </cell>
          <cell r="BF46">
            <v>4199.2898985443317</v>
          </cell>
          <cell r="BH46">
            <v>35.608791706735325</v>
          </cell>
          <cell r="BJ46">
            <v>0</v>
          </cell>
          <cell r="BN46">
            <v>0</v>
          </cell>
          <cell r="BP46">
            <v>0</v>
          </cell>
          <cell r="BR46">
            <v>3782.6313189236876</v>
          </cell>
          <cell r="BT46">
            <v>416.65857962064399</v>
          </cell>
          <cell r="BV46">
            <v>4199.2898985443317</v>
          </cell>
          <cell r="BX46">
            <v>35.608791706735325</v>
          </cell>
          <cell r="CB46">
            <v>11.99807</v>
          </cell>
          <cell r="CD46">
            <v>11.99807</v>
          </cell>
          <cell r="CG46" t="str">
            <v>DEL</v>
          </cell>
          <cell r="CO46" t="str">
            <v>DEL</v>
          </cell>
          <cell r="CP46">
            <v>3794.6293889236877</v>
          </cell>
          <cell r="CR46">
            <v>416.65857962064399</v>
          </cell>
          <cell r="CT46">
            <v>4211.2879685443313</v>
          </cell>
          <cell r="CV46">
            <v>35.608791706735325</v>
          </cell>
        </row>
        <row r="47">
          <cell r="B47" t="str">
            <v>OR</v>
          </cell>
          <cell r="D47" t="str">
            <v>OPERATING ROOM</v>
          </cell>
          <cell r="F47" t="str">
            <v>D24</v>
          </cell>
          <cell r="H47">
            <v>12598969.184747577</v>
          </cell>
          <cell r="J47">
            <v>1114737.2902705127</v>
          </cell>
          <cell r="L47">
            <v>13713706.47501809</v>
          </cell>
          <cell r="N47">
            <v>118.17592667822278</v>
          </cell>
          <cell r="O47" t="str">
            <v>OR</v>
          </cell>
          <cell r="P47">
            <v>12599</v>
          </cell>
          <cell r="R47">
            <v>1114.7</v>
          </cell>
          <cell r="T47">
            <v>13713.7</v>
          </cell>
          <cell r="AD47">
            <v>12599</v>
          </cell>
          <cell r="AF47">
            <v>1114.7</v>
          </cell>
          <cell r="AH47">
            <v>13713.7</v>
          </cell>
          <cell r="AJ47">
            <v>118.17592667822278</v>
          </cell>
          <cell r="AL47">
            <v>0</v>
          </cell>
          <cell r="AN47">
            <v>0</v>
          </cell>
          <cell r="AP47">
            <v>0</v>
          </cell>
          <cell r="AR47">
            <v>0</v>
          </cell>
          <cell r="AT47">
            <v>8.3295103661226282</v>
          </cell>
          <cell r="AV47">
            <v>1307.3374503749449</v>
          </cell>
          <cell r="AX47">
            <v>1315.6669607410674</v>
          </cell>
          <cell r="AZ47">
            <v>2.4522517898951511E-2</v>
          </cell>
          <cell r="BB47">
            <v>12607.329510366122</v>
          </cell>
          <cell r="BD47">
            <v>2422.0374503749449</v>
          </cell>
          <cell r="BF47">
            <v>15029.366960741067</v>
          </cell>
          <cell r="BH47">
            <v>118.20044919612174</v>
          </cell>
          <cell r="BJ47">
            <v>821.15759726840076</v>
          </cell>
          <cell r="BN47">
            <v>821.15759726840076</v>
          </cell>
          <cell r="BP47">
            <v>2.6576057467838683</v>
          </cell>
          <cell r="BR47">
            <v>13428.487107634523</v>
          </cell>
          <cell r="BT47">
            <v>2422.0374503749449</v>
          </cell>
          <cell r="BV47">
            <v>15850.524558009467</v>
          </cell>
          <cell r="BX47">
            <v>120.85805494290561</v>
          </cell>
          <cell r="CB47">
            <v>40.722070000000002</v>
          </cell>
          <cell r="CD47">
            <v>40.722070000000002</v>
          </cell>
          <cell r="CG47" t="str">
            <v>OR</v>
          </cell>
          <cell r="CO47" t="str">
            <v>OR</v>
          </cell>
          <cell r="CP47">
            <v>13469.209177634522</v>
          </cell>
          <cell r="CR47">
            <v>2422.0374503749449</v>
          </cell>
          <cell r="CT47">
            <v>15891.246628009467</v>
          </cell>
          <cell r="CV47">
            <v>120.85805494290561</v>
          </cell>
        </row>
        <row r="48">
          <cell r="B48" t="str">
            <v>ORC</v>
          </cell>
          <cell r="D48" t="str">
            <v>OPERATING ROOM CLINIC</v>
          </cell>
          <cell r="F48" t="str">
            <v>D24a</v>
          </cell>
          <cell r="H48">
            <v>9437.877399643472</v>
          </cell>
          <cell r="J48">
            <v>2015.3453021177916</v>
          </cell>
          <cell r="L48">
            <v>11453.222701761264</v>
          </cell>
          <cell r="N48">
            <v>0.11352586450944882</v>
          </cell>
          <cell r="O48" t="str">
            <v>ORC</v>
          </cell>
          <cell r="P48">
            <v>9.4</v>
          </cell>
          <cell r="R48">
            <v>2</v>
          </cell>
          <cell r="T48">
            <v>11.4</v>
          </cell>
          <cell r="AD48">
            <v>9.4</v>
          </cell>
          <cell r="AF48">
            <v>2</v>
          </cell>
          <cell r="AH48">
            <v>11.4</v>
          </cell>
          <cell r="AJ48">
            <v>0.11352586450944882</v>
          </cell>
          <cell r="AL48">
            <v>0</v>
          </cell>
          <cell r="AN48">
            <v>0</v>
          </cell>
          <cell r="AP48">
            <v>0</v>
          </cell>
          <cell r="AR48">
            <v>0</v>
          </cell>
          <cell r="AT48">
            <v>0</v>
          </cell>
          <cell r="AV48">
            <v>0</v>
          </cell>
          <cell r="AX48">
            <v>0</v>
          </cell>
          <cell r="AZ48">
            <v>0</v>
          </cell>
          <cell r="BB48">
            <v>9.4</v>
          </cell>
          <cell r="BD48">
            <v>2</v>
          </cell>
          <cell r="BF48">
            <v>11.4</v>
          </cell>
          <cell r="BH48">
            <v>0.11352586450944882</v>
          </cell>
          <cell r="BJ48">
            <v>0</v>
          </cell>
          <cell r="BN48">
            <v>0</v>
          </cell>
          <cell r="BP48">
            <v>0</v>
          </cell>
          <cell r="BR48">
            <v>9.4</v>
          </cell>
          <cell r="BT48">
            <v>2</v>
          </cell>
          <cell r="BV48">
            <v>11.4</v>
          </cell>
          <cell r="BX48">
            <v>0.11352586450944882</v>
          </cell>
          <cell r="CB48">
            <v>3.8249999999999999E-2</v>
          </cell>
          <cell r="CD48">
            <v>3.8249999999999999E-2</v>
          </cell>
          <cell r="CG48" t="str">
            <v>ORC</v>
          </cell>
          <cell r="CO48" t="str">
            <v>OR</v>
          </cell>
          <cell r="CP48">
            <v>9.43825</v>
          </cell>
          <cell r="CR48">
            <v>2</v>
          </cell>
          <cell r="CT48">
            <v>11.43825</v>
          </cell>
          <cell r="CV48">
            <v>0.11352586450944882</v>
          </cell>
        </row>
        <row r="49">
          <cell r="B49" t="str">
            <v>ANS</v>
          </cell>
          <cell r="D49" t="str">
            <v>ANESTHESIOLOGY</v>
          </cell>
          <cell r="F49" t="str">
            <v>D25</v>
          </cell>
          <cell r="H49">
            <v>794831.14063894982</v>
          </cell>
          <cell r="J49">
            <v>335003.34920000029</v>
          </cell>
          <cell r="L49">
            <v>1129834.4898389501</v>
          </cell>
          <cell r="N49">
            <v>11.277304347826085</v>
          </cell>
          <cell r="O49" t="str">
            <v>ANS</v>
          </cell>
          <cell r="P49">
            <v>794.8</v>
          </cell>
          <cell r="R49">
            <v>335</v>
          </cell>
          <cell r="T49">
            <v>1129.8</v>
          </cell>
          <cell r="AD49">
            <v>794.8</v>
          </cell>
          <cell r="AF49">
            <v>335</v>
          </cell>
          <cell r="AH49">
            <v>1129.8</v>
          </cell>
          <cell r="AJ49">
            <v>11.277304347826085</v>
          </cell>
          <cell r="AL49">
            <v>0</v>
          </cell>
          <cell r="AN49">
            <v>0</v>
          </cell>
          <cell r="AP49">
            <v>0</v>
          </cell>
          <cell r="AR49">
            <v>0</v>
          </cell>
          <cell r="AT49">
            <v>0.47079841199823552</v>
          </cell>
          <cell r="AV49">
            <v>73.892986325540363</v>
          </cell>
          <cell r="AX49">
            <v>74.363784737538595</v>
          </cell>
          <cell r="AZ49">
            <v>1.3860553595059549E-3</v>
          </cell>
          <cell r="BB49">
            <v>795.27079841199816</v>
          </cell>
          <cell r="BD49">
            <v>408.89298632554039</v>
          </cell>
          <cell r="BF49">
            <v>1204.1637847375387</v>
          </cell>
          <cell r="BH49">
            <v>11.278690403185591</v>
          </cell>
          <cell r="BJ49">
            <v>75.581916229677049</v>
          </cell>
          <cell r="BN49">
            <v>75.581916229677049</v>
          </cell>
          <cell r="BP49">
            <v>0.2438519639608874</v>
          </cell>
          <cell r="BR49">
            <v>870.85271464167522</v>
          </cell>
          <cell r="BT49">
            <v>408.89298632554039</v>
          </cell>
          <cell r="BV49">
            <v>1279.7457009672157</v>
          </cell>
          <cell r="BX49">
            <v>11.522542367146478</v>
          </cell>
          <cell r="CB49">
            <v>3.8824200000000002</v>
          </cell>
          <cell r="CD49">
            <v>3.8824200000000002</v>
          </cell>
          <cell r="CG49" t="str">
            <v>ANS</v>
          </cell>
          <cell r="CO49" t="str">
            <v>ANS</v>
          </cell>
          <cell r="CP49">
            <v>874.73513464167524</v>
          </cell>
          <cell r="CR49">
            <v>408.89298632554039</v>
          </cell>
          <cell r="CT49">
            <v>1283.6281209672156</v>
          </cell>
          <cell r="CV49">
            <v>11.522542367146478</v>
          </cell>
        </row>
        <row r="50">
          <cell r="B50" t="str">
            <v>MSS</v>
          </cell>
          <cell r="D50" t="str">
            <v>MEDICAL SUPPLIES SOLD</v>
          </cell>
          <cell r="F50" t="str">
            <v>D26</v>
          </cell>
          <cell r="H50">
            <v>0</v>
          </cell>
          <cell r="J50">
            <v>39859726.466053896</v>
          </cell>
          <cell r="L50">
            <v>39859726.466053896</v>
          </cell>
          <cell r="N50">
            <v>0</v>
          </cell>
          <cell r="O50" t="str">
            <v>MSS</v>
          </cell>
          <cell r="P50">
            <v>0</v>
          </cell>
          <cell r="R50">
            <v>39859.699999999997</v>
          </cell>
          <cell r="T50">
            <v>39859.699999999997</v>
          </cell>
          <cell r="AD50">
            <v>0</v>
          </cell>
          <cell r="AF50">
            <v>39859.699999999997</v>
          </cell>
          <cell r="AH50">
            <v>39859.699999999997</v>
          </cell>
          <cell r="AJ50">
            <v>0</v>
          </cell>
          <cell r="AL50">
            <v>0</v>
          </cell>
          <cell r="AN50">
            <v>0</v>
          </cell>
          <cell r="AP50">
            <v>0</v>
          </cell>
          <cell r="AR50">
            <v>0</v>
          </cell>
          <cell r="AT50">
            <v>0</v>
          </cell>
          <cell r="AV50">
            <v>0</v>
          </cell>
          <cell r="AX50">
            <v>0</v>
          </cell>
          <cell r="AZ50">
            <v>0</v>
          </cell>
          <cell r="BB50">
            <v>0</v>
          </cell>
          <cell r="BD50">
            <v>39859.699999999997</v>
          </cell>
          <cell r="BF50">
            <v>39859.699999999997</v>
          </cell>
          <cell r="BH50">
            <v>0</v>
          </cell>
          <cell r="BJ50">
            <v>0</v>
          </cell>
          <cell r="BN50">
            <v>0</v>
          </cell>
          <cell r="BR50">
            <v>0</v>
          </cell>
          <cell r="BT50">
            <v>39859.699999999997</v>
          </cell>
          <cell r="BV50">
            <v>39859.699999999997</v>
          </cell>
          <cell r="BX50">
            <v>0</v>
          </cell>
          <cell r="CD50">
            <v>0</v>
          </cell>
          <cell r="CG50" t="str">
            <v>MSS</v>
          </cell>
          <cell r="CO50" t="str">
            <v>MSS</v>
          </cell>
          <cell r="CP50">
            <v>0</v>
          </cell>
          <cell r="CR50">
            <v>39859.699999999997</v>
          </cell>
          <cell r="CT50">
            <v>39859.699999999997</v>
          </cell>
          <cell r="CV50">
            <v>0</v>
          </cell>
        </row>
        <row r="51">
          <cell r="B51" t="str">
            <v>CDS</v>
          </cell>
          <cell r="D51" t="str">
            <v>DRUGS SOLD</v>
          </cell>
          <cell r="F51" t="str">
            <v>D27</v>
          </cell>
          <cell r="H51">
            <v>0</v>
          </cell>
          <cell r="J51">
            <v>19398338.430000003</v>
          </cell>
          <cell r="L51">
            <v>19398338.430000003</v>
          </cell>
          <cell r="N51">
            <v>0</v>
          </cell>
          <cell r="O51" t="str">
            <v>CDS</v>
          </cell>
          <cell r="P51">
            <v>0</v>
          </cell>
          <cell r="R51">
            <v>19398.3</v>
          </cell>
          <cell r="T51">
            <v>19398.3</v>
          </cell>
          <cell r="AD51">
            <v>0</v>
          </cell>
          <cell r="AF51">
            <v>19398.3</v>
          </cell>
          <cell r="AH51">
            <v>19398.3</v>
          </cell>
          <cell r="AJ51">
            <v>0</v>
          </cell>
          <cell r="AL51">
            <v>0</v>
          </cell>
          <cell r="AN51">
            <v>0</v>
          </cell>
          <cell r="AP51">
            <v>0</v>
          </cell>
          <cell r="AR51">
            <v>0</v>
          </cell>
          <cell r="AT51">
            <v>0</v>
          </cell>
          <cell r="AV51">
            <v>0</v>
          </cell>
          <cell r="AX51">
            <v>0</v>
          </cell>
          <cell r="AZ51">
            <v>0</v>
          </cell>
          <cell r="BB51">
            <v>0</v>
          </cell>
          <cell r="BD51">
            <v>19398.3</v>
          </cell>
          <cell r="BF51">
            <v>19398.3</v>
          </cell>
          <cell r="BH51">
            <v>0</v>
          </cell>
          <cell r="BJ51">
            <v>0</v>
          </cell>
          <cell r="BN51">
            <v>0</v>
          </cell>
          <cell r="BR51">
            <v>0</v>
          </cell>
          <cell r="BT51">
            <v>19398.3</v>
          </cell>
          <cell r="BV51">
            <v>19398.3</v>
          </cell>
          <cell r="BX51">
            <v>0</v>
          </cell>
          <cell r="CD51">
            <v>0</v>
          </cell>
          <cell r="CG51" t="str">
            <v>CDS</v>
          </cell>
          <cell r="CO51" t="str">
            <v>CDS</v>
          </cell>
          <cell r="CP51">
            <v>0</v>
          </cell>
          <cell r="CR51">
            <v>19398.3</v>
          </cell>
          <cell r="CT51">
            <v>19398.3</v>
          </cell>
          <cell r="CV51">
            <v>0</v>
          </cell>
        </row>
        <row r="52">
          <cell r="B52" t="str">
            <v>LAB</v>
          </cell>
          <cell r="D52" t="str">
            <v>LABORATORY SERVICES</v>
          </cell>
          <cell r="F52" t="str">
            <v>D28</v>
          </cell>
          <cell r="H52">
            <v>4817373.8178668022</v>
          </cell>
          <cell r="J52">
            <v>4515041.5696472218</v>
          </cell>
          <cell r="L52">
            <v>9332415.387514025</v>
          </cell>
          <cell r="N52">
            <v>61.512599158111954</v>
          </cell>
          <cell r="O52" t="str">
            <v>LAB</v>
          </cell>
          <cell r="P52">
            <v>4817.3999999999996</v>
          </cell>
          <cell r="R52">
            <v>4515</v>
          </cell>
          <cell r="T52">
            <v>9332.4</v>
          </cell>
          <cell r="AD52">
            <v>4817.3999999999996</v>
          </cell>
          <cell r="AF52">
            <v>4515</v>
          </cell>
          <cell r="AH52">
            <v>9332.4</v>
          </cell>
          <cell r="AJ52">
            <v>61.512599158111954</v>
          </cell>
          <cell r="AL52">
            <v>0</v>
          </cell>
          <cell r="AN52">
            <v>0</v>
          </cell>
          <cell r="AP52">
            <v>0</v>
          </cell>
          <cell r="AR52">
            <v>0</v>
          </cell>
          <cell r="AT52">
            <v>6.8808998676665185</v>
          </cell>
          <cell r="AV52">
            <v>1079.9744155271283</v>
          </cell>
          <cell r="AX52">
            <v>1086.8553153947948</v>
          </cell>
          <cell r="AZ52">
            <v>2.0257732177394724E-2</v>
          </cell>
          <cell r="BB52">
            <v>4824.2808998676664</v>
          </cell>
          <cell r="BD52">
            <v>5594.9744155271283</v>
          </cell>
          <cell r="BF52">
            <v>10419.255315394796</v>
          </cell>
          <cell r="BH52">
            <v>61.532856890289345</v>
          </cell>
          <cell r="BJ52">
            <v>103.48</v>
          </cell>
          <cell r="BN52">
            <v>103.48</v>
          </cell>
          <cell r="BP52">
            <v>0.61964071856287428</v>
          </cell>
          <cell r="BR52">
            <v>4927.760899867666</v>
          </cell>
          <cell r="BT52">
            <v>5594.9744155271283</v>
          </cell>
          <cell r="BV52">
            <v>10522.735315394795</v>
          </cell>
          <cell r="BX52">
            <v>62.152497608852222</v>
          </cell>
          <cell r="CB52">
            <v>20.941739999999999</v>
          </cell>
          <cell r="CD52">
            <v>20.941739999999999</v>
          </cell>
          <cell r="CG52" t="str">
            <v>LAB</v>
          </cell>
          <cell r="CO52" t="str">
            <v>LAB</v>
          </cell>
          <cell r="CP52">
            <v>4948.7026398676662</v>
          </cell>
          <cell r="CR52">
            <v>5594.9744155271283</v>
          </cell>
          <cell r="CT52">
            <v>10543.677055394794</v>
          </cell>
          <cell r="CV52">
            <v>62.152497608852222</v>
          </cell>
        </row>
        <row r="53">
          <cell r="H53" t="str">
            <v>XXXXXXXXX</v>
          </cell>
          <cell r="J53" t="str">
            <v>XXXXXXXXX</v>
          </cell>
          <cell r="L53">
            <v>0</v>
          </cell>
          <cell r="O53">
            <v>0</v>
          </cell>
          <cell r="P53">
            <v>0</v>
          </cell>
          <cell r="R53">
            <v>0</v>
          </cell>
          <cell r="T53">
            <v>0</v>
          </cell>
          <cell r="AD53">
            <v>0</v>
          </cell>
          <cell r="AF53">
            <v>0</v>
          </cell>
          <cell r="AH53">
            <v>0</v>
          </cell>
          <cell r="AJ53">
            <v>0</v>
          </cell>
          <cell r="AL53">
            <v>0</v>
          </cell>
          <cell r="AN53">
            <v>0</v>
          </cell>
          <cell r="AP53">
            <v>0</v>
          </cell>
          <cell r="AR53">
            <v>0</v>
          </cell>
          <cell r="AT53">
            <v>0</v>
          </cell>
          <cell r="AV53">
            <v>0</v>
          </cell>
          <cell r="AX53">
            <v>0</v>
          </cell>
          <cell r="AZ53">
            <v>0</v>
          </cell>
          <cell r="BB53">
            <v>0</v>
          </cell>
          <cell r="BD53">
            <v>0</v>
          </cell>
          <cell r="BF53">
            <v>0</v>
          </cell>
          <cell r="BH53">
            <v>0</v>
          </cell>
          <cell r="BJ53">
            <v>0</v>
          </cell>
          <cell r="BN53">
            <v>0</v>
          </cell>
          <cell r="BP53">
            <v>0</v>
          </cell>
          <cell r="BR53">
            <v>0</v>
          </cell>
          <cell r="BT53">
            <v>0</v>
          </cell>
          <cell r="BV53">
            <v>0</v>
          </cell>
          <cell r="BX53">
            <v>0</v>
          </cell>
          <cell r="CD53">
            <v>0</v>
          </cell>
          <cell r="CG53">
            <v>0</v>
          </cell>
          <cell r="CO53" t="str">
            <v>BB</v>
          </cell>
          <cell r="CP53">
            <v>0</v>
          </cell>
          <cell r="CR53">
            <v>0</v>
          </cell>
          <cell r="CT53">
            <v>0</v>
          </cell>
          <cell r="CV53">
            <v>0</v>
          </cell>
        </row>
        <row r="54">
          <cell r="B54" t="str">
            <v>EKG</v>
          </cell>
          <cell r="D54" t="str">
            <v>ELECTROCARDIOLOGY</v>
          </cell>
          <cell r="F54" t="str">
            <v>D30</v>
          </cell>
          <cell r="H54">
            <v>842528.74475403584</v>
          </cell>
          <cell r="J54">
            <v>11993.029856697831</v>
          </cell>
          <cell r="L54">
            <v>854521.77461073361</v>
          </cell>
          <cell r="N54">
            <v>11.166502081835612</v>
          </cell>
          <cell r="O54" t="str">
            <v>EKG</v>
          </cell>
          <cell r="P54">
            <v>842.5</v>
          </cell>
          <cell r="R54">
            <v>12</v>
          </cell>
          <cell r="T54">
            <v>854.5</v>
          </cell>
          <cell r="AD54">
            <v>842.5</v>
          </cell>
          <cell r="AF54">
            <v>12</v>
          </cell>
          <cell r="AH54">
            <v>854.5</v>
          </cell>
          <cell r="AJ54">
            <v>11.166502081835612</v>
          </cell>
          <cell r="AL54">
            <v>0</v>
          </cell>
          <cell r="AN54">
            <v>0</v>
          </cell>
          <cell r="AP54">
            <v>0</v>
          </cell>
          <cell r="AR54">
            <v>0</v>
          </cell>
          <cell r="AT54">
            <v>0.83295103661226289</v>
          </cell>
          <cell r="AV54">
            <v>130.73374503749449</v>
          </cell>
          <cell r="AX54">
            <v>131.56669607410674</v>
          </cell>
          <cell r="AZ54">
            <v>2.4522517898951514E-3</v>
          </cell>
          <cell r="BB54">
            <v>843.33295103661226</v>
          </cell>
          <cell r="BD54">
            <v>142.73374503749449</v>
          </cell>
          <cell r="BF54">
            <v>986.06669607410674</v>
          </cell>
          <cell r="BH54">
            <v>11.168954333625507</v>
          </cell>
          <cell r="BJ54">
            <v>0</v>
          </cell>
          <cell r="BN54">
            <v>0</v>
          </cell>
          <cell r="BP54">
            <v>0</v>
          </cell>
          <cell r="BR54">
            <v>843.33295103661226</v>
          </cell>
          <cell r="BT54">
            <v>142.73374503749449</v>
          </cell>
          <cell r="BV54">
            <v>986.06669607410674</v>
          </cell>
          <cell r="BX54">
            <v>11.168954333625507</v>
          </cell>
          <cell r="CB54">
            <v>3.76328</v>
          </cell>
          <cell r="CD54">
            <v>3.76328</v>
          </cell>
          <cell r="CG54" t="str">
            <v>EKG</v>
          </cell>
          <cell r="CO54" t="str">
            <v>EKG</v>
          </cell>
          <cell r="CP54">
            <v>847.09623103661227</v>
          </cell>
          <cell r="CR54">
            <v>142.73374503749449</v>
          </cell>
          <cell r="CT54">
            <v>989.82997607410675</v>
          </cell>
          <cell r="CV54">
            <v>11.168954333625507</v>
          </cell>
        </row>
        <row r="55">
          <cell r="B55" t="str">
            <v>IRC</v>
          </cell>
          <cell r="D55" t="str">
            <v>INVASIVE RADIOLOGY/CARDIOVASCULAR</v>
          </cell>
          <cell r="F55" t="str">
            <v>D31</v>
          </cell>
          <cell r="H55">
            <v>4467359.4025463676</v>
          </cell>
          <cell r="J55">
            <v>496308.38822417153</v>
          </cell>
          <cell r="L55">
            <v>4963667.7907705391</v>
          </cell>
          <cell r="N55">
            <v>39.840175951768899</v>
          </cell>
          <cell r="O55" t="str">
            <v>IRC</v>
          </cell>
          <cell r="P55">
            <v>4467.3999999999996</v>
          </cell>
          <cell r="R55">
            <v>496.3</v>
          </cell>
          <cell r="T55">
            <v>4963.7</v>
          </cell>
          <cell r="AD55">
            <v>4467.3999999999996</v>
          </cell>
          <cell r="AF55">
            <v>496.3</v>
          </cell>
          <cell r="AH55">
            <v>4963.7</v>
          </cell>
          <cell r="AJ55">
            <v>39.840175951768899</v>
          </cell>
          <cell r="AL55">
            <v>0</v>
          </cell>
          <cell r="AN55">
            <v>0</v>
          </cell>
          <cell r="AP55">
            <v>0</v>
          </cell>
          <cell r="AR55">
            <v>0</v>
          </cell>
          <cell r="AT55">
            <v>1.9556241729157477</v>
          </cell>
          <cell r="AV55">
            <v>306.94009704455226</v>
          </cell>
          <cell r="AX55">
            <v>308.89572121746801</v>
          </cell>
          <cell r="AZ55">
            <v>5.7574607241016595E-3</v>
          </cell>
          <cell r="BB55">
            <v>4469.3556241729157</v>
          </cell>
          <cell r="BD55">
            <v>803.24009704455227</v>
          </cell>
          <cell r="BF55">
            <v>5272.5957212174681</v>
          </cell>
          <cell r="BH55">
            <v>39.845933412493004</v>
          </cell>
          <cell r="BJ55">
            <v>332.22820320737162</v>
          </cell>
          <cell r="BN55">
            <v>332.22820320737162</v>
          </cell>
          <cell r="BP55">
            <v>1.0064471469475058</v>
          </cell>
          <cell r="BR55">
            <v>4801.5838273802874</v>
          </cell>
          <cell r="BT55">
            <v>803.24009704455227</v>
          </cell>
          <cell r="BV55">
            <v>5604.8239244248398</v>
          </cell>
          <cell r="BX55">
            <v>40.852380559440512</v>
          </cell>
          <cell r="CB55">
            <v>13.764849999999999</v>
          </cell>
          <cell r="CD55">
            <v>13.764849999999999</v>
          </cell>
          <cell r="CG55" t="str">
            <v>IRC</v>
          </cell>
          <cell r="CO55" t="str">
            <v>IRC</v>
          </cell>
          <cell r="CP55">
            <v>4815.348677380287</v>
          </cell>
          <cell r="CR55">
            <v>803.24009704455227</v>
          </cell>
          <cell r="CT55">
            <v>5618.5887744248394</v>
          </cell>
          <cell r="CV55">
            <v>40.852380559440512</v>
          </cell>
        </row>
        <row r="56">
          <cell r="B56" t="str">
            <v>RAD</v>
          </cell>
          <cell r="D56" t="str">
            <v>RADIOLOGY DIAGNOSTIC</v>
          </cell>
          <cell r="F56" t="str">
            <v>D32</v>
          </cell>
          <cell r="H56">
            <v>3723684.5643729172</v>
          </cell>
          <cell r="J56">
            <v>399552.58229635027</v>
          </cell>
          <cell r="L56">
            <v>4123237.1466692677</v>
          </cell>
          <cell r="N56">
            <v>42.887770384138861</v>
          </cell>
          <cell r="O56" t="str">
            <v>RAD</v>
          </cell>
          <cell r="P56">
            <v>3723.7</v>
          </cell>
          <cell r="R56">
            <v>399.6</v>
          </cell>
          <cell r="T56">
            <v>4123.3</v>
          </cell>
          <cell r="AD56">
            <v>3723.7</v>
          </cell>
          <cell r="AF56">
            <v>399.6</v>
          </cell>
          <cell r="AH56">
            <v>4123.3</v>
          </cell>
          <cell r="AJ56">
            <v>42.887770384138861</v>
          </cell>
          <cell r="AL56">
            <v>0</v>
          </cell>
          <cell r="AN56">
            <v>0</v>
          </cell>
          <cell r="AP56">
            <v>0</v>
          </cell>
          <cell r="AR56">
            <v>0</v>
          </cell>
          <cell r="AT56">
            <v>1.7021173356859283</v>
          </cell>
          <cell r="AV56">
            <v>267.15156594618435</v>
          </cell>
          <cell r="AX56">
            <v>268.8536832818703</v>
          </cell>
          <cell r="AZ56">
            <v>5.0111232228292214E-3</v>
          </cell>
          <cell r="BB56">
            <v>3725.4021173356859</v>
          </cell>
          <cell r="BD56">
            <v>666.75156594618443</v>
          </cell>
          <cell r="BF56">
            <v>4392.1536832818701</v>
          </cell>
          <cell r="BH56">
            <v>42.89278150736169</v>
          </cell>
          <cell r="BJ56">
            <v>159.16933585170062</v>
          </cell>
          <cell r="BN56">
            <v>159.16933585170062</v>
          </cell>
          <cell r="BP56">
            <v>0.26031020403423394</v>
          </cell>
          <cell r="BR56">
            <v>3884.5714531873864</v>
          </cell>
          <cell r="BT56">
            <v>666.75156594618443</v>
          </cell>
          <cell r="BV56">
            <v>4551.3230191335706</v>
          </cell>
          <cell r="BX56">
            <v>43.153091711395923</v>
          </cell>
          <cell r="CB56">
            <v>14.54006</v>
          </cell>
          <cell r="CD56">
            <v>14.54006</v>
          </cell>
          <cell r="CG56" t="str">
            <v>RAD</v>
          </cell>
          <cell r="CO56" t="str">
            <v>RAD</v>
          </cell>
          <cell r="CP56">
            <v>3899.1115131873862</v>
          </cell>
          <cell r="CR56">
            <v>666.75156594618443</v>
          </cell>
          <cell r="CT56">
            <v>4565.8630791335709</v>
          </cell>
          <cell r="CV56">
            <v>43.153091711395923</v>
          </cell>
        </row>
        <row r="57">
          <cell r="B57" t="str">
            <v>CAT</v>
          </cell>
          <cell r="D57" t="str">
            <v>CT SCANNER</v>
          </cell>
          <cell r="F57" t="str">
            <v>D33</v>
          </cell>
          <cell r="H57">
            <v>919567.66602557711</v>
          </cell>
          <cell r="J57">
            <v>669195.31346512295</v>
          </cell>
          <cell r="L57">
            <v>1588762.9794907002</v>
          </cell>
          <cell r="N57">
            <v>9.2600372361466246</v>
          </cell>
          <cell r="O57" t="str">
            <v>CAT</v>
          </cell>
          <cell r="P57">
            <v>919.6</v>
          </cell>
          <cell r="R57">
            <v>669.2</v>
          </cell>
          <cell r="T57">
            <v>1588.8000000000002</v>
          </cell>
          <cell r="AD57">
            <v>919.6</v>
          </cell>
          <cell r="AF57">
            <v>669.2</v>
          </cell>
          <cell r="AH57">
            <v>1588.8000000000002</v>
          </cell>
          <cell r="AJ57">
            <v>9.2600372361466246</v>
          </cell>
          <cell r="AL57">
            <v>0</v>
          </cell>
          <cell r="AN57">
            <v>0</v>
          </cell>
          <cell r="AP57">
            <v>0</v>
          </cell>
          <cell r="AR57">
            <v>0</v>
          </cell>
          <cell r="AT57">
            <v>0.2172915747684164</v>
          </cell>
          <cell r="AV57">
            <v>34.104455227172473</v>
          </cell>
          <cell r="AX57">
            <v>34.32174680194089</v>
          </cell>
          <cell r="AZ57">
            <v>6.3971785823351772E-4</v>
          </cell>
          <cell r="BB57">
            <v>919.81729157476843</v>
          </cell>
          <cell r="BD57">
            <v>703.30445522717253</v>
          </cell>
          <cell r="BF57">
            <v>1623.1217468019408</v>
          </cell>
          <cell r="BH57">
            <v>9.2606769540048575</v>
          </cell>
          <cell r="BJ57">
            <v>0</v>
          </cell>
          <cell r="BN57">
            <v>0</v>
          </cell>
          <cell r="BP57">
            <v>0</v>
          </cell>
          <cell r="BR57">
            <v>919.81729157476843</v>
          </cell>
          <cell r="BT57">
            <v>703.30445522717253</v>
          </cell>
          <cell r="BV57">
            <v>1623.1217468019408</v>
          </cell>
          <cell r="BX57">
            <v>9.2606769540048575</v>
          </cell>
          <cell r="CB57">
            <v>3.1202999999999999</v>
          </cell>
          <cell r="CD57">
            <v>3.1202999999999999</v>
          </cell>
          <cell r="CG57" t="str">
            <v>CAT</v>
          </cell>
          <cell r="CO57" t="str">
            <v>CT</v>
          </cell>
          <cell r="CP57">
            <v>922.93759157476848</v>
          </cell>
          <cell r="CR57">
            <v>703.30445522717253</v>
          </cell>
          <cell r="CT57">
            <v>1626.2420468019409</v>
          </cell>
          <cell r="CV57">
            <v>9.2606769540048575</v>
          </cell>
        </row>
        <row r="58">
          <cell r="B58" t="str">
            <v>RAT</v>
          </cell>
          <cell r="D58" t="str">
            <v>RADIOLOGY THERAPEUTIC</v>
          </cell>
          <cell r="F58" t="str">
            <v>D34</v>
          </cell>
          <cell r="H58">
            <v>0</v>
          </cell>
          <cell r="J58">
            <v>3686299.9635374825</v>
          </cell>
          <cell r="L58">
            <v>3686299.9635374825</v>
          </cell>
          <cell r="N58">
            <v>0</v>
          </cell>
          <cell r="O58" t="str">
            <v>RAT</v>
          </cell>
          <cell r="P58">
            <v>0</v>
          </cell>
          <cell r="R58">
            <v>3686.3</v>
          </cell>
          <cell r="T58">
            <v>3686.3</v>
          </cell>
          <cell r="AD58">
            <v>0</v>
          </cell>
          <cell r="AF58">
            <v>3686.3</v>
          </cell>
          <cell r="AH58">
            <v>3686.3</v>
          </cell>
          <cell r="AJ58">
            <v>0</v>
          </cell>
          <cell r="AL58">
            <v>0</v>
          </cell>
          <cell r="AN58">
            <v>0</v>
          </cell>
          <cell r="AP58">
            <v>0</v>
          </cell>
          <cell r="AR58">
            <v>0</v>
          </cell>
          <cell r="AT58">
            <v>0</v>
          </cell>
          <cell r="AV58">
            <v>0</v>
          </cell>
          <cell r="AX58">
            <v>0</v>
          </cell>
          <cell r="AZ58">
            <v>0</v>
          </cell>
          <cell r="BB58">
            <v>0</v>
          </cell>
          <cell r="BD58">
            <v>3686.3</v>
          </cell>
          <cell r="BF58">
            <v>3686.3</v>
          </cell>
          <cell r="BH58">
            <v>0</v>
          </cell>
          <cell r="BJ58">
            <v>0</v>
          </cell>
          <cell r="BN58">
            <v>0</v>
          </cell>
          <cell r="BP58">
            <v>0</v>
          </cell>
          <cell r="BR58">
            <v>0</v>
          </cell>
          <cell r="BT58">
            <v>3686.3</v>
          </cell>
          <cell r="BV58">
            <v>3686.3</v>
          </cell>
          <cell r="BX58">
            <v>0</v>
          </cell>
          <cell r="CB58">
            <v>0</v>
          </cell>
          <cell r="CD58">
            <v>0</v>
          </cell>
          <cell r="CG58" t="str">
            <v>RAT</v>
          </cell>
          <cell r="CO58" t="str">
            <v>RAT</v>
          </cell>
          <cell r="CP58">
            <v>0</v>
          </cell>
          <cell r="CR58">
            <v>3686.3</v>
          </cell>
          <cell r="CT58">
            <v>3686.3</v>
          </cell>
          <cell r="CV58">
            <v>0</v>
          </cell>
        </row>
        <row r="59">
          <cell r="B59" t="str">
            <v>NUC</v>
          </cell>
          <cell r="D59" t="str">
            <v>NUCLEAR MEDICINE</v>
          </cell>
          <cell r="F59" t="str">
            <v>D35</v>
          </cell>
          <cell r="H59">
            <v>545095.80447363283</v>
          </cell>
          <cell r="J59">
            <v>1535752.0176161304</v>
          </cell>
          <cell r="L59">
            <v>2080847.8220897634</v>
          </cell>
          <cell r="N59">
            <v>6.188052376221477</v>
          </cell>
          <cell r="O59" t="str">
            <v>NUC</v>
          </cell>
          <cell r="P59">
            <v>545.1</v>
          </cell>
          <cell r="R59">
            <v>1535.8</v>
          </cell>
          <cell r="T59">
            <v>2080.9</v>
          </cell>
          <cell r="AD59">
            <v>545.1</v>
          </cell>
          <cell r="AF59">
            <v>1535.8</v>
          </cell>
          <cell r="AH59">
            <v>2080.9</v>
          </cell>
          <cell r="AJ59">
            <v>6.188052376221477</v>
          </cell>
          <cell r="AL59">
            <v>0</v>
          </cell>
          <cell r="AN59">
            <v>0</v>
          </cell>
          <cell r="AP59">
            <v>0</v>
          </cell>
          <cell r="AR59">
            <v>0</v>
          </cell>
          <cell r="AT59">
            <v>0.39836788707543003</v>
          </cell>
          <cell r="AV59">
            <v>62.524834583149534</v>
          </cell>
          <cell r="AX59">
            <v>62.923202470224965</v>
          </cell>
          <cell r="AZ59">
            <v>1.1728160734281157E-3</v>
          </cell>
          <cell r="BB59">
            <v>545.49836788707546</v>
          </cell>
          <cell r="BD59">
            <v>1598.3248345831496</v>
          </cell>
          <cell r="BF59">
            <v>2143.8232024702252</v>
          </cell>
          <cell r="BH59">
            <v>6.1892251922949049</v>
          </cell>
          <cell r="BJ59">
            <v>0</v>
          </cell>
          <cell r="BN59">
            <v>0</v>
          </cell>
          <cell r="BP59">
            <v>0</v>
          </cell>
          <cell r="BR59">
            <v>545.49836788707546</v>
          </cell>
          <cell r="BT59">
            <v>1598.3248345831496</v>
          </cell>
          <cell r="BV59">
            <v>2143.8232024702252</v>
          </cell>
          <cell r="BX59">
            <v>6.1892251922949049</v>
          </cell>
          <cell r="CB59">
            <v>2.08541</v>
          </cell>
          <cell r="CD59">
            <v>2.08541</v>
          </cell>
          <cell r="CG59" t="str">
            <v>NUC</v>
          </cell>
          <cell r="CO59" t="str">
            <v>NUC</v>
          </cell>
          <cell r="CP59">
            <v>547.58377788707548</v>
          </cell>
          <cell r="CR59">
            <v>1598.3248345831496</v>
          </cell>
          <cell r="CT59">
            <v>2145.9086124702253</v>
          </cell>
          <cell r="CV59">
            <v>6.1892251922949049</v>
          </cell>
        </row>
        <row r="60">
          <cell r="B60" t="str">
            <v>RES</v>
          </cell>
          <cell r="D60" t="str">
            <v>RESPIRATORY THERAPY</v>
          </cell>
          <cell r="F60" t="str">
            <v>D36</v>
          </cell>
          <cell r="H60">
            <v>2500813.8730860786</v>
          </cell>
          <cell r="J60">
            <v>389200.73999999993</v>
          </cell>
          <cell r="L60">
            <v>2890014.6130860783</v>
          </cell>
          <cell r="N60">
            <v>25.933089743589743</v>
          </cell>
          <cell r="O60" t="str">
            <v>RES</v>
          </cell>
          <cell r="P60">
            <v>2500.8000000000002</v>
          </cell>
          <cell r="R60">
            <v>389.2</v>
          </cell>
          <cell r="T60">
            <v>2890</v>
          </cell>
          <cell r="AD60">
            <v>2500.8000000000002</v>
          </cell>
          <cell r="AF60">
            <v>389.2</v>
          </cell>
          <cell r="AH60">
            <v>2890</v>
          </cell>
          <cell r="AJ60">
            <v>25.933089743589743</v>
          </cell>
          <cell r="AL60">
            <v>0</v>
          </cell>
          <cell r="AN60">
            <v>0</v>
          </cell>
          <cell r="AP60">
            <v>0</v>
          </cell>
          <cell r="AR60">
            <v>0</v>
          </cell>
          <cell r="AT60">
            <v>0.4345831495368328</v>
          </cell>
          <cell r="AV60">
            <v>68.208910454344945</v>
          </cell>
          <cell r="AX60">
            <v>68.64349360388178</v>
          </cell>
          <cell r="AZ60">
            <v>1.2794357164670354E-3</v>
          </cell>
          <cell r="BB60">
            <v>2501.2345831495372</v>
          </cell>
          <cell r="BD60">
            <v>457.40891045434495</v>
          </cell>
          <cell r="BF60">
            <v>2958.6434936038822</v>
          </cell>
          <cell r="BH60">
            <v>25.934369179306209</v>
          </cell>
          <cell r="BJ60">
            <v>0</v>
          </cell>
          <cell r="BN60">
            <v>0</v>
          </cell>
          <cell r="BP60">
            <v>0</v>
          </cell>
          <cell r="BR60">
            <v>2501.2345831495372</v>
          </cell>
          <cell r="BT60">
            <v>457.40891045434495</v>
          </cell>
          <cell r="BV60">
            <v>2958.6434936038822</v>
          </cell>
          <cell r="BX60">
            <v>25.934369179306209</v>
          </cell>
          <cell r="CB60">
            <v>8.7383600000000001</v>
          </cell>
          <cell r="CD60">
            <v>8.7383600000000001</v>
          </cell>
          <cell r="CG60" t="str">
            <v>RES</v>
          </cell>
          <cell r="CO60" t="str">
            <v>RES</v>
          </cell>
          <cell r="CP60">
            <v>2509.9729431495371</v>
          </cell>
          <cell r="CR60">
            <v>457.40891045434495</v>
          </cell>
          <cell r="CT60">
            <v>2967.3818536038821</v>
          </cell>
          <cell r="CV60">
            <v>25.934369179306209</v>
          </cell>
        </row>
        <row r="61">
          <cell r="B61" t="str">
            <v>PUL</v>
          </cell>
          <cell r="D61" t="str">
            <v>PULMONARY FUNCTION</v>
          </cell>
          <cell r="F61" t="str">
            <v>D37</v>
          </cell>
          <cell r="H61">
            <v>115309.26425329995</v>
          </cell>
          <cell r="J61">
            <v>11158.312835929386</v>
          </cell>
          <cell r="L61">
            <v>126467.57708922934</v>
          </cell>
          <cell r="N61">
            <v>1.3809642954551187</v>
          </cell>
          <cell r="O61" t="str">
            <v>PUL</v>
          </cell>
          <cell r="P61">
            <v>115.3</v>
          </cell>
          <cell r="R61">
            <v>11.2</v>
          </cell>
          <cell r="T61">
            <v>126.5</v>
          </cell>
          <cell r="AD61">
            <v>115.3</v>
          </cell>
          <cell r="AF61">
            <v>11.2</v>
          </cell>
          <cell r="AH61">
            <v>126.5</v>
          </cell>
          <cell r="AJ61">
            <v>1.3809642954551187</v>
          </cell>
          <cell r="AL61">
            <v>0</v>
          </cell>
          <cell r="AN61">
            <v>0</v>
          </cell>
          <cell r="AP61">
            <v>0</v>
          </cell>
          <cell r="AR61">
            <v>0</v>
          </cell>
          <cell r="AT61">
            <v>0.32593736215262453</v>
          </cell>
          <cell r="AV61">
            <v>51.156682840758705</v>
          </cell>
          <cell r="AX61">
            <v>51.482620202911328</v>
          </cell>
          <cell r="AZ61">
            <v>9.5957678735027641E-4</v>
          </cell>
          <cell r="BB61">
            <v>115.62593736215263</v>
          </cell>
          <cell r="BD61">
            <v>62.356682840758708</v>
          </cell>
          <cell r="BF61">
            <v>177.98262020291133</v>
          </cell>
          <cell r="BH61">
            <v>1.3819238722424689</v>
          </cell>
          <cell r="BJ61">
            <v>0</v>
          </cell>
          <cell r="BN61">
            <v>0</v>
          </cell>
          <cell r="BP61">
            <v>0</v>
          </cell>
          <cell r="BR61">
            <v>115.62593736215263</v>
          </cell>
          <cell r="BT61">
            <v>62.356682840758708</v>
          </cell>
          <cell r="BV61">
            <v>177.98262020291133</v>
          </cell>
          <cell r="BX61">
            <v>1.3819238722424689</v>
          </cell>
          <cell r="CB61">
            <v>0.46562999999999999</v>
          </cell>
          <cell r="CD61">
            <v>0.46562999999999999</v>
          </cell>
          <cell r="CG61" t="str">
            <v>PUL</v>
          </cell>
          <cell r="CO61" t="str">
            <v>PUL</v>
          </cell>
          <cell r="CP61">
            <v>116.09156736215263</v>
          </cell>
          <cell r="CR61">
            <v>62.356682840758708</v>
          </cell>
          <cell r="CT61">
            <v>178.44825020291134</v>
          </cell>
          <cell r="CV61">
            <v>1.3819238722424689</v>
          </cell>
        </row>
        <row r="62">
          <cell r="B62" t="str">
            <v>EEG</v>
          </cell>
          <cell r="D62" t="str">
            <v>ELECTROENCEPHALOGRAPHY</v>
          </cell>
          <cell r="F62" t="str">
            <v>D38</v>
          </cell>
          <cell r="H62">
            <v>347072.31103139039</v>
          </cell>
          <cell r="J62">
            <v>21547.01999999999</v>
          </cell>
          <cell r="L62">
            <v>368619.33103139035</v>
          </cell>
          <cell r="N62">
            <v>3.8228873425551058</v>
          </cell>
          <cell r="O62" t="str">
            <v>EEG</v>
          </cell>
          <cell r="P62">
            <v>347.1</v>
          </cell>
          <cell r="R62">
            <v>21.5</v>
          </cell>
          <cell r="T62">
            <v>368.6</v>
          </cell>
          <cell r="AD62">
            <v>347.1</v>
          </cell>
          <cell r="AF62">
            <v>21.5</v>
          </cell>
          <cell r="AH62">
            <v>368.6</v>
          </cell>
          <cell r="AJ62">
            <v>3.8228873425551058</v>
          </cell>
          <cell r="AL62">
            <v>0</v>
          </cell>
          <cell r="AN62">
            <v>0</v>
          </cell>
          <cell r="AP62">
            <v>0</v>
          </cell>
          <cell r="AR62">
            <v>0</v>
          </cell>
          <cell r="AT62">
            <v>0.47079841199823552</v>
          </cell>
          <cell r="AV62">
            <v>73.892986325540363</v>
          </cell>
          <cell r="AX62">
            <v>74.363784737538595</v>
          </cell>
          <cell r="AZ62">
            <v>1.3860553595059549E-3</v>
          </cell>
          <cell r="BB62">
            <v>347.57079841199828</v>
          </cell>
          <cell r="BD62">
            <v>95.392986325540363</v>
          </cell>
          <cell r="BF62">
            <v>442.96378473753862</v>
          </cell>
          <cell r="BH62">
            <v>3.8242733979146117</v>
          </cell>
          <cell r="BJ62">
            <v>0</v>
          </cell>
          <cell r="BN62">
            <v>0</v>
          </cell>
          <cell r="BP62">
            <v>0</v>
          </cell>
          <cell r="BR62">
            <v>347.57079841199828</v>
          </cell>
          <cell r="BT62">
            <v>95.392986325540363</v>
          </cell>
          <cell r="BV62">
            <v>442.96378473753862</v>
          </cell>
          <cell r="BX62">
            <v>3.8242733979146117</v>
          </cell>
          <cell r="CB62">
            <v>1.2885599999999999</v>
          </cell>
          <cell r="CD62">
            <v>1.2885599999999999</v>
          </cell>
          <cell r="CG62" t="str">
            <v>EEG</v>
          </cell>
          <cell r="CO62" t="str">
            <v>EEG</v>
          </cell>
          <cell r="CP62">
            <v>348.8593584119983</v>
          </cell>
          <cell r="CR62">
            <v>95.392986325540363</v>
          </cell>
          <cell r="CT62">
            <v>444.25234473753869</v>
          </cell>
          <cell r="CV62">
            <v>3.8242733979146117</v>
          </cell>
        </row>
        <row r="63">
          <cell r="B63" t="str">
            <v>PTH</v>
          </cell>
          <cell r="D63" t="str">
            <v>PHYSICAL THERAPY</v>
          </cell>
          <cell r="F63" t="str">
            <v>D39</v>
          </cell>
          <cell r="H63">
            <v>1220239.8522483653</v>
          </cell>
          <cell r="J63">
            <v>106419.72418023055</v>
          </cell>
          <cell r="L63">
            <v>1326659.5764285959</v>
          </cell>
          <cell r="N63">
            <v>12.238221153846155</v>
          </cell>
          <cell r="O63" t="str">
            <v>PTH</v>
          </cell>
          <cell r="P63">
            <v>1220.2</v>
          </cell>
          <cell r="R63">
            <v>106.4</v>
          </cell>
          <cell r="T63">
            <v>1326.6000000000001</v>
          </cell>
          <cell r="AD63">
            <v>1220.2</v>
          </cell>
          <cell r="AF63">
            <v>106.4</v>
          </cell>
          <cell r="AH63">
            <v>1326.6000000000001</v>
          </cell>
          <cell r="AJ63">
            <v>12.238221153846155</v>
          </cell>
          <cell r="AL63">
            <v>0</v>
          </cell>
          <cell r="AN63">
            <v>0</v>
          </cell>
          <cell r="AP63">
            <v>0</v>
          </cell>
          <cell r="AR63">
            <v>0</v>
          </cell>
          <cell r="AT63">
            <v>0.36215262461402736</v>
          </cell>
          <cell r="AV63">
            <v>56.840758711954123</v>
          </cell>
          <cell r="AX63">
            <v>57.20291133656815</v>
          </cell>
          <cell r="AZ63">
            <v>1.0661964303891962E-3</v>
          </cell>
          <cell r="BB63">
            <v>1220.5621526246141</v>
          </cell>
          <cell r="BD63">
            <v>163.24075871195413</v>
          </cell>
          <cell r="BF63">
            <v>1383.8029113365683</v>
          </cell>
          <cell r="BH63">
            <v>12.239287350276545</v>
          </cell>
          <cell r="BJ63">
            <v>0</v>
          </cell>
          <cell r="BN63">
            <v>0</v>
          </cell>
          <cell r="BP63">
            <v>0</v>
          </cell>
          <cell r="BR63">
            <v>1220.5621526246141</v>
          </cell>
          <cell r="BT63">
            <v>163.24075871195413</v>
          </cell>
          <cell r="BV63">
            <v>1383.8029113365683</v>
          </cell>
          <cell r="BX63">
            <v>12.239287350276545</v>
          </cell>
          <cell r="CB63">
            <v>4.12392</v>
          </cell>
          <cell r="CD63">
            <v>4.12392</v>
          </cell>
          <cell r="CG63" t="str">
            <v>PTH</v>
          </cell>
          <cell r="CO63" t="str">
            <v>PTH</v>
          </cell>
          <cell r="CP63">
            <v>1224.6860726246141</v>
          </cell>
          <cell r="CR63">
            <v>163.24075871195413</v>
          </cell>
          <cell r="CT63">
            <v>1387.9268313365683</v>
          </cell>
          <cell r="CV63">
            <v>12.239287350276545</v>
          </cell>
        </row>
        <row r="64">
          <cell r="B64" t="str">
            <v>OTH</v>
          </cell>
          <cell r="D64" t="str">
            <v>OCCUPATIONAL THERAPY</v>
          </cell>
          <cell r="F64" t="str">
            <v>D40</v>
          </cell>
          <cell r="H64">
            <v>1304208.2894824471</v>
          </cell>
          <cell r="J64">
            <v>5227.9699999999993</v>
          </cell>
          <cell r="L64">
            <v>1309436.2594824471</v>
          </cell>
          <cell r="N64">
            <v>13.937379807692308</v>
          </cell>
          <cell r="O64" t="str">
            <v>OTH</v>
          </cell>
          <cell r="P64">
            <v>1304.2</v>
          </cell>
          <cell r="R64">
            <v>5.2</v>
          </cell>
          <cell r="T64">
            <v>1309.4000000000001</v>
          </cell>
          <cell r="AD64">
            <v>1304.2</v>
          </cell>
          <cell r="AF64">
            <v>5.2</v>
          </cell>
          <cell r="AH64">
            <v>1309.4000000000001</v>
          </cell>
          <cell r="AJ64">
            <v>13.937379807692308</v>
          </cell>
          <cell r="AL64">
            <v>0</v>
          </cell>
          <cell r="AN64">
            <v>0</v>
          </cell>
          <cell r="AP64">
            <v>0</v>
          </cell>
          <cell r="AR64">
            <v>0</v>
          </cell>
          <cell r="AT64">
            <v>0.2172915747684164</v>
          </cell>
          <cell r="AV64">
            <v>34.104455227172473</v>
          </cell>
          <cell r="AX64">
            <v>34.32174680194089</v>
          </cell>
          <cell r="AZ64">
            <v>6.3971785823351772E-4</v>
          </cell>
          <cell r="BB64">
            <v>1304.4172915747686</v>
          </cell>
          <cell r="BD64">
            <v>39.304455227172475</v>
          </cell>
          <cell r="BF64">
            <v>1343.721746801941</v>
          </cell>
          <cell r="BH64">
            <v>13.938019525550541</v>
          </cell>
          <cell r="BJ64">
            <v>0</v>
          </cell>
          <cell r="BN64">
            <v>0</v>
          </cell>
          <cell r="BP64">
            <v>0</v>
          </cell>
          <cell r="BR64">
            <v>1304.4172915747686</v>
          </cell>
          <cell r="BT64">
            <v>39.304455227172475</v>
          </cell>
          <cell r="BV64">
            <v>1343.721746801941</v>
          </cell>
          <cell r="BX64">
            <v>13.938019525550541</v>
          </cell>
          <cell r="CB64">
            <v>4.6962900000000003</v>
          </cell>
          <cell r="CD64">
            <v>4.6962900000000003</v>
          </cell>
          <cell r="CG64" t="str">
            <v>OTH</v>
          </cell>
          <cell r="CO64" t="str">
            <v>OTH</v>
          </cell>
          <cell r="CP64">
            <v>1309.1135815747687</v>
          </cell>
          <cell r="CR64">
            <v>39.304455227172475</v>
          </cell>
          <cell r="CT64">
            <v>1348.4180368019411</v>
          </cell>
          <cell r="CV64">
            <v>13.938019525550541</v>
          </cell>
        </row>
        <row r="65">
          <cell r="B65" t="str">
            <v>STH</v>
          </cell>
          <cell r="D65" t="str">
            <v>SPEECH LANGUAGE PATHOLOGY</v>
          </cell>
          <cell r="F65" t="str">
            <v>D41</v>
          </cell>
          <cell r="H65">
            <v>162965.80667164596</v>
          </cell>
          <cell r="J65">
            <v>2741.9500000000003</v>
          </cell>
          <cell r="L65">
            <v>165707.75667164597</v>
          </cell>
          <cell r="N65">
            <v>1.3858173076923077</v>
          </cell>
          <cell r="O65" t="str">
            <v>STH</v>
          </cell>
          <cell r="P65">
            <v>163</v>
          </cell>
          <cell r="R65">
            <v>2.7</v>
          </cell>
          <cell r="T65">
            <v>165.7</v>
          </cell>
          <cell r="AD65">
            <v>163</v>
          </cell>
          <cell r="AF65">
            <v>2.7</v>
          </cell>
          <cell r="AH65">
            <v>165.7</v>
          </cell>
          <cell r="AJ65">
            <v>1.3858173076923077</v>
          </cell>
          <cell r="AL65">
            <v>0</v>
          </cell>
          <cell r="AN65">
            <v>0</v>
          </cell>
          <cell r="AP65">
            <v>0</v>
          </cell>
          <cell r="AR65">
            <v>0</v>
          </cell>
          <cell r="AT65">
            <v>0</v>
          </cell>
          <cell r="AV65">
            <v>0</v>
          </cell>
          <cell r="AX65">
            <v>0</v>
          </cell>
          <cell r="AZ65">
            <v>0</v>
          </cell>
          <cell r="BB65">
            <v>163</v>
          </cell>
          <cell r="BD65">
            <v>2.7</v>
          </cell>
          <cell r="BF65">
            <v>165.7</v>
          </cell>
          <cell r="BH65">
            <v>1.3858173076923077</v>
          </cell>
          <cell r="BJ65">
            <v>0</v>
          </cell>
          <cell r="BN65">
            <v>0</v>
          </cell>
          <cell r="BP65">
            <v>0</v>
          </cell>
          <cell r="BR65">
            <v>163</v>
          </cell>
          <cell r="BT65">
            <v>2.7</v>
          </cell>
          <cell r="BV65">
            <v>165.7</v>
          </cell>
          <cell r="BX65">
            <v>1.3858173076923077</v>
          </cell>
          <cell r="CB65">
            <v>0.46694000000000002</v>
          </cell>
          <cell r="CD65">
            <v>0.46694000000000002</v>
          </cell>
          <cell r="CG65" t="str">
            <v>STH</v>
          </cell>
          <cell r="CO65" t="str">
            <v>STH</v>
          </cell>
          <cell r="CP65">
            <v>163.46693999999999</v>
          </cell>
          <cell r="CR65">
            <v>2.7</v>
          </cell>
          <cell r="CT65">
            <v>166.16693999999998</v>
          </cell>
          <cell r="CV65">
            <v>1.3858173076923077</v>
          </cell>
        </row>
        <row r="66">
          <cell r="B66" t="str">
            <v>REC</v>
          </cell>
          <cell r="D66" t="str">
            <v>RECREATIONAL THERAPY</v>
          </cell>
          <cell r="F66" t="str">
            <v>D42</v>
          </cell>
          <cell r="H66">
            <v>0</v>
          </cell>
          <cell r="J66">
            <v>0</v>
          </cell>
          <cell r="L66">
            <v>0</v>
          </cell>
          <cell r="N66">
            <v>0</v>
          </cell>
          <cell r="O66" t="str">
            <v>REC</v>
          </cell>
          <cell r="P66">
            <v>0</v>
          </cell>
          <cell r="R66">
            <v>0</v>
          </cell>
          <cell r="T66">
            <v>0</v>
          </cell>
          <cell r="AD66">
            <v>0</v>
          </cell>
          <cell r="AF66">
            <v>0</v>
          </cell>
          <cell r="AH66">
            <v>0</v>
          </cell>
          <cell r="AJ66">
            <v>0</v>
          </cell>
          <cell r="AL66">
            <v>0</v>
          </cell>
          <cell r="AN66">
            <v>0</v>
          </cell>
          <cell r="AP66">
            <v>0</v>
          </cell>
          <cell r="AR66">
            <v>0</v>
          </cell>
          <cell r="AT66">
            <v>0</v>
          </cell>
          <cell r="AV66">
            <v>0</v>
          </cell>
          <cell r="AX66">
            <v>0</v>
          </cell>
          <cell r="AZ66">
            <v>0</v>
          </cell>
          <cell r="BB66">
            <v>0</v>
          </cell>
          <cell r="BD66">
            <v>0</v>
          </cell>
          <cell r="BF66">
            <v>0</v>
          </cell>
          <cell r="BH66">
            <v>0</v>
          </cell>
          <cell r="BJ66">
            <v>0</v>
          </cell>
          <cell r="BN66">
            <v>0</v>
          </cell>
          <cell r="BP66">
            <v>0</v>
          </cell>
          <cell r="BR66">
            <v>0</v>
          </cell>
          <cell r="BT66">
            <v>0</v>
          </cell>
          <cell r="BV66">
            <v>0</v>
          </cell>
          <cell r="BX66">
            <v>0</v>
          </cell>
          <cell r="CB66">
            <v>0</v>
          </cell>
          <cell r="CD66">
            <v>0</v>
          </cell>
          <cell r="CG66" t="str">
            <v>REC</v>
          </cell>
          <cell r="CO66" t="str">
            <v>REC</v>
          </cell>
          <cell r="CP66">
            <v>0</v>
          </cell>
          <cell r="CR66">
            <v>0</v>
          </cell>
          <cell r="CT66">
            <v>0</v>
          </cell>
          <cell r="CV66">
            <v>0</v>
          </cell>
        </row>
        <row r="67">
          <cell r="B67" t="str">
            <v>AUD</v>
          </cell>
          <cell r="D67" t="str">
            <v>AUDIOLOGY</v>
          </cell>
          <cell r="F67" t="str">
            <v>D43</v>
          </cell>
          <cell r="H67">
            <v>0</v>
          </cell>
          <cell r="J67">
            <v>100500</v>
          </cell>
          <cell r="L67">
            <v>100500</v>
          </cell>
          <cell r="N67">
            <v>0</v>
          </cell>
          <cell r="O67" t="str">
            <v>AUD</v>
          </cell>
          <cell r="P67">
            <v>0</v>
          </cell>
          <cell r="R67">
            <v>100.5</v>
          </cell>
          <cell r="T67">
            <v>100.5</v>
          </cell>
          <cell r="AD67">
            <v>0</v>
          </cell>
          <cell r="AF67">
            <v>100.5</v>
          </cell>
          <cell r="AH67">
            <v>100.5</v>
          </cell>
          <cell r="AJ67">
            <v>0</v>
          </cell>
          <cell r="AL67">
            <v>0</v>
          </cell>
          <cell r="AN67">
            <v>0</v>
          </cell>
          <cell r="AP67">
            <v>0</v>
          </cell>
          <cell r="AR67">
            <v>0</v>
          </cell>
          <cell r="AT67">
            <v>0</v>
          </cell>
          <cell r="AV67">
            <v>0</v>
          </cell>
          <cell r="AX67">
            <v>0</v>
          </cell>
          <cell r="AZ67">
            <v>0</v>
          </cell>
          <cell r="BB67">
            <v>0</v>
          </cell>
          <cell r="BD67">
            <v>100.5</v>
          </cell>
          <cell r="BF67">
            <v>100.5</v>
          </cell>
          <cell r="BH67">
            <v>0</v>
          </cell>
          <cell r="BJ67">
            <v>0</v>
          </cell>
          <cell r="BN67">
            <v>0</v>
          </cell>
          <cell r="BP67">
            <v>0</v>
          </cell>
          <cell r="BR67">
            <v>0</v>
          </cell>
          <cell r="BT67">
            <v>100.5</v>
          </cell>
          <cell r="BV67">
            <v>100.5</v>
          </cell>
          <cell r="BX67">
            <v>0</v>
          </cell>
          <cell r="CB67">
            <v>0</v>
          </cell>
          <cell r="CD67">
            <v>0</v>
          </cell>
          <cell r="CG67" t="str">
            <v>AUD</v>
          </cell>
          <cell r="CO67" t="str">
            <v>AUD</v>
          </cell>
          <cell r="CP67">
            <v>0</v>
          </cell>
          <cell r="CR67">
            <v>100.5</v>
          </cell>
          <cell r="CT67">
            <v>100.5</v>
          </cell>
          <cell r="CV67">
            <v>0</v>
          </cell>
        </row>
        <row r="68">
          <cell r="B68" t="str">
            <v>OPM</v>
          </cell>
          <cell r="D68" t="str">
            <v>OTHER PHYSICAL MEDICINE</v>
          </cell>
          <cell r="F68" t="str">
            <v>D44</v>
          </cell>
          <cell r="H68">
            <v>0</v>
          </cell>
          <cell r="J68">
            <v>0</v>
          </cell>
          <cell r="L68">
            <v>0</v>
          </cell>
          <cell r="N68">
            <v>0</v>
          </cell>
          <cell r="O68" t="str">
            <v>OPM</v>
          </cell>
          <cell r="P68">
            <v>0</v>
          </cell>
          <cell r="R68">
            <v>0</v>
          </cell>
          <cell r="T68">
            <v>0</v>
          </cell>
          <cell r="AD68">
            <v>0</v>
          </cell>
          <cell r="AF68">
            <v>0</v>
          </cell>
          <cell r="AH68">
            <v>0</v>
          </cell>
          <cell r="AJ68">
            <v>0</v>
          </cell>
          <cell r="AL68">
            <v>0</v>
          </cell>
          <cell r="AN68">
            <v>0</v>
          </cell>
          <cell r="AP68">
            <v>0</v>
          </cell>
          <cell r="AR68">
            <v>0</v>
          </cell>
          <cell r="AT68">
            <v>0</v>
          </cell>
          <cell r="AV68">
            <v>0</v>
          </cell>
          <cell r="AX68">
            <v>0</v>
          </cell>
          <cell r="AZ68">
            <v>0</v>
          </cell>
          <cell r="BB68">
            <v>0</v>
          </cell>
          <cell r="BD68">
            <v>0</v>
          </cell>
          <cell r="BF68">
            <v>0</v>
          </cell>
          <cell r="BH68">
            <v>0</v>
          </cell>
          <cell r="BJ68">
            <v>0</v>
          </cell>
          <cell r="BN68">
            <v>0</v>
          </cell>
          <cell r="BP68">
            <v>0</v>
          </cell>
          <cell r="BR68">
            <v>0</v>
          </cell>
          <cell r="BT68">
            <v>0</v>
          </cell>
          <cell r="BV68">
            <v>0</v>
          </cell>
          <cell r="BX68">
            <v>0</v>
          </cell>
          <cell r="CB68">
            <v>0</v>
          </cell>
          <cell r="CD68">
            <v>0</v>
          </cell>
          <cell r="CG68" t="str">
            <v>OPM</v>
          </cell>
          <cell r="CO68" t="str">
            <v>OPM</v>
          </cell>
          <cell r="CP68">
            <v>0</v>
          </cell>
          <cell r="CR68">
            <v>0</v>
          </cell>
          <cell r="CT68">
            <v>0</v>
          </cell>
          <cell r="CV68">
            <v>0</v>
          </cell>
        </row>
        <row r="69">
          <cell r="B69" t="str">
            <v>RDL</v>
          </cell>
          <cell r="D69" t="str">
            <v>RENAL DIALYSIS</v>
          </cell>
          <cell r="F69" t="str">
            <v>D45</v>
          </cell>
          <cell r="H69">
            <v>0</v>
          </cell>
          <cell r="J69">
            <v>0</v>
          </cell>
          <cell r="L69">
            <v>0</v>
          </cell>
          <cell r="N69">
            <v>0</v>
          </cell>
          <cell r="O69" t="str">
            <v>RDL</v>
          </cell>
          <cell r="P69">
            <v>0</v>
          </cell>
          <cell r="R69">
            <v>0</v>
          </cell>
          <cell r="T69">
            <v>0</v>
          </cell>
          <cell r="AD69">
            <v>0</v>
          </cell>
          <cell r="AF69">
            <v>0</v>
          </cell>
          <cell r="AH69">
            <v>0</v>
          </cell>
          <cell r="AJ69">
            <v>0</v>
          </cell>
          <cell r="AL69">
            <v>0</v>
          </cell>
          <cell r="AN69">
            <v>0</v>
          </cell>
          <cell r="AP69">
            <v>0</v>
          </cell>
          <cell r="AR69">
            <v>0</v>
          </cell>
          <cell r="AT69">
            <v>0</v>
          </cell>
          <cell r="AV69">
            <v>0</v>
          </cell>
          <cell r="AX69">
            <v>0</v>
          </cell>
          <cell r="AZ69">
            <v>0</v>
          </cell>
          <cell r="BB69">
            <v>0</v>
          </cell>
          <cell r="BD69">
            <v>0</v>
          </cell>
          <cell r="BF69">
            <v>0</v>
          </cell>
          <cell r="BH69">
            <v>0</v>
          </cell>
          <cell r="BJ69">
            <v>0</v>
          </cell>
          <cell r="BN69">
            <v>0</v>
          </cell>
          <cell r="BP69">
            <v>0</v>
          </cell>
          <cell r="BR69">
            <v>0</v>
          </cell>
          <cell r="BT69">
            <v>0</v>
          </cell>
          <cell r="BV69">
            <v>0</v>
          </cell>
          <cell r="BX69">
            <v>0</v>
          </cell>
          <cell r="CB69">
            <v>0</v>
          </cell>
          <cell r="CD69">
            <v>0</v>
          </cell>
          <cell r="CG69" t="str">
            <v>RDL</v>
          </cell>
          <cell r="CO69" t="str">
            <v>RDL</v>
          </cell>
          <cell r="CP69">
            <v>0</v>
          </cell>
          <cell r="CR69">
            <v>0</v>
          </cell>
          <cell r="CT69">
            <v>0</v>
          </cell>
          <cell r="CV69">
            <v>0</v>
          </cell>
        </row>
        <row r="70">
          <cell r="B70" t="str">
            <v>OA</v>
          </cell>
          <cell r="D70" t="str">
            <v>ORGAN ACQUISITION</v>
          </cell>
          <cell r="F70" t="str">
            <v>D46</v>
          </cell>
          <cell r="H70">
            <v>0</v>
          </cell>
          <cell r="J70">
            <v>0</v>
          </cell>
          <cell r="L70">
            <v>0</v>
          </cell>
          <cell r="N70">
            <v>0</v>
          </cell>
          <cell r="O70" t="str">
            <v>OA</v>
          </cell>
          <cell r="P70">
            <v>0</v>
          </cell>
          <cell r="R70">
            <v>0</v>
          </cell>
          <cell r="T70">
            <v>0</v>
          </cell>
          <cell r="AD70">
            <v>0</v>
          </cell>
          <cell r="AF70">
            <v>0</v>
          </cell>
          <cell r="AH70">
            <v>0</v>
          </cell>
          <cell r="AJ70">
            <v>0</v>
          </cell>
          <cell r="AL70">
            <v>0</v>
          </cell>
          <cell r="AN70">
            <v>0</v>
          </cell>
          <cell r="AP70">
            <v>0</v>
          </cell>
          <cell r="AR70">
            <v>0</v>
          </cell>
          <cell r="AT70">
            <v>0</v>
          </cell>
          <cell r="AV70">
            <v>0</v>
          </cell>
          <cell r="AX70">
            <v>0</v>
          </cell>
          <cell r="AZ70">
            <v>0</v>
          </cell>
          <cell r="BB70">
            <v>0</v>
          </cell>
          <cell r="BD70">
            <v>0</v>
          </cell>
          <cell r="BF70">
            <v>0</v>
          </cell>
          <cell r="BH70">
            <v>0</v>
          </cell>
          <cell r="BJ70">
            <v>0</v>
          </cell>
          <cell r="BN70">
            <v>0</v>
          </cell>
          <cell r="BP70">
            <v>0</v>
          </cell>
          <cell r="BR70">
            <v>0</v>
          </cell>
          <cell r="BT70">
            <v>0</v>
          </cell>
          <cell r="BV70">
            <v>0</v>
          </cell>
          <cell r="BX70">
            <v>0</v>
          </cell>
          <cell r="CB70">
            <v>0</v>
          </cell>
          <cell r="CD70">
            <v>0</v>
          </cell>
          <cell r="CG70" t="str">
            <v>OA</v>
          </cell>
          <cell r="CO70" t="str">
            <v>OA</v>
          </cell>
          <cell r="CP70">
            <v>0</v>
          </cell>
          <cell r="CR70">
            <v>0</v>
          </cell>
          <cell r="CT70">
            <v>0</v>
          </cell>
          <cell r="CV70">
            <v>0</v>
          </cell>
        </row>
        <row r="71">
          <cell r="B71" t="str">
            <v>AOR</v>
          </cell>
          <cell r="D71" t="str">
            <v>AMBULATORY SURGERY SVCS</v>
          </cell>
          <cell r="F71" t="str">
            <v>D47</v>
          </cell>
          <cell r="H71">
            <v>0</v>
          </cell>
          <cell r="J71">
            <v>0</v>
          </cell>
          <cell r="L71">
            <v>0</v>
          </cell>
          <cell r="N71">
            <v>0</v>
          </cell>
          <cell r="O71" t="str">
            <v>AOR</v>
          </cell>
          <cell r="P71">
            <v>0</v>
          </cell>
          <cell r="R71">
            <v>0</v>
          </cell>
          <cell r="T71">
            <v>0</v>
          </cell>
          <cell r="AD71">
            <v>0</v>
          </cell>
          <cell r="AF71">
            <v>0</v>
          </cell>
          <cell r="AH71">
            <v>0</v>
          </cell>
          <cell r="AJ71">
            <v>0</v>
          </cell>
          <cell r="AL71">
            <v>0</v>
          </cell>
          <cell r="AN71">
            <v>0</v>
          </cell>
          <cell r="AP71">
            <v>0</v>
          </cell>
          <cell r="AR71">
            <v>0</v>
          </cell>
          <cell r="AT71">
            <v>0</v>
          </cell>
          <cell r="AV71">
            <v>0</v>
          </cell>
          <cell r="AX71">
            <v>0</v>
          </cell>
          <cell r="AZ71">
            <v>0</v>
          </cell>
          <cell r="BB71">
            <v>0</v>
          </cell>
          <cell r="BD71">
            <v>0</v>
          </cell>
          <cell r="BF71">
            <v>0</v>
          </cell>
          <cell r="BH71">
            <v>0</v>
          </cell>
          <cell r="BJ71">
            <v>0</v>
          </cell>
          <cell r="BN71">
            <v>0</v>
          </cell>
          <cell r="BP71">
            <v>0</v>
          </cell>
          <cell r="BR71">
            <v>0</v>
          </cell>
          <cell r="BT71">
            <v>0</v>
          </cell>
          <cell r="BV71">
            <v>0</v>
          </cell>
          <cell r="BX71">
            <v>0</v>
          </cell>
          <cell r="CB71">
            <v>0</v>
          </cell>
          <cell r="CD71">
            <v>0</v>
          </cell>
          <cell r="CG71" t="str">
            <v>AOR</v>
          </cell>
          <cell r="CO71" t="str">
            <v>AOR</v>
          </cell>
          <cell r="CP71">
            <v>0</v>
          </cell>
          <cell r="CR71">
            <v>0</v>
          </cell>
          <cell r="CT71">
            <v>0</v>
          </cell>
          <cell r="CV71">
            <v>0</v>
          </cell>
        </row>
        <row r="72">
          <cell r="B72" t="str">
            <v>LEU</v>
          </cell>
          <cell r="D72" t="str">
            <v>LEUKOPHERESIS</v>
          </cell>
          <cell r="F72" t="str">
            <v>D48</v>
          </cell>
          <cell r="H72">
            <v>0</v>
          </cell>
          <cell r="J72">
            <v>0</v>
          </cell>
          <cell r="L72">
            <v>0</v>
          </cell>
          <cell r="N72">
            <v>0</v>
          </cell>
          <cell r="O72" t="str">
            <v>LEU</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LEU</v>
          </cell>
          <cell r="CO72" t="str">
            <v>LEU</v>
          </cell>
          <cell r="CP72">
            <v>0</v>
          </cell>
          <cell r="CR72">
            <v>0</v>
          </cell>
          <cell r="CT72">
            <v>0</v>
          </cell>
          <cell r="CV72">
            <v>0</v>
          </cell>
        </row>
        <row r="73">
          <cell r="B73" t="str">
            <v>HYP</v>
          </cell>
          <cell r="D73" t="str">
            <v>HYPERBARIC CHAMBER</v>
          </cell>
          <cell r="F73" t="str">
            <v>D49</v>
          </cell>
          <cell r="H73">
            <v>0</v>
          </cell>
          <cell r="J73">
            <v>0</v>
          </cell>
          <cell r="L73">
            <v>0</v>
          </cell>
          <cell r="N73">
            <v>0</v>
          </cell>
          <cell r="O73" t="str">
            <v>HYP</v>
          </cell>
          <cell r="P73">
            <v>0</v>
          </cell>
          <cell r="R73">
            <v>0</v>
          </cell>
          <cell r="T73">
            <v>0</v>
          </cell>
          <cell r="AD73">
            <v>0</v>
          </cell>
          <cell r="AF73">
            <v>0</v>
          </cell>
          <cell r="AH73">
            <v>0</v>
          </cell>
          <cell r="AJ73">
            <v>0</v>
          </cell>
          <cell r="AL73">
            <v>0</v>
          </cell>
          <cell r="AN73">
            <v>0</v>
          </cell>
          <cell r="AP73">
            <v>0</v>
          </cell>
          <cell r="AR73">
            <v>0</v>
          </cell>
          <cell r="AT73">
            <v>0</v>
          </cell>
          <cell r="AV73">
            <v>0</v>
          </cell>
          <cell r="AX73">
            <v>0</v>
          </cell>
          <cell r="AZ73">
            <v>0</v>
          </cell>
          <cell r="BB73">
            <v>0</v>
          </cell>
          <cell r="BD73">
            <v>0</v>
          </cell>
          <cell r="BF73">
            <v>0</v>
          </cell>
          <cell r="BH73">
            <v>0</v>
          </cell>
          <cell r="BJ73">
            <v>0</v>
          </cell>
          <cell r="BN73">
            <v>0</v>
          </cell>
          <cell r="BP73">
            <v>0</v>
          </cell>
          <cell r="BR73">
            <v>0</v>
          </cell>
          <cell r="BT73">
            <v>0</v>
          </cell>
          <cell r="BV73">
            <v>0</v>
          </cell>
          <cell r="BX73">
            <v>0</v>
          </cell>
          <cell r="CB73">
            <v>0</v>
          </cell>
          <cell r="CD73">
            <v>0</v>
          </cell>
          <cell r="CG73" t="str">
            <v>HYP</v>
          </cell>
          <cell r="CO73" t="str">
            <v>HYP</v>
          </cell>
          <cell r="CP73">
            <v>0</v>
          </cell>
          <cell r="CR73">
            <v>0</v>
          </cell>
          <cell r="CT73">
            <v>0</v>
          </cell>
          <cell r="CV73">
            <v>0</v>
          </cell>
        </row>
        <row r="74">
          <cell r="B74" t="str">
            <v>FSE</v>
          </cell>
          <cell r="D74" t="str">
            <v>FREE STANDING EMERGENCY</v>
          </cell>
          <cell r="F74" t="str">
            <v>D50</v>
          </cell>
          <cell r="H74">
            <v>0</v>
          </cell>
          <cell r="J74">
            <v>0</v>
          </cell>
          <cell r="L74">
            <v>0</v>
          </cell>
          <cell r="N74">
            <v>0</v>
          </cell>
          <cell r="O74" t="str">
            <v>FSE</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FSE</v>
          </cell>
          <cell r="CO74" t="str">
            <v>FSE</v>
          </cell>
          <cell r="CP74">
            <v>0</v>
          </cell>
          <cell r="CR74">
            <v>0</v>
          </cell>
          <cell r="CT74">
            <v>0</v>
          </cell>
          <cell r="CV74">
            <v>0</v>
          </cell>
        </row>
        <row r="75">
          <cell r="B75" t="str">
            <v>MRI</v>
          </cell>
          <cell r="D75" t="str">
            <v>MAGNETIC RESONANCE IMAGING</v>
          </cell>
          <cell r="F75" t="str">
            <v>D51</v>
          </cell>
          <cell r="H75">
            <v>13458.13616812508</v>
          </cell>
          <cell r="J75">
            <v>790413.03073018207</v>
          </cell>
          <cell r="L75">
            <v>803871.16689830716</v>
          </cell>
          <cell r="N75">
            <v>0.41601918294015816</v>
          </cell>
          <cell r="O75" t="str">
            <v>MRI</v>
          </cell>
          <cell r="P75">
            <v>13.5</v>
          </cell>
          <cell r="R75">
            <v>790.4</v>
          </cell>
          <cell r="T75">
            <v>803.9</v>
          </cell>
          <cell r="AD75">
            <v>13.5</v>
          </cell>
          <cell r="AF75">
            <v>790.4</v>
          </cell>
          <cell r="AH75">
            <v>803.9</v>
          </cell>
          <cell r="AJ75">
            <v>0.41601918294015816</v>
          </cell>
          <cell r="AL75">
            <v>0</v>
          </cell>
          <cell r="AN75">
            <v>0</v>
          </cell>
          <cell r="AP75">
            <v>0</v>
          </cell>
          <cell r="AR75">
            <v>0</v>
          </cell>
          <cell r="AT75">
            <v>0</v>
          </cell>
          <cell r="AV75">
            <v>0</v>
          </cell>
          <cell r="AX75">
            <v>0</v>
          </cell>
          <cell r="AZ75">
            <v>0</v>
          </cell>
          <cell r="BB75">
            <v>13.5</v>
          </cell>
          <cell r="BD75">
            <v>790.4</v>
          </cell>
          <cell r="BF75">
            <v>803.9</v>
          </cell>
          <cell r="BH75">
            <v>0.41601918294015816</v>
          </cell>
          <cell r="BJ75">
            <v>0</v>
          </cell>
          <cell r="BN75">
            <v>0</v>
          </cell>
          <cell r="BP75">
            <v>0</v>
          </cell>
          <cell r="BR75">
            <v>13.5</v>
          </cell>
          <cell r="BT75">
            <v>790.4</v>
          </cell>
          <cell r="BV75">
            <v>803.9</v>
          </cell>
          <cell r="BX75">
            <v>0.41601918294015816</v>
          </cell>
          <cell r="CB75">
            <v>0.14016999999999999</v>
          </cell>
          <cell r="CD75">
            <v>0.14016999999999999</v>
          </cell>
          <cell r="CG75" t="str">
            <v>MRI</v>
          </cell>
          <cell r="CO75" t="str">
            <v>MRI</v>
          </cell>
          <cell r="CP75">
            <v>13.640169999999999</v>
          </cell>
          <cell r="CR75">
            <v>790.4</v>
          </cell>
          <cell r="CT75">
            <v>804.04016999999999</v>
          </cell>
          <cell r="CV75">
            <v>0.41601918294015816</v>
          </cell>
        </row>
        <row r="76">
          <cell r="B76" t="str">
            <v>ADD</v>
          </cell>
          <cell r="D76" t="str">
            <v>ADOLESCENT DUAL DIAGNOSED</v>
          </cell>
          <cell r="F76" t="str">
            <v>D52</v>
          </cell>
          <cell r="H76">
            <v>0</v>
          </cell>
          <cell r="J76">
            <v>0</v>
          </cell>
          <cell r="L76">
            <v>0</v>
          </cell>
          <cell r="N76">
            <v>0</v>
          </cell>
          <cell r="O76" t="str">
            <v>ADD</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ADD</v>
          </cell>
          <cell r="CO76" t="str">
            <v>CNA</v>
          </cell>
          <cell r="CP76">
            <v>0</v>
          </cell>
          <cell r="CR76">
            <v>0</v>
          </cell>
          <cell r="CT76">
            <v>0</v>
          </cell>
          <cell r="CV76">
            <v>0</v>
          </cell>
        </row>
        <row r="77">
          <cell r="B77" t="str">
            <v>LIT</v>
          </cell>
          <cell r="D77" t="str">
            <v>LITHOTRIPSY</v>
          </cell>
          <cell r="F77" t="str">
            <v>D53</v>
          </cell>
          <cell r="H77">
            <v>0</v>
          </cell>
          <cell r="J77">
            <v>24000</v>
          </cell>
          <cell r="L77">
            <v>24000</v>
          </cell>
          <cell r="N77">
            <v>0</v>
          </cell>
          <cell r="O77" t="str">
            <v>LIT</v>
          </cell>
          <cell r="P77">
            <v>0</v>
          </cell>
          <cell r="R77">
            <v>24</v>
          </cell>
          <cell r="T77">
            <v>24</v>
          </cell>
          <cell r="AD77">
            <v>0</v>
          </cell>
          <cell r="AF77">
            <v>24</v>
          </cell>
          <cell r="AH77">
            <v>24</v>
          </cell>
          <cell r="AJ77">
            <v>0</v>
          </cell>
          <cell r="AL77">
            <v>0</v>
          </cell>
          <cell r="AN77">
            <v>0</v>
          </cell>
          <cell r="AP77">
            <v>0</v>
          </cell>
          <cell r="AR77">
            <v>0</v>
          </cell>
          <cell r="AT77">
            <v>0</v>
          </cell>
          <cell r="AV77">
            <v>0</v>
          </cell>
          <cell r="AX77">
            <v>0</v>
          </cell>
          <cell r="AZ77">
            <v>0</v>
          </cell>
          <cell r="BB77">
            <v>0</v>
          </cell>
          <cell r="BD77">
            <v>24</v>
          </cell>
          <cell r="BF77">
            <v>24</v>
          </cell>
          <cell r="BH77">
            <v>0</v>
          </cell>
          <cell r="BJ77">
            <v>0</v>
          </cell>
          <cell r="BN77">
            <v>0</v>
          </cell>
          <cell r="BP77">
            <v>0</v>
          </cell>
          <cell r="BR77">
            <v>0</v>
          </cell>
          <cell r="BT77">
            <v>24</v>
          </cell>
          <cell r="BV77">
            <v>24</v>
          </cell>
          <cell r="BX77">
            <v>0</v>
          </cell>
          <cell r="CB77">
            <v>0</v>
          </cell>
          <cell r="CD77">
            <v>0</v>
          </cell>
          <cell r="CG77" t="str">
            <v>LIT</v>
          </cell>
          <cell r="CO77" t="str">
            <v>LIT</v>
          </cell>
          <cell r="CP77">
            <v>0</v>
          </cell>
          <cell r="CR77">
            <v>24</v>
          </cell>
          <cell r="CT77">
            <v>24</v>
          </cell>
          <cell r="CV77">
            <v>0</v>
          </cell>
        </row>
        <row r="78">
          <cell r="B78" t="str">
            <v>RHB</v>
          </cell>
          <cell r="D78" t="str">
            <v>REHABILITATION</v>
          </cell>
          <cell r="F78" t="str">
            <v>D54</v>
          </cell>
          <cell r="H78">
            <v>0</v>
          </cell>
          <cell r="J78">
            <v>0</v>
          </cell>
          <cell r="L78">
            <v>0</v>
          </cell>
          <cell r="N78">
            <v>0</v>
          </cell>
          <cell r="O78" t="str">
            <v>RHB</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RHB</v>
          </cell>
          <cell r="CO78" t="str">
            <v>RHB</v>
          </cell>
          <cell r="CP78">
            <v>0</v>
          </cell>
          <cell r="CR78">
            <v>0</v>
          </cell>
          <cell r="CT78">
            <v>0</v>
          </cell>
          <cell r="CV78">
            <v>0</v>
          </cell>
        </row>
        <row r="79">
          <cell r="B79" t="str">
            <v>OBV</v>
          </cell>
          <cell r="D79" t="str">
            <v>OBSERVATION</v>
          </cell>
          <cell r="F79" t="str">
            <v>D55</v>
          </cell>
          <cell r="H79">
            <v>1155817.9871927283</v>
          </cell>
          <cell r="J79">
            <v>51255.340573300877</v>
          </cell>
          <cell r="L79">
            <v>1207073.3277660292</v>
          </cell>
          <cell r="N79">
            <v>13.360608033994877</v>
          </cell>
          <cell r="O79" t="str">
            <v>OBV</v>
          </cell>
          <cell r="P79">
            <v>1155.8</v>
          </cell>
          <cell r="R79">
            <v>51.3</v>
          </cell>
          <cell r="T79">
            <v>1207.0999999999999</v>
          </cell>
          <cell r="AD79">
            <v>1155.8</v>
          </cell>
          <cell r="AF79">
            <v>51.3</v>
          </cell>
          <cell r="AH79">
            <v>1207.0999999999999</v>
          </cell>
          <cell r="AJ79">
            <v>13.360608033994877</v>
          </cell>
          <cell r="AL79">
            <v>0</v>
          </cell>
          <cell r="AN79">
            <v>0</v>
          </cell>
          <cell r="AP79">
            <v>0</v>
          </cell>
          <cell r="AR79">
            <v>0</v>
          </cell>
          <cell r="AT79">
            <v>0.7544363475959418</v>
          </cell>
          <cell r="AV79">
            <v>118.41066854874283</v>
          </cell>
          <cell r="AX79">
            <v>119.16510489633878</v>
          </cell>
          <cell r="AZ79">
            <v>2.2211004037867737E-3</v>
          </cell>
          <cell r="BB79">
            <v>1156.5544363475958</v>
          </cell>
          <cell r="BD79">
            <v>169.71066854874283</v>
          </cell>
          <cell r="BF79">
            <v>1326.2651048963387</v>
          </cell>
          <cell r="BH79">
            <v>13.362829134398664</v>
          </cell>
          <cell r="BJ79">
            <v>0</v>
          </cell>
          <cell r="BN79">
            <v>0</v>
          </cell>
          <cell r="BR79">
            <v>1156.5544363475958</v>
          </cell>
          <cell r="BT79">
            <v>169.71066854874283</v>
          </cell>
          <cell r="BV79">
            <v>1326.2651048963387</v>
          </cell>
          <cell r="BX79">
            <v>13.362829134398664</v>
          </cell>
          <cell r="CB79">
            <v>4.5024899999999999</v>
          </cell>
          <cell r="CD79">
            <v>4.5024899999999999</v>
          </cell>
          <cell r="CG79" t="str">
            <v>OBV</v>
          </cell>
          <cell r="CO79" t="str">
            <v>OBV</v>
          </cell>
          <cell r="CP79">
            <v>1161.0569263475959</v>
          </cell>
          <cell r="CR79">
            <v>169.71066854874283</v>
          </cell>
          <cell r="CT79">
            <v>1330.7675948963388</v>
          </cell>
          <cell r="CV79">
            <v>13.362829134398664</v>
          </cell>
        </row>
        <row r="80">
          <cell r="B80" t="str">
            <v>AMR</v>
          </cell>
          <cell r="D80" t="str">
            <v>AMBULANCE REBUNDLED SVCS</v>
          </cell>
          <cell r="F80" t="str">
            <v>D56</v>
          </cell>
          <cell r="H80">
            <v>0</v>
          </cell>
          <cell r="J80">
            <v>115571.89</v>
          </cell>
          <cell r="L80">
            <v>115571.89</v>
          </cell>
          <cell r="N80">
            <v>0</v>
          </cell>
          <cell r="O80" t="str">
            <v>AMR</v>
          </cell>
          <cell r="P80">
            <v>0</v>
          </cell>
          <cell r="R80">
            <v>115.6</v>
          </cell>
          <cell r="T80">
            <v>115.6</v>
          </cell>
          <cell r="AD80">
            <v>0</v>
          </cell>
          <cell r="AF80">
            <v>115.6</v>
          </cell>
          <cell r="AH80">
            <v>115.6</v>
          </cell>
          <cell r="AJ80">
            <v>0</v>
          </cell>
          <cell r="AL80">
            <v>0</v>
          </cell>
          <cell r="AN80">
            <v>0</v>
          </cell>
          <cell r="AP80">
            <v>0</v>
          </cell>
          <cell r="AR80">
            <v>0</v>
          </cell>
          <cell r="AT80">
            <v>0.28972209969122187</v>
          </cell>
          <cell r="AV80">
            <v>45.472606969563294</v>
          </cell>
          <cell r="AX80">
            <v>45.76232906925452</v>
          </cell>
          <cell r="AZ80">
            <v>8.5295714431135692E-4</v>
          </cell>
          <cell r="BB80">
            <v>0.28972209969122187</v>
          </cell>
          <cell r="BD80">
            <v>161.07260696956328</v>
          </cell>
          <cell r="BF80">
            <v>161.36232906925451</v>
          </cell>
          <cell r="BH80">
            <v>8.5295714431135692E-4</v>
          </cell>
          <cell r="BJ80">
            <v>0</v>
          </cell>
          <cell r="BN80">
            <v>0</v>
          </cell>
          <cell r="BR80">
            <v>0.28972209969122187</v>
          </cell>
          <cell r="BT80">
            <v>161.07260696956328</v>
          </cell>
          <cell r="BV80">
            <v>161.36232906925451</v>
          </cell>
          <cell r="BX80">
            <v>8.5295714431135692E-4</v>
          </cell>
          <cell r="CB80">
            <v>2.9E-4</v>
          </cell>
          <cell r="CD80">
            <v>2.9E-4</v>
          </cell>
          <cell r="CG80" t="str">
            <v>AMR</v>
          </cell>
          <cell r="CO80" t="str">
            <v>AMR</v>
          </cell>
          <cell r="CP80">
            <v>0.29001209969122188</v>
          </cell>
          <cell r="CR80">
            <v>161.07260696956328</v>
          </cell>
          <cell r="CT80">
            <v>161.36261906925449</v>
          </cell>
          <cell r="CV80">
            <v>8.5295714431135692E-4</v>
          </cell>
        </row>
        <row r="81">
          <cell r="B81" t="str">
            <v>TMT</v>
          </cell>
          <cell r="D81" t="str">
            <v>TRANSURETHAL MICROWAVE THERMOTHERAPY</v>
          </cell>
          <cell r="F81" t="str">
            <v>D57</v>
          </cell>
          <cell r="H81">
            <v>0</v>
          </cell>
          <cell r="J81">
            <v>0</v>
          </cell>
          <cell r="L81">
            <v>0</v>
          </cell>
          <cell r="N81">
            <v>0</v>
          </cell>
          <cell r="O81" t="str">
            <v>TMT</v>
          </cell>
          <cell r="P81">
            <v>0</v>
          </cell>
          <cell r="R81">
            <v>0</v>
          </cell>
          <cell r="T81">
            <v>0</v>
          </cell>
          <cell r="AD81">
            <v>0</v>
          </cell>
          <cell r="AF81">
            <v>0</v>
          </cell>
          <cell r="AH81">
            <v>0</v>
          </cell>
          <cell r="AJ81">
            <v>0</v>
          </cell>
          <cell r="AL81">
            <v>0</v>
          </cell>
          <cell r="AN81">
            <v>0</v>
          </cell>
          <cell r="AP81">
            <v>0</v>
          </cell>
          <cell r="AR81">
            <v>0</v>
          </cell>
          <cell r="AT81">
            <v>0</v>
          </cell>
          <cell r="AV81">
            <v>0</v>
          </cell>
          <cell r="AX81">
            <v>0</v>
          </cell>
          <cell r="AZ81">
            <v>0</v>
          </cell>
          <cell r="BB81">
            <v>0</v>
          </cell>
          <cell r="BD81">
            <v>0</v>
          </cell>
          <cell r="BF81">
            <v>0</v>
          </cell>
          <cell r="BH81">
            <v>0</v>
          </cell>
          <cell r="BJ81">
            <v>0</v>
          </cell>
          <cell r="BN81">
            <v>0</v>
          </cell>
          <cell r="BR81">
            <v>0</v>
          </cell>
          <cell r="BT81">
            <v>0</v>
          </cell>
          <cell r="BV81">
            <v>0</v>
          </cell>
          <cell r="BX81">
            <v>0</v>
          </cell>
          <cell r="CB81">
            <v>0</v>
          </cell>
          <cell r="CD81">
            <v>0</v>
          </cell>
          <cell r="CG81" t="str">
            <v>TMT</v>
          </cell>
          <cell r="CO81" t="str">
            <v>AMR</v>
          </cell>
          <cell r="CP81">
            <v>0</v>
          </cell>
          <cell r="CR81">
            <v>0</v>
          </cell>
          <cell r="CT81">
            <v>0</v>
          </cell>
          <cell r="CV81">
            <v>0</v>
          </cell>
        </row>
        <row r="82">
          <cell r="B82" t="str">
            <v>OCL</v>
          </cell>
          <cell r="D82" t="str">
            <v>ONCOLOGY O/P CLINIC</v>
          </cell>
          <cell r="F82" t="str">
            <v>D58</v>
          </cell>
          <cell r="H82">
            <v>0</v>
          </cell>
          <cell r="J82">
            <v>0</v>
          </cell>
          <cell r="L82">
            <v>0</v>
          </cell>
          <cell r="N82">
            <v>0</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R82">
            <v>0</v>
          </cell>
          <cell r="BT82">
            <v>0</v>
          </cell>
          <cell r="BV82">
            <v>0</v>
          </cell>
          <cell r="BX82">
            <v>0</v>
          </cell>
          <cell r="CB82">
            <v>0</v>
          </cell>
          <cell r="CD82">
            <v>0</v>
          </cell>
          <cell r="CP82">
            <v>0</v>
          </cell>
          <cell r="CR82">
            <v>0</v>
          </cell>
          <cell r="CT82">
            <v>0</v>
          </cell>
          <cell r="CV82">
            <v>0</v>
          </cell>
        </row>
        <row r="83">
          <cell r="B83" t="str">
            <v>TNA</v>
          </cell>
          <cell r="D83" t="str">
            <v>TRANSURETHAL NEEDLE ABLATION</v>
          </cell>
          <cell r="F83" t="str">
            <v>D59</v>
          </cell>
          <cell r="H83">
            <v>0</v>
          </cell>
          <cell r="J83">
            <v>0</v>
          </cell>
          <cell r="L83">
            <v>0</v>
          </cell>
          <cell r="N83">
            <v>0</v>
          </cell>
          <cell r="P83">
            <v>0</v>
          </cell>
          <cell r="R83">
            <v>0</v>
          </cell>
          <cell r="T83">
            <v>0</v>
          </cell>
          <cell r="AD83">
            <v>0</v>
          </cell>
          <cell r="AF83">
            <v>0</v>
          </cell>
          <cell r="AH83">
            <v>0</v>
          </cell>
          <cell r="AJ83">
            <v>0</v>
          </cell>
          <cell r="AL83">
            <v>0</v>
          </cell>
          <cell r="AN83">
            <v>0</v>
          </cell>
          <cell r="AP83">
            <v>0</v>
          </cell>
          <cell r="AR83">
            <v>0</v>
          </cell>
          <cell r="AT83">
            <v>3.6215262461402734E-2</v>
          </cell>
          <cell r="AV83">
            <v>5.6840758711954118</v>
          </cell>
          <cell r="AX83">
            <v>5.720291133656815</v>
          </cell>
          <cell r="AZ83">
            <v>1.0661964303891961E-4</v>
          </cell>
          <cell r="BB83">
            <v>3.6215262461402734E-2</v>
          </cell>
          <cell r="BD83">
            <v>5.6840758711954118</v>
          </cell>
          <cell r="BF83">
            <v>5.720291133656815</v>
          </cell>
          <cell r="BH83">
            <v>1.0661964303891961E-4</v>
          </cell>
          <cell r="BJ83">
            <v>0</v>
          </cell>
          <cell r="BN83">
            <v>0</v>
          </cell>
          <cell r="BR83">
            <v>3.6215262461402734E-2</v>
          </cell>
          <cell r="BT83">
            <v>5.6840758711954118</v>
          </cell>
          <cell r="BV83">
            <v>5.720291133656815</v>
          </cell>
          <cell r="BX83">
            <v>1.0661964303891961E-4</v>
          </cell>
          <cell r="CB83">
            <v>4.0000000000000003E-5</v>
          </cell>
          <cell r="CD83">
            <v>4.0000000000000003E-5</v>
          </cell>
          <cell r="CP83">
            <v>3.6255262461402732E-2</v>
          </cell>
          <cell r="CR83">
            <v>5.6840758711954118</v>
          </cell>
          <cell r="CT83">
            <v>5.7203311336568143</v>
          </cell>
          <cell r="CV83">
            <v>1.0661964303891961E-4</v>
          </cell>
        </row>
        <row r="84">
          <cell r="B84" t="str">
            <v>PAD</v>
          </cell>
          <cell r="D84" t="str">
            <v>PSYCH ADULT</v>
          </cell>
          <cell r="F84" t="str">
            <v>D70</v>
          </cell>
          <cell r="H84">
            <v>0</v>
          </cell>
          <cell r="J84">
            <v>0</v>
          </cell>
          <cell r="L84">
            <v>0</v>
          </cell>
          <cell r="N84">
            <v>0</v>
          </cell>
          <cell r="O84" t="str">
            <v>PAD</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PAD</v>
          </cell>
          <cell r="CO84" t="str">
            <v>PAD</v>
          </cell>
          <cell r="CP84">
            <v>0</v>
          </cell>
          <cell r="CR84">
            <v>0</v>
          </cell>
          <cell r="CT84">
            <v>0</v>
          </cell>
          <cell r="CV84">
            <v>0</v>
          </cell>
        </row>
        <row r="85">
          <cell r="B85" t="str">
            <v>PCD</v>
          </cell>
          <cell r="D85" t="str">
            <v>PSYCH CHILD/ADOLESCENT</v>
          </cell>
          <cell r="F85" t="str">
            <v>D71</v>
          </cell>
          <cell r="H85">
            <v>0</v>
          </cell>
          <cell r="J85">
            <v>0</v>
          </cell>
          <cell r="L85">
            <v>0</v>
          </cell>
          <cell r="N85">
            <v>0</v>
          </cell>
          <cell r="O85" t="str">
            <v>PCD</v>
          </cell>
          <cell r="P85">
            <v>0</v>
          </cell>
          <cell r="R85">
            <v>0</v>
          </cell>
          <cell r="T85">
            <v>0</v>
          </cell>
          <cell r="AD85">
            <v>0</v>
          </cell>
          <cell r="AF85">
            <v>0</v>
          </cell>
          <cell r="AH85">
            <v>0</v>
          </cell>
          <cell r="AJ85">
            <v>0</v>
          </cell>
          <cell r="AL85">
            <v>0</v>
          </cell>
          <cell r="AN85">
            <v>0</v>
          </cell>
          <cell r="AP85">
            <v>0</v>
          </cell>
          <cell r="AR85">
            <v>0</v>
          </cell>
          <cell r="AT85">
            <v>0</v>
          </cell>
          <cell r="AV85">
            <v>0</v>
          </cell>
          <cell r="AX85">
            <v>0</v>
          </cell>
          <cell r="AZ85">
            <v>0</v>
          </cell>
          <cell r="BB85">
            <v>0</v>
          </cell>
          <cell r="BD85">
            <v>0</v>
          </cell>
          <cell r="BF85">
            <v>0</v>
          </cell>
          <cell r="BH85">
            <v>0</v>
          </cell>
          <cell r="BJ85">
            <v>0</v>
          </cell>
          <cell r="BN85">
            <v>0</v>
          </cell>
          <cell r="BP85">
            <v>0</v>
          </cell>
          <cell r="BR85">
            <v>0</v>
          </cell>
          <cell r="BT85">
            <v>0</v>
          </cell>
          <cell r="BV85">
            <v>0</v>
          </cell>
          <cell r="BX85">
            <v>0</v>
          </cell>
          <cell r="CB85">
            <v>0</v>
          </cell>
          <cell r="CD85">
            <v>0</v>
          </cell>
          <cell r="CG85" t="str">
            <v>PCD</v>
          </cell>
          <cell r="CO85" t="str">
            <v>PCD</v>
          </cell>
          <cell r="CP85">
            <v>0</v>
          </cell>
          <cell r="CR85">
            <v>0</v>
          </cell>
          <cell r="CT85">
            <v>0</v>
          </cell>
          <cell r="CV85">
            <v>0</v>
          </cell>
        </row>
        <row r="86">
          <cell r="B86" t="str">
            <v>PSG</v>
          </cell>
          <cell r="D86" t="str">
            <v>PSYCH GERIATRIC</v>
          </cell>
          <cell r="F86" t="str">
            <v>D73</v>
          </cell>
          <cell r="H86">
            <v>0</v>
          </cell>
          <cell r="J86">
            <v>0</v>
          </cell>
          <cell r="L86">
            <v>0</v>
          </cell>
          <cell r="N86">
            <v>0</v>
          </cell>
          <cell r="O86" t="str">
            <v>PSG</v>
          </cell>
          <cell r="P86">
            <v>0</v>
          </cell>
          <cell r="R86">
            <v>0</v>
          </cell>
          <cell r="T86">
            <v>0</v>
          </cell>
          <cell r="AD86">
            <v>0</v>
          </cell>
          <cell r="AF86">
            <v>0</v>
          </cell>
          <cell r="AH86">
            <v>0</v>
          </cell>
          <cell r="AJ86">
            <v>0</v>
          </cell>
          <cell r="AL86">
            <v>0</v>
          </cell>
          <cell r="AN86">
            <v>0</v>
          </cell>
          <cell r="AP86">
            <v>0</v>
          </cell>
          <cell r="AR86">
            <v>0</v>
          </cell>
          <cell r="AT86">
            <v>0</v>
          </cell>
          <cell r="AV86">
            <v>0</v>
          </cell>
          <cell r="AX86">
            <v>0</v>
          </cell>
          <cell r="AZ86">
            <v>0</v>
          </cell>
          <cell r="BB86">
            <v>0</v>
          </cell>
          <cell r="BD86">
            <v>0</v>
          </cell>
          <cell r="BF86">
            <v>0</v>
          </cell>
          <cell r="BH86">
            <v>0</v>
          </cell>
          <cell r="BJ86">
            <v>0</v>
          </cell>
          <cell r="BN86">
            <v>0</v>
          </cell>
          <cell r="BP86">
            <v>0</v>
          </cell>
          <cell r="BR86">
            <v>0</v>
          </cell>
          <cell r="BT86">
            <v>0</v>
          </cell>
          <cell r="BV86">
            <v>0</v>
          </cell>
          <cell r="BX86">
            <v>0</v>
          </cell>
          <cell r="CB86">
            <v>0</v>
          </cell>
          <cell r="CD86">
            <v>0</v>
          </cell>
          <cell r="CG86" t="str">
            <v>PSG</v>
          </cell>
          <cell r="CO86" t="str">
            <v>PSG</v>
          </cell>
          <cell r="CP86">
            <v>0</v>
          </cell>
          <cell r="CR86">
            <v>0</v>
          </cell>
          <cell r="CT86">
            <v>0</v>
          </cell>
          <cell r="CV86">
            <v>0</v>
          </cell>
        </row>
        <row r="87">
          <cell r="B87" t="str">
            <v>ITH</v>
          </cell>
          <cell r="D87" t="str">
            <v>INDIVIDUAL THERAPIES</v>
          </cell>
          <cell r="F87" t="str">
            <v>D74</v>
          </cell>
          <cell r="H87">
            <v>0</v>
          </cell>
          <cell r="J87">
            <v>0</v>
          </cell>
          <cell r="L87">
            <v>0</v>
          </cell>
          <cell r="N87">
            <v>0</v>
          </cell>
          <cell r="O87" t="str">
            <v>ITH</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P87">
            <v>0</v>
          </cell>
          <cell r="BR87">
            <v>0</v>
          </cell>
          <cell r="BT87">
            <v>0</v>
          </cell>
          <cell r="BV87">
            <v>0</v>
          </cell>
          <cell r="BX87">
            <v>0</v>
          </cell>
          <cell r="CB87">
            <v>0</v>
          </cell>
          <cell r="CD87">
            <v>0</v>
          </cell>
          <cell r="CG87" t="str">
            <v>ITH</v>
          </cell>
          <cell r="CO87" t="str">
            <v>ITH</v>
          </cell>
          <cell r="CP87">
            <v>0</v>
          </cell>
          <cell r="CR87">
            <v>0</v>
          </cell>
          <cell r="CT87">
            <v>0</v>
          </cell>
          <cell r="CV87">
            <v>0</v>
          </cell>
        </row>
        <row r="88">
          <cell r="B88" t="str">
            <v>GTH</v>
          </cell>
          <cell r="D88" t="str">
            <v>GROUP THERAPIES</v>
          </cell>
          <cell r="F88" t="str">
            <v>D75</v>
          </cell>
          <cell r="H88">
            <v>0</v>
          </cell>
          <cell r="J88">
            <v>0</v>
          </cell>
          <cell r="L88">
            <v>0</v>
          </cell>
          <cell r="N88">
            <v>0</v>
          </cell>
          <cell r="O88" t="str">
            <v>GTH</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P88">
            <v>0</v>
          </cell>
          <cell r="BR88">
            <v>0</v>
          </cell>
          <cell r="BT88">
            <v>0</v>
          </cell>
          <cell r="BV88">
            <v>0</v>
          </cell>
          <cell r="BX88">
            <v>0</v>
          </cell>
          <cell r="CB88">
            <v>0</v>
          </cell>
          <cell r="CD88">
            <v>0</v>
          </cell>
          <cell r="CG88" t="str">
            <v>GTH</v>
          </cell>
          <cell r="CO88" t="str">
            <v>GTH</v>
          </cell>
          <cell r="CP88">
            <v>0</v>
          </cell>
          <cell r="CR88">
            <v>0</v>
          </cell>
          <cell r="CT88">
            <v>0</v>
          </cell>
          <cell r="CV88">
            <v>0</v>
          </cell>
        </row>
        <row r="89">
          <cell r="B89" t="str">
            <v>FTH</v>
          </cell>
          <cell r="D89" t="str">
            <v>FAMILY THERAPIES</v>
          </cell>
          <cell r="F89" t="str">
            <v>D76</v>
          </cell>
          <cell r="H89">
            <v>0</v>
          </cell>
          <cell r="J89">
            <v>0</v>
          </cell>
          <cell r="L89">
            <v>0</v>
          </cell>
          <cell r="N89">
            <v>0</v>
          </cell>
          <cell r="O89" t="str">
            <v>FTH</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P89">
            <v>0</v>
          </cell>
          <cell r="BR89">
            <v>0</v>
          </cell>
          <cell r="BT89">
            <v>0</v>
          </cell>
          <cell r="BV89">
            <v>0</v>
          </cell>
          <cell r="BX89">
            <v>0</v>
          </cell>
          <cell r="CB89">
            <v>0</v>
          </cell>
          <cell r="CD89">
            <v>0</v>
          </cell>
          <cell r="CG89" t="str">
            <v>FTH</v>
          </cell>
          <cell r="CO89" t="str">
            <v>FTH</v>
          </cell>
          <cell r="CP89">
            <v>0</v>
          </cell>
          <cell r="CR89">
            <v>0</v>
          </cell>
          <cell r="CT89">
            <v>0</v>
          </cell>
          <cell r="CV89">
            <v>0</v>
          </cell>
        </row>
        <row r="90">
          <cell r="B90" t="str">
            <v>PST</v>
          </cell>
          <cell r="D90" t="str">
            <v>PSYCHOLOGICAL TESTING</v>
          </cell>
          <cell r="F90" t="str">
            <v>D77</v>
          </cell>
          <cell r="H90">
            <v>0</v>
          </cell>
          <cell r="J90">
            <v>0</v>
          </cell>
          <cell r="L90">
            <v>0</v>
          </cell>
          <cell r="N90">
            <v>0</v>
          </cell>
          <cell r="O90" t="str">
            <v>PST</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PST</v>
          </cell>
          <cell r="CO90" t="str">
            <v>PST</v>
          </cell>
          <cell r="CP90">
            <v>0</v>
          </cell>
          <cell r="CR90">
            <v>0</v>
          </cell>
          <cell r="CT90">
            <v>0</v>
          </cell>
          <cell r="CV90">
            <v>0</v>
          </cell>
        </row>
        <row r="91">
          <cell r="B91" t="str">
            <v>PSE</v>
          </cell>
          <cell r="D91" t="str">
            <v>EDUCATION</v>
          </cell>
          <cell r="F91" t="str">
            <v>D78</v>
          </cell>
          <cell r="H91">
            <v>0</v>
          </cell>
          <cell r="J91">
            <v>0</v>
          </cell>
          <cell r="L91">
            <v>0</v>
          </cell>
          <cell r="N91">
            <v>0</v>
          </cell>
          <cell r="O91" t="str">
            <v>PSE</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PSE</v>
          </cell>
          <cell r="CO91" t="str">
            <v>PSE</v>
          </cell>
          <cell r="CP91">
            <v>0</v>
          </cell>
          <cell r="CR91">
            <v>0</v>
          </cell>
          <cell r="CT91">
            <v>0</v>
          </cell>
          <cell r="CV91">
            <v>0</v>
          </cell>
        </row>
        <row r="92">
          <cell r="B92" t="str">
            <v>OPT</v>
          </cell>
          <cell r="D92" t="str">
            <v>OTHER THERAPIES</v>
          </cell>
          <cell r="F92" t="str">
            <v>D79</v>
          </cell>
          <cell r="H92">
            <v>0</v>
          </cell>
          <cell r="J92">
            <v>0</v>
          </cell>
          <cell r="L92">
            <v>0</v>
          </cell>
          <cell r="N92">
            <v>0</v>
          </cell>
          <cell r="O92" t="str">
            <v>OPT</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OPT</v>
          </cell>
          <cell r="CO92" t="str">
            <v>OPT</v>
          </cell>
          <cell r="CP92">
            <v>0</v>
          </cell>
          <cell r="CR92">
            <v>0</v>
          </cell>
          <cell r="CT92">
            <v>0</v>
          </cell>
          <cell r="CV92">
            <v>0</v>
          </cell>
        </row>
        <row r="93">
          <cell r="B93" t="str">
            <v>ETH</v>
          </cell>
          <cell r="D93" t="str">
            <v>ELECTROCONVULSIVE THERAPY</v>
          </cell>
          <cell r="F93" t="str">
            <v>D80</v>
          </cell>
          <cell r="H93">
            <v>0</v>
          </cell>
          <cell r="J93">
            <v>0</v>
          </cell>
          <cell r="L93">
            <v>0</v>
          </cell>
          <cell r="N93">
            <v>0</v>
          </cell>
          <cell r="O93" t="str">
            <v>ETH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ETH</v>
          </cell>
          <cell r="CO93" t="str">
            <v>ETH</v>
          </cell>
          <cell r="CP93">
            <v>0</v>
          </cell>
          <cell r="CR93">
            <v>0</v>
          </cell>
          <cell r="CT93">
            <v>0</v>
          </cell>
          <cell r="CV93">
            <v>0</v>
          </cell>
        </row>
        <row r="94">
          <cell r="B94" t="str">
            <v>ATH</v>
          </cell>
          <cell r="D94" t="str">
            <v>ACTIVITY THERAPIES</v>
          </cell>
          <cell r="F94" t="str">
            <v>D81</v>
          </cell>
          <cell r="H94">
            <v>0</v>
          </cell>
          <cell r="J94">
            <v>0</v>
          </cell>
          <cell r="L94">
            <v>0</v>
          </cell>
          <cell r="N94">
            <v>0</v>
          </cell>
          <cell r="O94" t="str">
            <v>ATH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ATH</v>
          </cell>
          <cell r="CO94" t="str">
            <v>ATH</v>
          </cell>
          <cell r="CP94">
            <v>0</v>
          </cell>
          <cell r="CR94">
            <v>0</v>
          </cell>
          <cell r="CT94">
            <v>0</v>
          </cell>
          <cell r="CV94">
            <v>0</v>
          </cell>
        </row>
        <row r="95">
          <cell r="B95" t="str">
            <v>EDP</v>
          </cell>
          <cell r="D95" t="str">
            <v>DATA PROCESSING</v>
          </cell>
          <cell r="F95" t="str">
            <v>DP1</v>
          </cell>
          <cell r="H95">
            <v>82078.977583687432</v>
          </cell>
          <cell r="J95">
            <v>12885763.25</v>
          </cell>
          <cell r="L95">
            <v>12967842.227583688</v>
          </cell>
          <cell r="N95">
            <v>0.24170673076923077</v>
          </cell>
          <cell r="O95" t="str">
            <v>EDP</v>
          </cell>
          <cell r="P95">
            <v>82.1</v>
          </cell>
          <cell r="R95">
            <v>12885.8</v>
          </cell>
          <cell r="T95">
            <v>12967.9</v>
          </cell>
          <cell r="X95">
            <v>0</v>
          </cell>
          <cell r="Z95">
            <v>0</v>
          </cell>
          <cell r="AD95">
            <v>82.1</v>
          </cell>
          <cell r="AF95">
            <v>12885.8</v>
          </cell>
          <cell r="AH95">
            <v>12967.9</v>
          </cell>
          <cell r="AJ95">
            <v>0.24170673076923077</v>
          </cell>
          <cell r="AL95">
            <v>0</v>
          </cell>
          <cell r="AN95">
            <v>0</v>
          </cell>
          <cell r="AP95">
            <v>0</v>
          </cell>
          <cell r="AR95">
            <v>0</v>
          </cell>
          <cell r="AT95">
            <v>-82.099999999999952</v>
          </cell>
          <cell r="AV95">
            <v>-12885.799999999997</v>
          </cell>
          <cell r="AX95">
            <v>-12967.899999999998</v>
          </cell>
          <cell r="AZ95">
            <v>-0.24170673076923083</v>
          </cell>
          <cell r="BB95">
            <v>0</v>
          </cell>
          <cell r="BD95">
            <v>0</v>
          </cell>
          <cell r="BF95">
            <v>0</v>
          </cell>
          <cell r="BH95">
            <v>0</v>
          </cell>
          <cell r="BN95">
            <v>0</v>
          </cell>
          <cell r="BR95">
            <v>0</v>
          </cell>
          <cell r="BT95">
            <v>0</v>
          </cell>
          <cell r="BV95">
            <v>0</v>
          </cell>
          <cell r="BX95">
            <v>0</v>
          </cell>
          <cell r="CD95">
            <v>0</v>
          </cell>
          <cell r="CG95" t="str">
            <v>EDP</v>
          </cell>
          <cell r="CO95" t="str">
            <v>EDP</v>
          </cell>
          <cell r="CP95">
            <v>0</v>
          </cell>
          <cell r="CR95">
            <v>0</v>
          </cell>
          <cell r="CT95">
            <v>0</v>
          </cell>
          <cell r="CV95">
            <v>0</v>
          </cell>
        </row>
        <row r="96">
          <cell r="B96" t="str">
            <v>AMB</v>
          </cell>
          <cell r="D96" t="str">
            <v>AMBULANCE SERVICE</v>
          </cell>
          <cell r="F96" t="str">
            <v>E1</v>
          </cell>
          <cell r="H96">
            <v>0</v>
          </cell>
          <cell r="J96">
            <v>0</v>
          </cell>
          <cell r="L96">
            <v>0</v>
          </cell>
          <cell r="N96">
            <v>0</v>
          </cell>
          <cell r="O96" t="str">
            <v>AMB</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N96">
            <v>0</v>
          </cell>
          <cell r="BR96">
            <v>0</v>
          </cell>
          <cell r="BT96">
            <v>0</v>
          </cell>
          <cell r="BV96">
            <v>0</v>
          </cell>
          <cell r="BX96">
            <v>0</v>
          </cell>
          <cell r="CB96">
            <v>0</v>
          </cell>
          <cell r="CD96">
            <v>0</v>
          </cell>
          <cell r="CG96" t="str">
            <v>AMB</v>
          </cell>
          <cell r="CH96">
            <v>0</v>
          </cell>
          <cell r="CJ96">
            <v>0</v>
          </cell>
          <cell r="CL96">
            <v>0</v>
          </cell>
          <cell r="CN96">
            <v>0</v>
          </cell>
          <cell r="CO96" t="str">
            <v>AMB</v>
          </cell>
          <cell r="CP96">
            <v>0</v>
          </cell>
          <cell r="CR96">
            <v>0</v>
          </cell>
          <cell r="CT96">
            <v>0</v>
          </cell>
          <cell r="CV96">
            <v>0</v>
          </cell>
        </row>
        <row r="97">
          <cell r="B97" t="str">
            <v>PAR</v>
          </cell>
          <cell r="D97" t="str">
            <v>PARKING</v>
          </cell>
          <cell r="F97" t="str">
            <v>E2</v>
          </cell>
          <cell r="H97">
            <v>486096.30523517111</v>
          </cell>
          <cell r="J97">
            <v>160882.76999999999</v>
          </cell>
          <cell r="L97">
            <v>646979.07523517113</v>
          </cell>
          <cell r="N97">
            <v>11.866105769230769</v>
          </cell>
          <cell r="O97" t="str">
            <v>PAR</v>
          </cell>
          <cell r="P97">
            <v>486.1</v>
          </cell>
          <cell r="R97">
            <v>160.9</v>
          </cell>
          <cell r="T97">
            <v>647</v>
          </cell>
          <cell r="AD97">
            <v>486.1</v>
          </cell>
          <cell r="AF97">
            <v>160.9</v>
          </cell>
          <cell r="AH97">
            <v>647</v>
          </cell>
          <cell r="AJ97">
            <v>11.866105769230769</v>
          </cell>
          <cell r="AL97">
            <v>0</v>
          </cell>
          <cell r="AN97">
            <v>0</v>
          </cell>
          <cell r="AP97">
            <v>0</v>
          </cell>
          <cell r="AR97">
            <v>0</v>
          </cell>
          <cell r="AT97">
            <v>0</v>
          </cell>
          <cell r="AV97">
            <v>0</v>
          </cell>
          <cell r="AX97">
            <v>0</v>
          </cell>
          <cell r="AZ97">
            <v>0</v>
          </cell>
          <cell r="BB97">
            <v>486.1</v>
          </cell>
          <cell r="BD97">
            <v>160.9</v>
          </cell>
          <cell r="BF97">
            <v>647</v>
          </cell>
          <cell r="BH97">
            <v>11.866105769230769</v>
          </cell>
          <cell r="BN97">
            <v>0</v>
          </cell>
          <cell r="BR97">
            <v>486.1</v>
          </cell>
          <cell r="BT97">
            <v>160.9</v>
          </cell>
          <cell r="BV97">
            <v>647</v>
          </cell>
          <cell r="BX97">
            <v>11.866105769230769</v>
          </cell>
          <cell r="CD97">
            <v>0</v>
          </cell>
          <cell r="CG97" t="str">
            <v>PAR</v>
          </cell>
          <cell r="CH97">
            <v>19.271425771578574</v>
          </cell>
          <cell r="CJ97">
            <v>39.247814274602433</v>
          </cell>
          <cell r="CL97">
            <v>58.519240046181011</v>
          </cell>
          <cell r="CN97">
            <v>0.16490690175280032</v>
          </cell>
          <cell r="CO97" t="str">
            <v>PAR</v>
          </cell>
          <cell r="CP97">
            <v>505.37142577157857</v>
          </cell>
          <cell r="CR97">
            <v>200.14781427460244</v>
          </cell>
          <cell r="CT97">
            <v>705.51924004618104</v>
          </cell>
          <cell r="CV97">
            <v>12.03101267098357</v>
          </cell>
        </row>
        <row r="98">
          <cell r="B98" t="str">
            <v>DPO</v>
          </cell>
          <cell r="D98" t="str">
            <v>DOCTOR PRIVATE OFFICE RENT</v>
          </cell>
          <cell r="F98" t="str">
            <v>E3</v>
          </cell>
          <cell r="H98">
            <v>0</v>
          </cell>
          <cell r="J98">
            <v>0</v>
          </cell>
          <cell r="L98">
            <v>0</v>
          </cell>
          <cell r="N98">
            <v>0</v>
          </cell>
          <cell r="O98" t="str">
            <v>DPO</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N98">
            <v>0</v>
          </cell>
          <cell r="BR98">
            <v>0</v>
          </cell>
          <cell r="BT98">
            <v>0</v>
          </cell>
          <cell r="BV98">
            <v>0</v>
          </cell>
          <cell r="BX98">
            <v>0</v>
          </cell>
          <cell r="CB98">
            <v>0</v>
          </cell>
          <cell r="CD98">
            <v>0</v>
          </cell>
          <cell r="CG98" t="str">
            <v>DPO</v>
          </cell>
          <cell r="CH98">
            <v>0</v>
          </cell>
          <cell r="CJ98">
            <v>0</v>
          </cell>
          <cell r="CL98">
            <v>0</v>
          </cell>
          <cell r="CN98">
            <v>0</v>
          </cell>
          <cell r="CO98" t="str">
            <v>DPO</v>
          </cell>
          <cell r="CP98">
            <v>0</v>
          </cell>
          <cell r="CR98">
            <v>0</v>
          </cell>
          <cell r="CT98">
            <v>0</v>
          </cell>
          <cell r="CV98">
            <v>0</v>
          </cell>
        </row>
        <row r="99">
          <cell r="B99" t="str">
            <v>OOR</v>
          </cell>
          <cell r="D99" t="str">
            <v>OFFICE &amp; OTHER RENTALS</v>
          </cell>
          <cell r="F99" t="str">
            <v>E4</v>
          </cell>
          <cell r="H99">
            <v>0</v>
          </cell>
          <cell r="J99">
            <v>774411.71</v>
          </cell>
          <cell r="L99">
            <v>774411.71</v>
          </cell>
          <cell r="N99">
            <v>0</v>
          </cell>
          <cell r="O99" t="str">
            <v>OOR</v>
          </cell>
          <cell r="P99">
            <v>0</v>
          </cell>
          <cell r="R99">
            <v>774.4</v>
          </cell>
          <cell r="T99">
            <v>774.4</v>
          </cell>
          <cell r="AD99">
            <v>0</v>
          </cell>
          <cell r="AF99">
            <v>774.4</v>
          </cell>
          <cell r="AH99">
            <v>774.4</v>
          </cell>
          <cell r="AJ99">
            <v>0</v>
          </cell>
          <cell r="AL99">
            <v>0</v>
          </cell>
          <cell r="AN99">
            <v>0</v>
          </cell>
          <cell r="AP99">
            <v>0</v>
          </cell>
          <cell r="AR99">
            <v>0</v>
          </cell>
          <cell r="AT99">
            <v>0</v>
          </cell>
          <cell r="AV99">
            <v>0</v>
          </cell>
          <cell r="AX99">
            <v>0</v>
          </cell>
          <cell r="AZ99">
            <v>0</v>
          </cell>
          <cell r="BB99">
            <v>0</v>
          </cell>
          <cell r="BD99">
            <v>774.4</v>
          </cell>
          <cell r="BF99">
            <v>774.4</v>
          </cell>
          <cell r="BH99">
            <v>0</v>
          </cell>
          <cell r="BN99">
            <v>0</v>
          </cell>
          <cell r="BR99">
            <v>0</v>
          </cell>
          <cell r="BT99">
            <v>774.4</v>
          </cell>
          <cell r="BV99">
            <v>774.4</v>
          </cell>
          <cell r="BX99">
            <v>0</v>
          </cell>
          <cell r="CB99">
            <v>0</v>
          </cell>
          <cell r="CD99">
            <v>0</v>
          </cell>
          <cell r="CG99" t="str">
            <v>OOR</v>
          </cell>
          <cell r="CH99">
            <v>0</v>
          </cell>
          <cell r="CJ99">
            <v>1186.15104</v>
          </cell>
          <cell r="CL99">
            <v>1186.15104</v>
          </cell>
          <cell r="CN99">
            <v>0</v>
          </cell>
          <cell r="CO99" t="str">
            <v>OOR</v>
          </cell>
          <cell r="CP99">
            <v>0</v>
          </cell>
          <cell r="CR99">
            <v>1960.5510399999998</v>
          </cell>
          <cell r="CT99">
            <v>1960.5510399999998</v>
          </cell>
          <cell r="CV99">
            <v>0</v>
          </cell>
        </row>
        <row r="100">
          <cell r="B100" t="str">
            <v>REO</v>
          </cell>
          <cell r="D100" t="str">
            <v>RETAIL OPERATIONS</v>
          </cell>
          <cell r="F100" t="str">
            <v>E5</v>
          </cell>
          <cell r="H100">
            <v>0</v>
          </cell>
          <cell r="J100">
            <v>0</v>
          </cell>
          <cell r="L100">
            <v>0</v>
          </cell>
          <cell r="N100">
            <v>0</v>
          </cell>
          <cell r="O100" t="str">
            <v>REO</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N100">
            <v>0</v>
          </cell>
          <cell r="BR100">
            <v>0</v>
          </cell>
          <cell r="BT100">
            <v>0</v>
          </cell>
          <cell r="BV100">
            <v>0</v>
          </cell>
          <cell r="BX100">
            <v>0</v>
          </cell>
          <cell r="CB100">
            <v>4.122E-2</v>
          </cell>
          <cell r="CD100">
            <v>4.122E-2</v>
          </cell>
          <cell r="CG100" t="str">
            <v>REO</v>
          </cell>
          <cell r="CH100">
            <v>8.5637679637801902</v>
          </cell>
          <cell r="CJ100">
            <v>77.312426376411381</v>
          </cell>
          <cell r="CL100">
            <v>85.876194340191574</v>
          </cell>
          <cell r="CN100">
            <v>0.12234994295478692</v>
          </cell>
          <cell r="CO100" t="str">
            <v>REO</v>
          </cell>
          <cell r="CP100">
            <v>8.6049879637801894</v>
          </cell>
          <cell r="CR100">
            <v>77.312426376411381</v>
          </cell>
          <cell r="CT100">
            <v>85.91741434019157</v>
          </cell>
          <cell r="CV100">
            <v>0.12234994295478692</v>
          </cell>
        </row>
        <row r="101">
          <cell r="B101" t="str">
            <v>PTE</v>
          </cell>
          <cell r="D101" t="str">
            <v>PATIENT TELEPHONE</v>
          </cell>
          <cell r="F101" t="str">
            <v>E6</v>
          </cell>
          <cell r="H101">
            <v>68259.038287212446</v>
          </cell>
          <cell r="J101">
            <v>-270.57381615598882</v>
          </cell>
          <cell r="L101">
            <v>67988.464471056461</v>
          </cell>
          <cell r="N101">
            <v>1.4653774730376399</v>
          </cell>
          <cell r="O101" t="str">
            <v>PTE</v>
          </cell>
          <cell r="P101">
            <v>68.3</v>
          </cell>
          <cell r="R101">
            <v>-0.3</v>
          </cell>
          <cell r="T101">
            <v>68</v>
          </cell>
          <cell r="AD101">
            <v>68.3</v>
          </cell>
          <cell r="AF101">
            <v>-0.3</v>
          </cell>
          <cell r="AH101">
            <v>68</v>
          </cell>
          <cell r="AJ101">
            <v>1.4653774730376399</v>
          </cell>
          <cell r="AL101">
            <v>0</v>
          </cell>
          <cell r="AN101">
            <v>0</v>
          </cell>
          <cell r="AP101">
            <v>0</v>
          </cell>
          <cell r="AR101">
            <v>0</v>
          </cell>
          <cell r="AT101">
            <v>0</v>
          </cell>
          <cell r="AV101">
            <v>0</v>
          </cell>
          <cell r="AX101">
            <v>0</v>
          </cell>
          <cell r="AZ101">
            <v>0</v>
          </cell>
          <cell r="BB101">
            <v>68.3</v>
          </cell>
          <cell r="BD101">
            <v>-0.3</v>
          </cell>
          <cell r="BF101">
            <v>68</v>
          </cell>
          <cell r="BH101">
            <v>1.4653774730376399</v>
          </cell>
          <cell r="BN101">
            <v>0</v>
          </cell>
          <cell r="BR101">
            <v>68.3</v>
          </cell>
          <cell r="BT101">
            <v>-0.3</v>
          </cell>
          <cell r="BV101">
            <v>68</v>
          </cell>
          <cell r="BX101">
            <v>1.4653774730376399</v>
          </cell>
          <cell r="CB101">
            <v>0.50116000000000005</v>
          </cell>
          <cell r="CD101">
            <v>0.50116000000000005</v>
          </cell>
          <cell r="CG101" t="str">
            <v>PTE</v>
          </cell>
          <cell r="CH101">
            <v>2.2315560482339452</v>
          </cell>
          <cell r="CJ101">
            <v>4.1927944603492264</v>
          </cell>
          <cell r="CL101">
            <v>6.4243505085831716</v>
          </cell>
          <cell r="CN101">
            <v>2.198945612038309E-2</v>
          </cell>
          <cell r="CO101" t="str">
            <v>PTE</v>
          </cell>
          <cell r="CP101">
            <v>71.032716048233937</v>
          </cell>
          <cell r="CR101">
            <v>3.8927944603492266</v>
          </cell>
          <cell r="CT101">
            <v>74.925510508583159</v>
          </cell>
          <cell r="CV101">
            <v>1.4873669291580229</v>
          </cell>
        </row>
        <row r="102">
          <cell r="B102" t="str">
            <v>CAF</v>
          </cell>
          <cell r="D102" t="str">
            <v>CAFETERIA</v>
          </cell>
          <cell r="F102" t="str">
            <v>E7</v>
          </cell>
          <cell r="H102">
            <v>0</v>
          </cell>
          <cell r="J102">
            <v>0</v>
          </cell>
          <cell r="L102">
            <v>0</v>
          </cell>
          <cell r="N102">
            <v>0</v>
          </cell>
          <cell r="O102" t="str">
            <v>CAF</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D102">
            <v>0</v>
          </cell>
          <cell r="CG102" t="str">
            <v>CAF</v>
          </cell>
          <cell r="CH102">
            <v>28.83793870258588</v>
          </cell>
          <cell r="CJ102">
            <v>260.3446312675411</v>
          </cell>
          <cell r="CL102">
            <v>289.18256997012696</v>
          </cell>
          <cell r="CN102">
            <v>0.41200557629746487</v>
          </cell>
          <cell r="CO102" t="str">
            <v>CAF</v>
          </cell>
          <cell r="CP102">
            <v>28.83793870258588</v>
          </cell>
          <cell r="CR102">
            <v>260.3446312675411</v>
          </cell>
          <cell r="CT102">
            <v>289.18256997012696</v>
          </cell>
          <cell r="CV102">
            <v>0.41200557629746487</v>
          </cell>
        </row>
        <row r="103">
          <cell r="B103" t="str">
            <v>DEB</v>
          </cell>
          <cell r="D103" t="str">
            <v>DAY CARE, REC AREAS, ECT.</v>
          </cell>
          <cell r="F103" t="str">
            <v>E8</v>
          </cell>
          <cell r="H103">
            <v>0</v>
          </cell>
          <cell r="J103">
            <v>-21914.23</v>
          </cell>
          <cell r="L103">
            <v>-21914.23</v>
          </cell>
          <cell r="N103">
            <v>0</v>
          </cell>
          <cell r="O103" t="str">
            <v>DEB</v>
          </cell>
          <cell r="P103">
            <v>0</v>
          </cell>
          <cell r="R103">
            <v>-21.9</v>
          </cell>
          <cell r="T103">
            <v>-21.9</v>
          </cell>
          <cell r="AD103">
            <v>0</v>
          </cell>
          <cell r="AF103">
            <v>-21.9</v>
          </cell>
          <cell r="AH103">
            <v>-21.9</v>
          </cell>
          <cell r="AJ103">
            <v>0</v>
          </cell>
          <cell r="AL103">
            <v>0</v>
          </cell>
          <cell r="AN103">
            <v>0</v>
          </cell>
          <cell r="AP103">
            <v>0</v>
          </cell>
          <cell r="AR103">
            <v>0</v>
          </cell>
          <cell r="AT103">
            <v>0</v>
          </cell>
          <cell r="AV103">
            <v>0</v>
          </cell>
          <cell r="AX103">
            <v>0</v>
          </cell>
          <cell r="AZ103">
            <v>0</v>
          </cell>
          <cell r="BB103">
            <v>0</v>
          </cell>
          <cell r="BD103">
            <v>-21.9</v>
          </cell>
          <cell r="BF103">
            <v>-21.9</v>
          </cell>
          <cell r="BH103">
            <v>0</v>
          </cell>
          <cell r="BN103">
            <v>0</v>
          </cell>
          <cell r="BR103">
            <v>0</v>
          </cell>
          <cell r="BT103">
            <v>-21.9</v>
          </cell>
          <cell r="BV103">
            <v>-21.9</v>
          </cell>
          <cell r="BX103">
            <v>0</v>
          </cell>
          <cell r="CD103">
            <v>0</v>
          </cell>
          <cell r="CG103" t="str">
            <v>DEB</v>
          </cell>
          <cell r="CH103">
            <v>18.874637682139213</v>
          </cell>
          <cell r="CJ103">
            <v>176.74932599240253</v>
          </cell>
          <cell r="CL103">
            <v>195.62396367454176</v>
          </cell>
          <cell r="CN103">
            <v>0.27247377462895339</v>
          </cell>
          <cell r="CO103" t="str">
            <v>DEB</v>
          </cell>
          <cell r="CP103">
            <v>18.874637682139213</v>
          </cell>
          <cell r="CR103">
            <v>154.84932599240253</v>
          </cell>
          <cell r="CT103">
            <v>173.72396367454175</v>
          </cell>
          <cell r="CV103">
            <v>0.27247377462895339</v>
          </cell>
        </row>
        <row r="104">
          <cell r="B104" t="str">
            <v>HOU</v>
          </cell>
          <cell r="D104" t="str">
            <v>HOUSING</v>
          </cell>
          <cell r="F104" t="str">
            <v>E9</v>
          </cell>
          <cell r="H104">
            <v>0</v>
          </cell>
          <cell r="J104">
            <v>0</v>
          </cell>
          <cell r="L104">
            <v>0</v>
          </cell>
          <cell r="N104">
            <v>0</v>
          </cell>
          <cell r="O104" t="str">
            <v>HOU</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D104">
            <v>0</v>
          </cell>
          <cell r="CG104" t="str">
            <v>HOU</v>
          </cell>
          <cell r="CH104">
            <v>0</v>
          </cell>
          <cell r="CJ104">
            <v>0</v>
          </cell>
          <cell r="CL104">
            <v>0</v>
          </cell>
          <cell r="CN104">
            <v>0</v>
          </cell>
          <cell r="CO104" t="str">
            <v>HOU</v>
          </cell>
          <cell r="CP104">
            <v>0</v>
          </cell>
          <cell r="CR104">
            <v>0</v>
          </cell>
          <cell r="CT104">
            <v>0</v>
          </cell>
          <cell r="CV104">
            <v>0</v>
          </cell>
        </row>
        <row r="105">
          <cell r="B105" t="str">
            <v>REG</v>
          </cell>
          <cell r="D105" t="str">
            <v>RESEARCH</v>
          </cell>
          <cell r="F105" t="str">
            <v>F1</v>
          </cell>
          <cell r="H105">
            <v>565154.40333505149</v>
          </cell>
          <cell r="J105">
            <v>50186.729999999996</v>
          </cell>
          <cell r="L105">
            <v>615341.13333505148</v>
          </cell>
          <cell r="N105">
            <v>4.6439903846153845</v>
          </cell>
          <cell r="O105" t="str">
            <v>REG</v>
          </cell>
          <cell r="P105">
            <v>565.20000000000005</v>
          </cell>
          <cell r="R105">
            <v>50.2</v>
          </cell>
          <cell r="T105">
            <v>615.40000000000009</v>
          </cell>
          <cell r="AD105">
            <v>565.20000000000005</v>
          </cell>
          <cell r="AF105">
            <v>50.2</v>
          </cell>
          <cell r="AH105">
            <v>615.40000000000009</v>
          </cell>
          <cell r="AJ105">
            <v>4.6439903846153845</v>
          </cell>
          <cell r="AL105">
            <v>0</v>
          </cell>
          <cell r="AN105">
            <v>0</v>
          </cell>
          <cell r="AP105">
            <v>0</v>
          </cell>
          <cell r="AR105">
            <v>0</v>
          </cell>
          <cell r="AT105">
            <v>0</v>
          </cell>
          <cell r="AV105">
            <v>0</v>
          </cell>
          <cell r="AX105">
            <v>0</v>
          </cell>
          <cell r="AZ105">
            <v>0</v>
          </cell>
          <cell r="BB105">
            <v>565.20000000000005</v>
          </cell>
          <cell r="BD105">
            <v>50.2</v>
          </cell>
          <cell r="BF105">
            <v>615.40000000000009</v>
          </cell>
          <cell r="BH105">
            <v>4.6439903846153845</v>
          </cell>
          <cell r="BJ105">
            <v>0</v>
          </cell>
          <cell r="BN105">
            <v>0</v>
          </cell>
          <cell r="BP105">
            <v>0</v>
          </cell>
          <cell r="BR105">
            <v>565.20000000000005</v>
          </cell>
          <cell r="BT105">
            <v>50.2</v>
          </cell>
          <cell r="BV105">
            <v>615.40000000000009</v>
          </cell>
          <cell r="BX105">
            <v>4.6439903846153845</v>
          </cell>
          <cell r="CB105">
            <v>1.6431100000000001</v>
          </cell>
          <cell r="CD105">
            <v>1.6431100000000001</v>
          </cell>
          <cell r="CG105" t="str">
            <v>REG</v>
          </cell>
          <cell r="CH105">
            <v>22.935869798338061</v>
          </cell>
          <cell r="CJ105">
            <v>39.228290726818564</v>
          </cell>
          <cell r="CL105">
            <v>62.164160525156625</v>
          </cell>
          <cell r="CN105">
            <v>0.23256895298668312</v>
          </cell>
          <cell r="CO105" t="str">
            <v>REG</v>
          </cell>
          <cell r="CP105">
            <v>589.77897979833813</v>
          </cell>
          <cell r="CR105">
            <v>89.428290726818574</v>
          </cell>
          <cell r="CT105">
            <v>679.20727052515667</v>
          </cell>
          <cell r="CV105">
            <v>4.8765593376020675</v>
          </cell>
        </row>
        <row r="106">
          <cell r="B106" t="str">
            <v>RNS</v>
          </cell>
          <cell r="D106" t="str">
            <v>NURSING EDUCATION</v>
          </cell>
          <cell r="F106" t="str">
            <v>F2</v>
          </cell>
          <cell r="H106">
            <v>0</v>
          </cell>
          <cell r="J106">
            <v>0</v>
          </cell>
          <cell r="L106">
            <v>0</v>
          </cell>
          <cell r="N106">
            <v>0</v>
          </cell>
          <cell r="O106" t="str">
            <v>RNS</v>
          </cell>
          <cell r="P106">
            <v>0</v>
          </cell>
          <cell r="R106">
            <v>0</v>
          </cell>
          <cell r="T106">
            <v>0</v>
          </cell>
          <cell r="AD106">
            <v>0</v>
          </cell>
          <cell r="AF106">
            <v>0</v>
          </cell>
          <cell r="AH106">
            <v>0</v>
          </cell>
          <cell r="AJ106">
            <v>0</v>
          </cell>
          <cell r="AL106">
            <v>0</v>
          </cell>
          <cell r="AN106">
            <v>0</v>
          </cell>
          <cell r="AP106">
            <v>0</v>
          </cell>
          <cell r="AR106">
            <v>0</v>
          </cell>
          <cell r="AT106">
            <v>0</v>
          </cell>
          <cell r="AV106">
            <v>0</v>
          </cell>
          <cell r="AX106">
            <v>0</v>
          </cell>
          <cell r="AZ106">
            <v>0</v>
          </cell>
          <cell r="BB106">
            <v>0</v>
          </cell>
          <cell r="BD106">
            <v>0</v>
          </cell>
          <cell r="BF106">
            <v>0</v>
          </cell>
          <cell r="BH106">
            <v>0</v>
          </cell>
          <cell r="BN106">
            <v>0</v>
          </cell>
          <cell r="BR106">
            <v>0</v>
          </cell>
          <cell r="BT106">
            <v>0</v>
          </cell>
          <cell r="BV106">
            <v>0</v>
          </cell>
          <cell r="BX106">
            <v>0</v>
          </cell>
          <cell r="CB106">
            <v>0</v>
          </cell>
          <cell r="CD106">
            <v>0</v>
          </cell>
          <cell r="CG106" t="str">
            <v>RNS</v>
          </cell>
          <cell r="CH106">
            <v>0</v>
          </cell>
          <cell r="CJ106">
            <v>0</v>
          </cell>
          <cell r="CL106">
            <v>0</v>
          </cell>
          <cell r="CN106">
            <v>0</v>
          </cell>
          <cell r="CO106" t="str">
            <v>RNS</v>
          </cell>
          <cell r="CP106">
            <v>0</v>
          </cell>
          <cell r="CR106">
            <v>0</v>
          </cell>
          <cell r="CT106">
            <v>0</v>
          </cell>
          <cell r="CV106">
            <v>0</v>
          </cell>
        </row>
        <row r="107">
          <cell r="B107" t="str">
            <v>OHE</v>
          </cell>
          <cell r="D107" t="str">
            <v>OTHER HEALTH PROFESSION EDUC.</v>
          </cell>
          <cell r="F107" t="str">
            <v>F3</v>
          </cell>
          <cell r="H107">
            <v>0</v>
          </cell>
          <cell r="J107">
            <v>0</v>
          </cell>
          <cell r="L107">
            <v>0</v>
          </cell>
          <cell r="N107">
            <v>0</v>
          </cell>
          <cell r="O107" t="str">
            <v>OHE</v>
          </cell>
          <cell r="P107">
            <v>0</v>
          </cell>
          <cell r="R107">
            <v>0</v>
          </cell>
          <cell r="T107">
            <v>0</v>
          </cell>
          <cell r="AD107">
            <v>0</v>
          </cell>
          <cell r="AF107">
            <v>0</v>
          </cell>
          <cell r="AH107">
            <v>0</v>
          </cell>
          <cell r="AJ107">
            <v>0</v>
          </cell>
          <cell r="AL107">
            <v>0</v>
          </cell>
          <cell r="AN107">
            <v>0</v>
          </cell>
          <cell r="AP107">
            <v>0</v>
          </cell>
          <cell r="AR107">
            <v>0</v>
          </cell>
          <cell r="AT107">
            <v>0</v>
          </cell>
          <cell r="AV107">
            <v>0</v>
          </cell>
          <cell r="AX107">
            <v>0</v>
          </cell>
          <cell r="AZ107">
            <v>0</v>
          </cell>
          <cell r="BB107">
            <v>0</v>
          </cell>
          <cell r="BD107">
            <v>0</v>
          </cell>
          <cell r="BF107">
            <v>0</v>
          </cell>
          <cell r="BH107">
            <v>0</v>
          </cell>
          <cell r="BN107">
            <v>0</v>
          </cell>
          <cell r="BR107">
            <v>0</v>
          </cell>
          <cell r="BT107">
            <v>0</v>
          </cell>
          <cell r="BV107">
            <v>0</v>
          </cell>
          <cell r="BX107">
            <v>0</v>
          </cell>
          <cell r="CB107">
            <v>0</v>
          </cell>
          <cell r="CD107">
            <v>0</v>
          </cell>
          <cell r="CG107" t="str">
            <v>OHE</v>
          </cell>
          <cell r="CH107">
            <v>0</v>
          </cell>
          <cell r="CJ107">
            <v>0</v>
          </cell>
          <cell r="CL107">
            <v>0</v>
          </cell>
          <cell r="CN107">
            <v>0</v>
          </cell>
          <cell r="CO107" t="str">
            <v>OHE</v>
          </cell>
          <cell r="CP107">
            <v>0</v>
          </cell>
          <cell r="CR107">
            <v>0</v>
          </cell>
          <cell r="CT107">
            <v>0</v>
          </cell>
          <cell r="CV107">
            <v>0</v>
          </cell>
        </row>
        <row r="108">
          <cell r="B108" t="str">
            <v>CHE</v>
          </cell>
          <cell r="D108" t="str">
            <v>COMMUNITY HEALTH EDUCATION</v>
          </cell>
          <cell r="F108" t="str">
            <v>F4</v>
          </cell>
          <cell r="H108">
            <v>941364.93419682421</v>
          </cell>
          <cell r="J108">
            <v>463924.52999999997</v>
          </cell>
          <cell r="L108">
            <v>1405289.4641968242</v>
          </cell>
          <cell r="N108">
            <v>10.088120192307693</v>
          </cell>
          <cell r="O108" t="str">
            <v>CHE</v>
          </cell>
          <cell r="P108">
            <v>941.4</v>
          </cell>
          <cell r="R108">
            <v>463.9</v>
          </cell>
          <cell r="T108">
            <v>1405.3</v>
          </cell>
          <cell r="AD108">
            <v>941.4</v>
          </cell>
          <cell r="AF108">
            <v>463.9</v>
          </cell>
          <cell r="AH108">
            <v>1405.3</v>
          </cell>
          <cell r="AJ108">
            <v>10.088120192307693</v>
          </cell>
          <cell r="AL108">
            <v>0</v>
          </cell>
          <cell r="AN108">
            <v>0</v>
          </cell>
          <cell r="AP108">
            <v>0</v>
          </cell>
          <cell r="AR108">
            <v>0</v>
          </cell>
          <cell r="AT108">
            <v>0</v>
          </cell>
          <cell r="AV108">
            <v>0</v>
          </cell>
          <cell r="AX108">
            <v>0</v>
          </cell>
          <cell r="AZ108">
            <v>0</v>
          </cell>
          <cell r="BB108">
            <v>941.4</v>
          </cell>
          <cell r="BD108">
            <v>463.9</v>
          </cell>
          <cell r="BF108">
            <v>1405.3</v>
          </cell>
          <cell r="BH108">
            <v>10.088120192307693</v>
          </cell>
          <cell r="BN108">
            <v>0</v>
          </cell>
          <cell r="BR108">
            <v>941.4</v>
          </cell>
          <cell r="BT108">
            <v>463.9</v>
          </cell>
          <cell r="BV108">
            <v>1405.3</v>
          </cell>
          <cell r="BX108">
            <v>10.088120192307693</v>
          </cell>
          <cell r="CB108">
            <v>3.6087400000000001</v>
          </cell>
          <cell r="CD108">
            <v>3.6087400000000001</v>
          </cell>
          <cell r="CG108" t="str">
            <v>CHE</v>
          </cell>
          <cell r="CH108">
            <v>57.345523873291206</v>
          </cell>
          <cell r="CJ108">
            <v>96.514096895960208</v>
          </cell>
          <cell r="CL108">
            <v>153.85962076925142</v>
          </cell>
          <cell r="CN108">
            <v>0.62217593702762719</v>
          </cell>
          <cell r="CO108" t="str">
            <v>CHE</v>
          </cell>
          <cell r="CP108">
            <v>1002.3542638732912</v>
          </cell>
          <cell r="CR108">
            <v>560.41409689596014</v>
          </cell>
          <cell r="CT108">
            <v>1562.7683607692513</v>
          </cell>
          <cell r="CV108">
            <v>10.710296129335321</v>
          </cell>
        </row>
        <row r="109">
          <cell r="B109" t="str">
            <v>FB1</v>
          </cell>
          <cell r="D109" t="str">
            <v>FRINGE BENEFITS</v>
          </cell>
          <cell r="F109" t="str">
            <v>FB1</v>
          </cell>
          <cell r="H109" t="str">
            <v>XXXXXXXXX</v>
          </cell>
          <cell r="J109" t="str">
            <v>XXXXXXXXX</v>
          </cell>
          <cell r="L109">
            <v>0</v>
          </cell>
          <cell r="N109" t="str">
            <v>XXXXXXXXX</v>
          </cell>
          <cell r="O109" t="str">
            <v>FB1</v>
          </cell>
          <cell r="P109">
            <v>0</v>
          </cell>
          <cell r="R109">
            <v>0</v>
          </cell>
          <cell r="T109">
            <v>0</v>
          </cell>
          <cell r="AD109">
            <v>0</v>
          </cell>
          <cell r="AF109">
            <v>0</v>
          </cell>
          <cell r="AH109">
            <v>0</v>
          </cell>
          <cell r="AJ109">
            <v>0</v>
          </cell>
          <cell r="AT109">
            <v>0</v>
          </cell>
          <cell r="AV109">
            <v>0</v>
          </cell>
          <cell r="AX109">
            <v>0</v>
          </cell>
          <cell r="AZ109">
            <v>0</v>
          </cell>
          <cell r="BB109">
            <v>0</v>
          </cell>
          <cell r="BD109">
            <v>0</v>
          </cell>
          <cell r="BF109">
            <v>0</v>
          </cell>
          <cell r="BH109">
            <v>0</v>
          </cell>
          <cell r="BN109">
            <v>0</v>
          </cell>
          <cell r="BR109">
            <v>0</v>
          </cell>
          <cell r="BT109">
            <v>0</v>
          </cell>
          <cell r="BV109">
            <v>0</v>
          </cell>
          <cell r="BX109">
            <v>0</v>
          </cell>
          <cell r="CD109">
            <v>0</v>
          </cell>
          <cell r="CG109" t="str">
            <v>FB1</v>
          </cell>
          <cell r="CL109">
            <v>0</v>
          </cell>
          <cell r="CO109" t="str">
            <v>FB1</v>
          </cell>
          <cell r="CP109">
            <v>0</v>
          </cell>
          <cell r="CR109">
            <v>0</v>
          </cell>
          <cell r="CT109">
            <v>0</v>
          </cell>
          <cell r="CV109">
            <v>0</v>
          </cell>
        </row>
        <row r="110">
          <cell r="B110" t="str">
            <v>MSV</v>
          </cell>
          <cell r="D110" t="str">
            <v>MEDICAL SERVICES</v>
          </cell>
          <cell r="F110" t="str">
            <v>MS1</v>
          </cell>
          <cell r="H110" t="str">
            <v>XXXXXXXXX</v>
          </cell>
          <cell r="J110" t="str">
            <v>XXXXXXXXX</v>
          </cell>
          <cell r="L110">
            <v>0</v>
          </cell>
          <cell r="N110" t="str">
            <v>XXXXXXXXX</v>
          </cell>
          <cell r="O110" t="str">
            <v>MSV</v>
          </cell>
          <cell r="P110">
            <v>0</v>
          </cell>
          <cell r="R110">
            <v>0</v>
          </cell>
          <cell r="T110">
            <v>0</v>
          </cell>
          <cell r="AD110">
            <v>0</v>
          </cell>
          <cell r="AF110">
            <v>0</v>
          </cell>
          <cell r="AH110">
            <v>0</v>
          </cell>
          <cell r="AJ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MSV</v>
          </cell>
          <cell r="CL110">
            <v>0</v>
          </cell>
          <cell r="CO110" t="str">
            <v>MSV</v>
          </cell>
          <cell r="CP110">
            <v>0</v>
          </cell>
          <cell r="CR110">
            <v>0</v>
          </cell>
          <cell r="CT110">
            <v>0</v>
          </cell>
          <cell r="CV110">
            <v>0</v>
          </cell>
        </row>
        <row r="111">
          <cell r="B111" t="str">
            <v>P1</v>
          </cell>
          <cell r="D111" t="str">
            <v>HOSPITAL BASED PHYSICIANS</v>
          </cell>
          <cell r="F111" t="str">
            <v>P01</v>
          </cell>
          <cell r="H111">
            <v>5359432</v>
          </cell>
          <cell r="J111" t="str">
            <v>XXXXXXXXX</v>
          </cell>
          <cell r="L111">
            <v>5359432</v>
          </cell>
          <cell r="N111">
            <v>22.271359199323697</v>
          </cell>
          <cell r="O111" t="str">
            <v>P1</v>
          </cell>
          <cell r="P111">
            <v>5359.4</v>
          </cell>
          <cell r="R111">
            <v>0</v>
          </cell>
          <cell r="T111">
            <v>5359.4</v>
          </cell>
          <cell r="AD111">
            <v>5359.4</v>
          </cell>
          <cell r="AF111">
            <v>0</v>
          </cell>
          <cell r="AH111">
            <v>5359.4</v>
          </cell>
          <cell r="AJ111">
            <v>22.271359199323697</v>
          </cell>
          <cell r="AT111">
            <v>0</v>
          </cell>
          <cell r="AV111">
            <v>0</v>
          </cell>
          <cell r="AX111">
            <v>0</v>
          </cell>
          <cell r="AZ111">
            <v>0</v>
          </cell>
          <cell r="BB111">
            <v>5359.4</v>
          </cell>
          <cell r="BD111">
            <v>0</v>
          </cell>
          <cell r="BF111">
            <v>5359.4</v>
          </cell>
          <cell r="BH111">
            <v>22.271359199323697</v>
          </cell>
          <cell r="BJ111">
            <v>-5359.4315237484625</v>
          </cell>
          <cell r="BN111">
            <v>-5359.4315237484625</v>
          </cell>
          <cell r="BP111">
            <v>-22.271359199323697</v>
          </cell>
          <cell r="BR111">
            <v>-3.1523748462859658E-2</v>
          </cell>
          <cell r="BT111">
            <v>0</v>
          </cell>
          <cell r="BV111">
            <v>-3.1523748462859658E-2</v>
          </cell>
          <cell r="BX111">
            <v>0</v>
          </cell>
          <cell r="CD111">
            <v>0</v>
          </cell>
          <cell r="CG111" t="str">
            <v>P1</v>
          </cell>
          <cell r="CL111">
            <v>0</v>
          </cell>
          <cell r="CO111" t="str">
            <v>P1</v>
          </cell>
          <cell r="CP111">
            <v>-3.1523748462859658E-2</v>
          </cell>
          <cell r="CR111">
            <v>0</v>
          </cell>
          <cell r="CT111">
            <v>-3.1523748462859658E-2</v>
          </cell>
          <cell r="CV111">
            <v>0</v>
          </cell>
        </row>
        <row r="112">
          <cell r="B112" t="str">
            <v>P2</v>
          </cell>
          <cell r="D112" t="str">
            <v>PHYSICIAN PART B SERVICES</v>
          </cell>
          <cell r="F112" t="str">
            <v>P02</v>
          </cell>
          <cell r="H112" t="str">
            <v>XXXXXXXXX</v>
          </cell>
          <cell r="J112" t="str">
            <v>XXXXXXXXX</v>
          </cell>
          <cell r="L112">
            <v>0</v>
          </cell>
          <cell r="N112" t="str">
            <v>XXXXXXXXX</v>
          </cell>
          <cell r="O112" t="str">
            <v>P2</v>
          </cell>
          <cell r="P112">
            <v>0</v>
          </cell>
          <cell r="R112">
            <v>0</v>
          </cell>
          <cell r="T112">
            <v>0</v>
          </cell>
          <cell r="X112">
            <v>0</v>
          </cell>
          <cell r="Z112">
            <v>0</v>
          </cell>
          <cell r="AD112">
            <v>0</v>
          </cell>
          <cell r="AF112">
            <v>0</v>
          </cell>
          <cell r="AH112">
            <v>0</v>
          </cell>
          <cell r="AJ112">
            <v>0</v>
          </cell>
          <cell r="AT112">
            <v>0</v>
          </cell>
          <cell r="AV112">
            <v>0</v>
          </cell>
          <cell r="AX112">
            <v>0</v>
          </cell>
          <cell r="AZ112">
            <v>0</v>
          </cell>
          <cell r="BB112">
            <v>0</v>
          </cell>
          <cell r="BD112">
            <v>0</v>
          </cell>
          <cell r="BF112">
            <v>0</v>
          </cell>
          <cell r="BH112">
            <v>0</v>
          </cell>
          <cell r="BJ112">
            <v>0</v>
          </cell>
          <cell r="BN112">
            <v>0</v>
          </cell>
          <cell r="BP112">
            <v>0</v>
          </cell>
          <cell r="BR112">
            <v>0</v>
          </cell>
          <cell r="BT112">
            <v>0</v>
          </cell>
          <cell r="BV112">
            <v>0</v>
          </cell>
          <cell r="BX112">
            <v>0</v>
          </cell>
          <cell r="CB112">
            <v>0</v>
          </cell>
          <cell r="CD112">
            <v>0</v>
          </cell>
          <cell r="CG112" t="str">
            <v>P2</v>
          </cell>
          <cell r="CL112">
            <v>0</v>
          </cell>
          <cell r="CO112" t="str">
            <v>P2</v>
          </cell>
          <cell r="CP112">
            <v>0</v>
          </cell>
          <cell r="CR112">
            <v>0</v>
          </cell>
          <cell r="CT112">
            <v>0</v>
          </cell>
          <cell r="CV112">
            <v>0</v>
          </cell>
        </row>
        <row r="113">
          <cell r="B113" t="str">
            <v>P3</v>
          </cell>
          <cell r="D113" t="str">
            <v>PHYSICIAN SUPPORT SERVICES</v>
          </cell>
          <cell r="F113" t="str">
            <v>P03</v>
          </cell>
          <cell r="H113">
            <v>862591</v>
          </cell>
          <cell r="J113" t="str">
            <v>XXXXXXXXX</v>
          </cell>
          <cell r="L113">
            <v>862591</v>
          </cell>
          <cell r="N113">
            <v>4.7074519230769241</v>
          </cell>
          <cell r="O113" t="str">
            <v>P3</v>
          </cell>
          <cell r="P113">
            <v>862.6</v>
          </cell>
          <cell r="R113">
            <v>0</v>
          </cell>
          <cell r="T113">
            <v>862.6</v>
          </cell>
          <cell r="AD113">
            <v>862.6</v>
          </cell>
          <cell r="AF113">
            <v>0</v>
          </cell>
          <cell r="AH113">
            <v>862.6</v>
          </cell>
          <cell r="AJ113">
            <v>4.7074519230769241</v>
          </cell>
          <cell r="AT113">
            <v>0</v>
          </cell>
          <cell r="AV113">
            <v>0</v>
          </cell>
          <cell r="AX113">
            <v>0</v>
          </cell>
          <cell r="AZ113">
            <v>0</v>
          </cell>
          <cell r="BB113">
            <v>862.6</v>
          </cell>
          <cell r="BD113">
            <v>0</v>
          </cell>
          <cell r="BF113">
            <v>862.6</v>
          </cell>
          <cell r="BH113">
            <v>4.7074519230769241</v>
          </cell>
          <cell r="BN113">
            <v>0</v>
          </cell>
          <cell r="BR113">
            <v>862.6</v>
          </cell>
          <cell r="BT113">
            <v>0</v>
          </cell>
          <cell r="BV113">
            <v>862.6</v>
          </cell>
          <cell r="BX113">
            <v>4.7074519230769241</v>
          </cell>
          <cell r="CB113">
            <v>1.5861299999999998</v>
          </cell>
          <cell r="CD113">
            <v>1.5861299999999998</v>
          </cell>
          <cell r="CG113" t="str">
            <v>P3</v>
          </cell>
          <cell r="CL113">
            <v>0</v>
          </cell>
          <cell r="CO113" t="str">
            <v>P3</v>
          </cell>
          <cell r="CP113">
            <v>864.18613000000005</v>
          </cell>
          <cell r="CR113">
            <v>0</v>
          </cell>
          <cell r="CT113">
            <v>864.18613000000005</v>
          </cell>
          <cell r="CV113">
            <v>4.7074519230769241</v>
          </cell>
        </row>
        <row r="114">
          <cell r="B114" t="str">
            <v>P4</v>
          </cell>
          <cell r="D114" t="str">
            <v>RESIDENT, INTERN SERVICES</v>
          </cell>
          <cell r="F114" t="str">
            <v>P04</v>
          </cell>
          <cell r="H114">
            <v>0</v>
          </cell>
          <cell r="J114">
            <v>0</v>
          </cell>
          <cell r="L114">
            <v>0</v>
          </cell>
          <cell r="N114">
            <v>0</v>
          </cell>
          <cell r="O114" t="str">
            <v>P4</v>
          </cell>
          <cell r="P114">
            <v>0</v>
          </cell>
          <cell r="R114">
            <v>0</v>
          </cell>
          <cell r="T114">
            <v>0</v>
          </cell>
          <cell r="AD114">
            <v>0</v>
          </cell>
          <cell r="AF114">
            <v>0</v>
          </cell>
          <cell r="AH114">
            <v>0</v>
          </cell>
          <cell r="AJ114">
            <v>0</v>
          </cell>
          <cell r="AT114">
            <v>0</v>
          </cell>
          <cell r="AV114">
            <v>0</v>
          </cell>
          <cell r="AX114">
            <v>0</v>
          </cell>
          <cell r="AZ114">
            <v>0</v>
          </cell>
          <cell r="BB114">
            <v>0</v>
          </cell>
          <cell r="BD114">
            <v>0</v>
          </cell>
          <cell r="BF114">
            <v>0</v>
          </cell>
          <cell r="BH114">
            <v>0</v>
          </cell>
          <cell r="BJ114">
            <v>0</v>
          </cell>
          <cell r="BN114">
            <v>0</v>
          </cell>
          <cell r="BP114">
            <v>0</v>
          </cell>
          <cell r="BR114">
            <v>0</v>
          </cell>
          <cell r="BT114">
            <v>0</v>
          </cell>
          <cell r="BV114">
            <v>0</v>
          </cell>
          <cell r="BX114">
            <v>0</v>
          </cell>
          <cell r="CB114">
            <v>0</v>
          </cell>
          <cell r="CD114">
            <v>0</v>
          </cell>
          <cell r="CG114" t="str">
            <v>P4</v>
          </cell>
          <cell r="CL114">
            <v>0</v>
          </cell>
          <cell r="CO114" t="str">
            <v>P4</v>
          </cell>
          <cell r="CP114">
            <v>0</v>
          </cell>
          <cell r="CR114">
            <v>0</v>
          </cell>
          <cell r="CT114">
            <v>0</v>
          </cell>
          <cell r="CV114">
            <v>0</v>
          </cell>
        </row>
        <row r="115">
          <cell r="B115" t="str">
            <v>P5</v>
          </cell>
          <cell r="D115" t="str">
            <v>RESIDENT, INTERN INELIGIBLE</v>
          </cell>
          <cell r="F115" t="str">
            <v>P05</v>
          </cell>
          <cell r="H115">
            <v>0</v>
          </cell>
          <cell r="J115">
            <v>0</v>
          </cell>
          <cell r="L115">
            <v>0</v>
          </cell>
          <cell r="N115">
            <v>0</v>
          </cell>
          <cell r="O115" t="str">
            <v>P5</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J115">
            <v>0</v>
          </cell>
          <cell r="BN115">
            <v>0</v>
          </cell>
          <cell r="BP115">
            <v>0</v>
          </cell>
          <cell r="BR115">
            <v>0</v>
          </cell>
          <cell r="BT115">
            <v>0</v>
          </cell>
          <cell r="BV115">
            <v>0</v>
          </cell>
          <cell r="BX115">
            <v>0</v>
          </cell>
          <cell r="CB115">
            <v>0</v>
          </cell>
          <cell r="CD115">
            <v>0</v>
          </cell>
          <cell r="CG115" t="str">
            <v>P5</v>
          </cell>
          <cell r="CL115">
            <v>0</v>
          </cell>
          <cell r="CO115" t="str">
            <v>P4</v>
          </cell>
          <cell r="CP115">
            <v>0</v>
          </cell>
          <cell r="CR115">
            <v>0</v>
          </cell>
          <cell r="CT115">
            <v>0</v>
          </cell>
          <cell r="CV115">
            <v>0</v>
          </cell>
        </row>
        <row r="116">
          <cell r="B116" t="str">
            <v>MAL</v>
          </cell>
          <cell r="D116" t="str">
            <v>MALPRACTICE</v>
          </cell>
          <cell r="F116" t="str">
            <v>UAMAL</v>
          </cell>
          <cell r="H116">
            <v>0</v>
          </cell>
          <cell r="J116">
            <v>5057377.09</v>
          </cell>
          <cell r="L116">
            <v>5057377.09</v>
          </cell>
          <cell r="N116">
            <v>0</v>
          </cell>
          <cell r="O116" t="str">
            <v>MAL</v>
          </cell>
          <cell r="P116">
            <v>0</v>
          </cell>
          <cell r="R116">
            <v>5057.3999999999996</v>
          </cell>
          <cell r="T116">
            <v>5057.3999999999996</v>
          </cell>
          <cell r="AD116">
            <v>0</v>
          </cell>
          <cell r="AF116">
            <v>5057.3999999999996</v>
          </cell>
          <cell r="AH116">
            <v>5057.3999999999996</v>
          </cell>
          <cell r="AJ116">
            <v>0</v>
          </cell>
          <cell r="AT116">
            <v>0</v>
          </cell>
          <cell r="AV116">
            <v>0</v>
          </cell>
          <cell r="AX116">
            <v>0</v>
          </cell>
          <cell r="AZ116">
            <v>0</v>
          </cell>
          <cell r="BB116">
            <v>0</v>
          </cell>
          <cell r="BD116">
            <v>5057.3999999999996</v>
          </cell>
          <cell r="BF116">
            <v>5057.3999999999996</v>
          </cell>
          <cell r="BH116">
            <v>0</v>
          </cell>
          <cell r="BN116">
            <v>0</v>
          </cell>
          <cell r="BR116">
            <v>0</v>
          </cell>
          <cell r="BT116">
            <v>5057.3999999999996</v>
          </cell>
          <cell r="BV116">
            <v>5057.3999999999996</v>
          </cell>
          <cell r="BX116">
            <v>0</v>
          </cell>
          <cell r="CD116">
            <v>0</v>
          </cell>
          <cell r="CG116" t="str">
            <v>MAL</v>
          </cell>
          <cell r="CH116">
            <v>0</v>
          </cell>
          <cell r="CJ116">
            <v>0</v>
          </cell>
          <cell r="CL116">
            <v>0</v>
          </cell>
          <cell r="CN116">
            <v>0</v>
          </cell>
          <cell r="CO116" t="str">
            <v>MAL</v>
          </cell>
          <cell r="CP116">
            <v>0</v>
          </cell>
          <cell r="CR116">
            <v>5057.3999999999996</v>
          </cell>
          <cell r="CT116">
            <v>5057.3999999999996</v>
          </cell>
          <cell r="CV116">
            <v>0</v>
          </cell>
        </row>
        <row r="117">
          <cell r="B117" t="str">
            <v>OIN</v>
          </cell>
          <cell r="D117" t="str">
            <v>OTHER INSURANCE</v>
          </cell>
          <cell r="F117" t="str">
            <v>UAOIN</v>
          </cell>
          <cell r="H117">
            <v>0</v>
          </cell>
          <cell r="J117">
            <v>-774575.62</v>
          </cell>
          <cell r="L117">
            <v>-774575.62</v>
          </cell>
          <cell r="N117">
            <v>0</v>
          </cell>
          <cell r="O117" t="str">
            <v>OIN</v>
          </cell>
          <cell r="P117">
            <v>0</v>
          </cell>
          <cell r="R117">
            <v>-774.6</v>
          </cell>
          <cell r="T117">
            <v>-774.6</v>
          </cell>
          <cell r="AD117">
            <v>0</v>
          </cell>
          <cell r="AF117">
            <v>-774.6</v>
          </cell>
          <cell r="AH117">
            <v>-774.6</v>
          </cell>
          <cell r="AJ117">
            <v>0</v>
          </cell>
          <cell r="AT117">
            <v>0</v>
          </cell>
          <cell r="AV117">
            <v>0</v>
          </cell>
          <cell r="AX117">
            <v>0</v>
          </cell>
          <cell r="AZ117">
            <v>0</v>
          </cell>
          <cell r="BB117">
            <v>0</v>
          </cell>
          <cell r="BD117">
            <v>-774.6</v>
          </cell>
          <cell r="BF117">
            <v>-774.6</v>
          </cell>
          <cell r="BH117">
            <v>0</v>
          </cell>
          <cell r="BN117">
            <v>0</v>
          </cell>
          <cell r="BR117">
            <v>0</v>
          </cell>
          <cell r="BT117">
            <v>-774.6</v>
          </cell>
          <cell r="BV117">
            <v>-774.6</v>
          </cell>
          <cell r="BX117">
            <v>0</v>
          </cell>
          <cell r="CD117">
            <v>0</v>
          </cell>
          <cell r="CG117" t="str">
            <v>OIN</v>
          </cell>
          <cell r="CH117">
            <v>0</v>
          </cell>
          <cell r="CJ117">
            <v>0</v>
          </cell>
          <cell r="CL117">
            <v>0</v>
          </cell>
          <cell r="CN117">
            <v>0</v>
          </cell>
          <cell r="CO117" t="str">
            <v>OIN</v>
          </cell>
          <cell r="CP117">
            <v>0</v>
          </cell>
          <cell r="CR117">
            <v>-774.6</v>
          </cell>
          <cell r="CT117">
            <v>-774.6</v>
          </cell>
          <cell r="CV117">
            <v>0</v>
          </cell>
        </row>
        <row r="118">
          <cell r="B118" t="str">
            <v>MCR</v>
          </cell>
          <cell r="D118" t="str">
            <v>MEDICAL CARE REVIEW</v>
          </cell>
          <cell r="F118" t="str">
            <v>UAMCR</v>
          </cell>
          <cell r="H118">
            <v>790885.32518091425</v>
          </cell>
          <cell r="J118">
            <v>666427.30764347233</v>
          </cell>
          <cell r="L118">
            <v>1457312.6328243865</v>
          </cell>
          <cell r="N118">
            <v>6.8294471153846148</v>
          </cell>
          <cell r="O118" t="str">
            <v>MCR</v>
          </cell>
          <cell r="P118">
            <v>790.9</v>
          </cell>
          <cell r="R118">
            <v>666.4</v>
          </cell>
          <cell r="T118">
            <v>1457.3</v>
          </cell>
          <cell r="AD118">
            <v>790.9</v>
          </cell>
          <cell r="AF118">
            <v>666.4</v>
          </cell>
          <cell r="AH118">
            <v>1457.3</v>
          </cell>
          <cell r="AJ118">
            <v>6.8294471153846148</v>
          </cell>
          <cell r="AT118">
            <v>0</v>
          </cell>
          <cell r="AV118">
            <v>0</v>
          </cell>
          <cell r="AX118">
            <v>0</v>
          </cell>
          <cell r="AZ118">
            <v>0</v>
          </cell>
          <cell r="BB118">
            <v>790.9</v>
          </cell>
          <cell r="BD118">
            <v>666.4</v>
          </cell>
          <cell r="BF118">
            <v>1457.3</v>
          </cell>
          <cell r="BH118">
            <v>6.8294471153846148</v>
          </cell>
          <cell r="BJ118">
            <v>747.69771409713201</v>
          </cell>
          <cell r="BN118">
            <v>747.69771409713201</v>
          </cell>
          <cell r="BP118">
            <v>0</v>
          </cell>
          <cell r="BR118">
            <v>1538.597714097132</v>
          </cell>
          <cell r="BT118">
            <v>666.4</v>
          </cell>
          <cell r="BV118">
            <v>2204.9977140971318</v>
          </cell>
          <cell r="BX118">
            <v>6.8294471153846148</v>
          </cell>
          <cell r="CD118">
            <v>0</v>
          </cell>
          <cell r="CG118" t="str">
            <v>MCR</v>
          </cell>
          <cell r="CH118">
            <v>0</v>
          </cell>
          <cell r="CJ118">
            <v>0</v>
          </cell>
          <cell r="CL118">
            <v>0</v>
          </cell>
          <cell r="CN118">
            <v>0</v>
          </cell>
          <cell r="CO118" t="str">
            <v>MCR</v>
          </cell>
          <cell r="CP118">
            <v>1538.597714097132</v>
          </cell>
          <cell r="CR118">
            <v>666.4</v>
          </cell>
          <cell r="CT118">
            <v>2204.9977140971318</v>
          </cell>
          <cell r="CV118">
            <v>6.8294471153846148</v>
          </cell>
        </row>
        <row r="119">
          <cell r="B119" t="str">
            <v>DEP</v>
          </cell>
          <cell r="D119" t="str">
            <v>DEPRECIATION</v>
          </cell>
          <cell r="F119" t="str">
            <v>UADEP</v>
          </cell>
          <cell r="H119">
            <v>0</v>
          </cell>
          <cell r="J119">
            <v>16047228.189999999</v>
          </cell>
          <cell r="L119">
            <v>16047228.189999999</v>
          </cell>
          <cell r="N119">
            <v>0</v>
          </cell>
          <cell r="O119" t="str">
            <v>DEP</v>
          </cell>
          <cell r="P119">
            <v>0</v>
          </cell>
          <cell r="R119">
            <v>16047.2</v>
          </cell>
          <cell r="T119">
            <v>16047.2</v>
          </cell>
          <cell r="AD119">
            <v>0</v>
          </cell>
          <cell r="AF119">
            <v>16047.2</v>
          </cell>
          <cell r="AH119">
            <v>16047.2</v>
          </cell>
          <cell r="AJ119">
            <v>0</v>
          </cell>
          <cell r="AT119">
            <v>0</v>
          </cell>
          <cell r="AV119">
            <v>0</v>
          </cell>
          <cell r="AX119">
            <v>0</v>
          </cell>
          <cell r="AZ119">
            <v>0</v>
          </cell>
          <cell r="BB119">
            <v>0</v>
          </cell>
          <cell r="BD119">
            <v>16047.2</v>
          </cell>
          <cell r="BF119">
            <v>16047.2</v>
          </cell>
          <cell r="BH119">
            <v>0</v>
          </cell>
          <cell r="BN119">
            <v>0</v>
          </cell>
          <cell r="BR119">
            <v>0</v>
          </cell>
          <cell r="BT119">
            <v>16047.2</v>
          </cell>
          <cell r="BV119">
            <v>16047.2</v>
          </cell>
          <cell r="BX119">
            <v>0</v>
          </cell>
          <cell r="CD119">
            <v>0</v>
          </cell>
          <cell r="CG119" t="str">
            <v>DEP</v>
          </cell>
          <cell r="CH119">
            <v>0</v>
          </cell>
          <cell r="CJ119">
            <v>-530.98171627943907</v>
          </cell>
          <cell r="CL119">
            <v>-530.98171627943907</v>
          </cell>
          <cell r="CN119">
            <v>0</v>
          </cell>
          <cell r="CO119" t="str">
            <v>DEP</v>
          </cell>
          <cell r="CP119">
            <v>0</v>
          </cell>
          <cell r="CR119">
            <v>15516.218283720562</v>
          </cell>
          <cell r="CT119">
            <v>15516.218283720562</v>
          </cell>
          <cell r="CV119">
            <v>0</v>
          </cell>
        </row>
        <row r="120">
          <cell r="B120" t="str">
            <v>LEA</v>
          </cell>
          <cell r="D120" t="str">
            <v>LEASES &amp; RENTALS</v>
          </cell>
          <cell r="F120" t="str">
            <v>UALEASE</v>
          </cell>
          <cell r="H120">
            <v>0</v>
          </cell>
          <cell r="J120">
            <v>2472824.7399999998</v>
          </cell>
          <cell r="L120">
            <v>2472824.7399999998</v>
          </cell>
          <cell r="N120">
            <v>0</v>
          </cell>
          <cell r="O120" t="str">
            <v>LEA</v>
          </cell>
          <cell r="P120">
            <v>0</v>
          </cell>
          <cell r="R120">
            <v>2472.8000000000002</v>
          </cell>
          <cell r="T120">
            <v>2472.8000000000002</v>
          </cell>
          <cell r="AD120">
            <v>0</v>
          </cell>
          <cell r="AF120">
            <v>2472.8000000000002</v>
          </cell>
          <cell r="AH120">
            <v>2472.8000000000002</v>
          </cell>
          <cell r="AJ120">
            <v>0</v>
          </cell>
          <cell r="AT120">
            <v>0</v>
          </cell>
          <cell r="AV120">
            <v>0</v>
          </cell>
          <cell r="AX120">
            <v>0</v>
          </cell>
          <cell r="AZ120">
            <v>0</v>
          </cell>
          <cell r="BB120">
            <v>0</v>
          </cell>
          <cell r="BD120">
            <v>2472.8000000000002</v>
          </cell>
          <cell r="BF120">
            <v>2472.8000000000002</v>
          </cell>
          <cell r="BH120">
            <v>0</v>
          </cell>
          <cell r="BN120">
            <v>0</v>
          </cell>
          <cell r="BR120">
            <v>0</v>
          </cell>
          <cell r="BT120">
            <v>2472.8000000000002</v>
          </cell>
          <cell r="BV120">
            <v>2472.8000000000002</v>
          </cell>
          <cell r="BX120">
            <v>0</v>
          </cell>
          <cell r="CD120">
            <v>0</v>
          </cell>
          <cell r="CG120" t="str">
            <v>LEA</v>
          </cell>
          <cell r="CH120">
            <v>0</v>
          </cell>
          <cell r="CJ120">
            <v>-950.61315999999999</v>
          </cell>
          <cell r="CL120">
            <v>-950.61315999999999</v>
          </cell>
          <cell r="CN120">
            <v>0</v>
          </cell>
          <cell r="CO120" t="str">
            <v>LEA</v>
          </cell>
          <cell r="CP120">
            <v>0</v>
          </cell>
          <cell r="CR120">
            <v>1522.1868400000003</v>
          </cell>
          <cell r="CT120">
            <v>1522.1868400000003</v>
          </cell>
          <cell r="CV120">
            <v>0</v>
          </cell>
        </row>
        <row r="121">
          <cell r="B121" t="str">
            <v>LIC</v>
          </cell>
          <cell r="D121" t="str">
            <v>LICENSE &amp; TAXES</v>
          </cell>
          <cell r="F121" t="str">
            <v>UALIC</v>
          </cell>
          <cell r="H121">
            <v>0</v>
          </cell>
          <cell r="J121">
            <v>522995.77999999997</v>
          </cell>
          <cell r="L121">
            <v>522995.77999999997</v>
          </cell>
          <cell r="M121" t="str">
            <v>Allocate</v>
          </cell>
          <cell r="N121">
            <v>0</v>
          </cell>
          <cell r="O121" t="str">
            <v>LIC</v>
          </cell>
          <cell r="P121">
            <v>0</v>
          </cell>
          <cell r="R121">
            <v>523</v>
          </cell>
          <cell r="T121">
            <v>523</v>
          </cell>
          <cell r="AD121">
            <v>0</v>
          </cell>
          <cell r="AF121">
            <v>523</v>
          </cell>
          <cell r="AH121">
            <v>523</v>
          </cell>
          <cell r="AJ121">
            <v>0</v>
          </cell>
          <cell r="AT121">
            <v>0</v>
          </cell>
          <cell r="AV121">
            <v>0</v>
          </cell>
          <cell r="AX121">
            <v>0</v>
          </cell>
          <cell r="AZ121">
            <v>0</v>
          </cell>
          <cell r="BB121">
            <v>0</v>
          </cell>
          <cell r="BD121">
            <v>523</v>
          </cell>
          <cell r="BF121">
            <v>523</v>
          </cell>
          <cell r="BH121">
            <v>0</v>
          </cell>
          <cell r="BN121">
            <v>0</v>
          </cell>
          <cell r="BR121">
            <v>0</v>
          </cell>
          <cell r="BT121">
            <v>523</v>
          </cell>
          <cell r="BV121">
            <v>523</v>
          </cell>
          <cell r="BX121">
            <v>0</v>
          </cell>
          <cell r="CD121">
            <v>0</v>
          </cell>
          <cell r="CG121" t="str">
            <v>LIC</v>
          </cell>
          <cell r="CH121">
            <v>0</v>
          </cell>
          <cell r="CJ121">
            <v>0</v>
          </cell>
          <cell r="CL121">
            <v>0</v>
          </cell>
          <cell r="CN121">
            <v>0</v>
          </cell>
          <cell r="CO121" t="str">
            <v>LIC</v>
          </cell>
          <cell r="CP121">
            <v>0</v>
          </cell>
          <cell r="CR121">
            <v>523</v>
          </cell>
          <cell r="CT121">
            <v>523</v>
          </cell>
          <cell r="CV121">
            <v>0</v>
          </cell>
        </row>
        <row r="122">
          <cell r="B122" t="str">
            <v>IST</v>
          </cell>
          <cell r="D122" t="str">
            <v>INTEREST SHORT TERM</v>
          </cell>
          <cell r="F122" t="str">
            <v>UAIST</v>
          </cell>
          <cell r="H122">
            <v>0</v>
          </cell>
          <cell r="J122">
            <v>0</v>
          </cell>
          <cell r="L122">
            <v>0</v>
          </cell>
          <cell r="M122" t="str">
            <v>Loss as</v>
          </cell>
          <cell r="N122">
            <v>0</v>
          </cell>
          <cell r="O122" t="str">
            <v>IST</v>
          </cell>
          <cell r="P122">
            <v>0</v>
          </cell>
          <cell r="R122">
            <v>0</v>
          </cell>
          <cell r="T122">
            <v>0</v>
          </cell>
          <cell r="AD122">
            <v>0</v>
          </cell>
          <cell r="AF122">
            <v>0</v>
          </cell>
          <cell r="AH122">
            <v>0</v>
          </cell>
          <cell r="AJ122">
            <v>0</v>
          </cell>
          <cell r="AT122">
            <v>0</v>
          </cell>
          <cell r="AV122">
            <v>0</v>
          </cell>
          <cell r="AX122">
            <v>0</v>
          </cell>
          <cell r="AZ122">
            <v>0</v>
          </cell>
          <cell r="BB122">
            <v>0</v>
          </cell>
          <cell r="BD122">
            <v>0</v>
          </cell>
          <cell r="BF122">
            <v>0</v>
          </cell>
          <cell r="BH122">
            <v>0</v>
          </cell>
          <cell r="BN122">
            <v>0</v>
          </cell>
          <cell r="BR122">
            <v>0</v>
          </cell>
          <cell r="BT122">
            <v>0</v>
          </cell>
          <cell r="BV122">
            <v>0</v>
          </cell>
          <cell r="BX122">
            <v>0</v>
          </cell>
          <cell r="CD122">
            <v>0</v>
          </cell>
          <cell r="CG122" t="str">
            <v>IST</v>
          </cell>
          <cell r="CH122">
            <v>0</v>
          </cell>
          <cell r="CJ122">
            <v>0</v>
          </cell>
          <cell r="CL122">
            <v>0</v>
          </cell>
          <cell r="CN122">
            <v>0</v>
          </cell>
          <cell r="CO122" t="str">
            <v>IST</v>
          </cell>
          <cell r="CP122">
            <v>0</v>
          </cell>
          <cell r="CR122">
            <v>0</v>
          </cell>
          <cell r="CT122">
            <v>0</v>
          </cell>
          <cell r="CV122">
            <v>0</v>
          </cell>
        </row>
        <row r="123">
          <cell r="B123" t="str">
            <v>ILT</v>
          </cell>
          <cell r="D123" t="str">
            <v>INTEREST LONG TERM</v>
          </cell>
          <cell r="F123" t="str">
            <v>UAILT</v>
          </cell>
          <cell r="H123">
            <v>0</v>
          </cell>
          <cell r="J123">
            <v>6846966.79</v>
          </cell>
          <cell r="L123">
            <v>6846966.79</v>
          </cell>
          <cell r="M123" t="str">
            <v>Fringe?</v>
          </cell>
          <cell r="N123">
            <v>0</v>
          </cell>
          <cell r="O123" t="str">
            <v>ILT</v>
          </cell>
          <cell r="P123">
            <v>0</v>
          </cell>
          <cell r="R123">
            <v>6847</v>
          </cell>
          <cell r="T123">
            <v>6847</v>
          </cell>
          <cell r="AD123">
            <v>0</v>
          </cell>
          <cell r="AF123">
            <v>6847</v>
          </cell>
          <cell r="AH123">
            <v>6847</v>
          </cell>
          <cell r="AJ123">
            <v>0</v>
          </cell>
          <cell r="AT123">
            <v>0</v>
          </cell>
          <cell r="AV123">
            <v>0</v>
          </cell>
          <cell r="AX123">
            <v>0</v>
          </cell>
          <cell r="AZ123">
            <v>0</v>
          </cell>
          <cell r="BB123">
            <v>0</v>
          </cell>
          <cell r="BD123">
            <v>6847</v>
          </cell>
          <cell r="BF123">
            <v>6847</v>
          </cell>
          <cell r="BH123">
            <v>0</v>
          </cell>
          <cell r="BN123">
            <v>0</v>
          </cell>
          <cell r="BR123">
            <v>0</v>
          </cell>
          <cell r="BT123">
            <v>6847</v>
          </cell>
          <cell r="BV123">
            <v>6847</v>
          </cell>
          <cell r="BX123">
            <v>0</v>
          </cell>
          <cell r="CD123">
            <v>0</v>
          </cell>
          <cell r="CG123" t="str">
            <v>ILT</v>
          </cell>
          <cell r="CH123">
            <v>0</v>
          </cell>
          <cell r="CJ123">
            <v>-451.33508</v>
          </cell>
          <cell r="CL123">
            <v>-451.33508</v>
          </cell>
          <cell r="CN123">
            <v>0</v>
          </cell>
          <cell r="CO123" t="str">
            <v>ILT</v>
          </cell>
          <cell r="CP123">
            <v>0</v>
          </cell>
          <cell r="CR123">
            <v>6395.6649200000002</v>
          </cell>
          <cell r="CT123">
            <v>6395.6649200000002</v>
          </cell>
          <cell r="CV123">
            <v>0</v>
          </cell>
        </row>
        <row r="124">
          <cell r="B124" t="str">
            <v>FSC1</v>
          </cell>
          <cell r="D124" t="str">
            <v>FREE STANDING CLINIC SERVICES</v>
          </cell>
          <cell r="F124" t="str">
            <v>UR1</v>
          </cell>
          <cell r="H124">
            <v>0</v>
          </cell>
          <cell r="J124">
            <v>0</v>
          </cell>
          <cell r="L124">
            <v>0</v>
          </cell>
          <cell r="M124">
            <v>1</v>
          </cell>
          <cell r="N124">
            <v>0</v>
          </cell>
          <cell r="O124" t="str">
            <v>FSC1</v>
          </cell>
          <cell r="P124">
            <v>0</v>
          </cell>
          <cell r="R124">
            <v>0</v>
          </cell>
          <cell r="T124">
            <v>0</v>
          </cell>
          <cell r="AD124">
            <v>0</v>
          </cell>
          <cell r="AF124">
            <v>0</v>
          </cell>
          <cell r="AH124">
            <v>0</v>
          </cell>
          <cell r="AJ124">
            <v>0</v>
          </cell>
          <cell r="AL124">
            <v>0</v>
          </cell>
          <cell r="AN124">
            <v>0</v>
          </cell>
          <cell r="AP124">
            <v>0</v>
          </cell>
          <cell r="AR124">
            <v>0</v>
          </cell>
          <cell r="AT124">
            <v>0</v>
          </cell>
          <cell r="AV124">
            <v>0</v>
          </cell>
          <cell r="AX124">
            <v>0</v>
          </cell>
          <cell r="AZ124">
            <v>0</v>
          </cell>
          <cell r="BB124">
            <v>0</v>
          </cell>
          <cell r="BD124">
            <v>0</v>
          </cell>
          <cell r="BF124">
            <v>0</v>
          </cell>
          <cell r="BH124">
            <v>0</v>
          </cell>
          <cell r="BN124">
            <v>0</v>
          </cell>
          <cell r="BR124">
            <v>0</v>
          </cell>
          <cell r="BT124">
            <v>0</v>
          </cell>
          <cell r="BV124">
            <v>0</v>
          </cell>
          <cell r="BX124">
            <v>0</v>
          </cell>
          <cell r="CB124">
            <v>0</v>
          </cell>
          <cell r="CD124">
            <v>0</v>
          </cell>
          <cell r="CG124" t="str">
            <v>FSC1</v>
          </cell>
          <cell r="CH124">
            <v>0</v>
          </cell>
          <cell r="CJ124">
            <v>0</v>
          </cell>
          <cell r="CL124">
            <v>0</v>
          </cell>
          <cell r="CN124">
            <v>0</v>
          </cell>
          <cell r="CO124" t="str">
            <v>FSC</v>
          </cell>
          <cell r="CP124">
            <v>0</v>
          </cell>
          <cell r="CR124">
            <v>0</v>
          </cell>
          <cell r="CT124">
            <v>0</v>
          </cell>
          <cell r="CV124">
            <v>0</v>
          </cell>
        </row>
        <row r="125">
          <cell r="B125" t="str">
            <v>HHC</v>
          </cell>
          <cell r="D125" t="str">
            <v>HOME HEALTH CARE</v>
          </cell>
          <cell r="F125" t="str">
            <v>UR2</v>
          </cell>
          <cell r="H125">
            <v>0</v>
          </cell>
          <cell r="J125">
            <v>0</v>
          </cell>
          <cell r="L125">
            <v>0</v>
          </cell>
          <cell r="M125">
            <v>1</v>
          </cell>
          <cell r="N125">
            <v>0</v>
          </cell>
          <cell r="O125" t="str">
            <v>HHC</v>
          </cell>
          <cell r="P125">
            <v>0</v>
          </cell>
          <cell r="R125">
            <v>0</v>
          </cell>
          <cell r="T125">
            <v>0</v>
          </cell>
          <cell r="AD125">
            <v>0</v>
          </cell>
          <cell r="AF125">
            <v>0</v>
          </cell>
          <cell r="AH125">
            <v>0</v>
          </cell>
          <cell r="AJ125">
            <v>0</v>
          </cell>
          <cell r="AL125">
            <v>0</v>
          </cell>
          <cell r="AN125">
            <v>0</v>
          </cell>
          <cell r="AP125">
            <v>0</v>
          </cell>
          <cell r="AR125">
            <v>0</v>
          </cell>
          <cell r="AT125">
            <v>0</v>
          </cell>
          <cell r="AV125">
            <v>0</v>
          </cell>
          <cell r="AX125">
            <v>0</v>
          </cell>
          <cell r="AZ125">
            <v>0</v>
          </cell>
          <cell r="BB125">
            <v>0</v>
          </cell>
          <cell r="BD125">
            <v>0</v>
          </cell>
          <cell r="BF125">
            <v>0</v>
          </cell>
          <cell r="BH125">
            <v>0</v>
          </cell>
          <cell r="BN125">
            <v>0</v>
          </cell>
          <cell r="BR125">
            <v>0</v>
          </cell>
          <cell r="BT125">
            <v>0</v>
          </cell>
          <cell r="BV125">
            <v>0</v>
          </cell>
          <cell r="BX125">
            <v>0</v>
          </cell>
          <cell r="CB125">
            <v>0</v>
          </cell>
          <cell r="CD125">
            <v>0</v>
          </cell>
          <cell r="CG125" t="str">
            <v>HHC</v>
          </cell>
          <cell r="CH125">
            <v>0</v>
          </cell>
          <cell r="CJ125">
            <v>0</v>
          </cell>
          <cell r="CL125">
            <v>0</v>
          </cell>
          <cell r="CN125">
            <v>0</v>
          </cell>
          <cell r="CO125" t="str">
            <v>HHC</v>
          </cell>
          <cell r="CP125">
            <v>0</v>
          </cell>
          <cell r="CR125">
            <v>0</v>
          </cell>
          <cell r="CT125">
            <v>0</v>
          </cell>
          <cell r="CV125">
            <v>0</v>
          </cell>
        </row>
        <row r="126">
          <cell r="B126" t="str">
            <v>ORD</v>
          </cell>
          <cell r="D126" t="str">
            <v>OUTPATIENT RENAL DIALYSIS</v>
          </cell>
          <cell r="F126" t="str">
            <v>UR3</v>
          </cell>
          <cell r="H126">
            <v>0</v>
          </cell>
          <cell r="J126">
            <v>0</v>
          </cell>
          <cell r="L126">
            <v>0</v>
          </cell>
          <cell r="M126">
            <v>1</v>
          </cell>
          <cell r="N126">
            <v>0</v>
          </cell>
          <cell r="O126" t="str">
            <v>ORD</v>
          </cell>
          <cell r="P126">
            <v>0</v>
          </cell>
          <cell r="R126">
            <v>0</v>
          </cell>
          <cell r="T126">
            <v>0</v>
          </cell>
          <cell r="AD126">
            <v>0</v>
          </cell>
          <cell r="AF126">
            <v>0</v>
          </cell>
          <cell r="AH126">
            <v>0</v>
          </cell>
          <cell r="AJ126">
            <v>0</v>
          </cell>
          <cell r="AL126">
            <v>0</v>
          </cell>
          <cell r="AN126">
            <v>0</v>
          </cell>
          <cell r="AP126">
            <v>0</v>
          </cell>
          <cell r="AR126">
            <v>0</v>
          </cell>
          <cell r="AT126">
            <v>0</v>
          </cell>
          <cell r="AV126">
            <v>0</v>
          </cell>
          <cell r="AX126">
            <v>0</v>
          </cell>
          <cell r="AZ126">
            <v>0</v>
          </cell>
          <cell r="BB126">
            <v>0</v>
          </cell>
          <cell r="BD126">
            <v>0</v>
          </cell>
          <cell r="BF126">
            <v>0</v>
          </cell>
          <cell r="BH126">
            <v>0</v>
          </cell>
          <cell r="BN126">
            <v>0</v>
          </cell>
          <cell r="BR126">
            <v>0</v>
          </cell>
          <cell r="BT126">
            <v>0</v>
          </cell>
          <cell r="BV126">
            <v>0</v>
          </cell>
          <cell r="BX126">
            <v>0</v>
          </cell>
          <cell r="CB126">
            <v>0</v>
          </cell>
          <cell r="CD126">
            <v>0</v>
          </cell>
          <cell r="CG126" t="str">
            <v>ORD</v>
          </cell>
          <cell r="CH126">
            <v>0</v>
          </cell>
          <cell r="CJ126">
            <v>0</v>
          </cell>
          <cell r="CL126">
            <v>0</v>
          </cell>
          <cell r="CN126">
            <v>0</v>
          </cell>
          <cell r="CO126" t="str">
            <v>ORD</v>
          </cell>
          <cell r="CP126">
            <v>0</v>
          </cell>
          <cell r="CR126">
            <v>0</v>
          </cell>
          <cell r="CT126">
            <v>0</v>
          </cell>
          <cell r="CV126">
            <v>0</v>
          </cell>
        </row>
        <row r="127">
          <cell r="B127" t="str">
            <v>ECF1</v>
          </cell>
          <cell r="D127" t="str">
            <v>SKILLED NURSING CARE</v>
          </cell>
          <cell r="F127" t="str">
            <v>UR4</v>
          </cell>
          <cell r="H127">
            <v>0</v>
          </cell>
          <cell r="J127">
            <v>0</v>
          </cell>
          <cell r="L127">
            <v>0</v>
          </cell>
          <cell r="M127">
            <v>1</v>
          </cell>
          <cell r="N127">
            <v>0</v>
          </cell>
          <cell r="O127" t="str">
            <v>ECF1</v>
          </cell>
          <cell r="P127">
            <v>0</v>
          </cell>
          <cell r="R127">
            <v>0</v>
          </cell>
          <cell r="T127">
            <v>0</v>
          </cell>
          <cell r="AD127">
            <v>0</v>
          </cell>
          <cell r="AF127">
            <v>0</v>
          </cell>
          <cell r="AH127">
            <v>0</v>
          </cell>
          <cell r="AJ127">
            <v>0</v>
          </cell>
          <cell r="AL127">
            <v>0</v>
          </cell>
          <cell r="AN127">
            <v>0</v>
          </cell>
          <cell r="AP127">
            <v>0</v>
          </cell>
          <cell r="AR127">
            <v>0</v>
          </cell>
          <cell r="AT127">
            <v>0</v>
          </cell>
          <cell r="AV127">
            <v>0</v>
          </cell>
          <cell r="AX127">
            <v>0</v>
          </cell>
          <cell r="AZ127">
            <v>0</v>
          </cell>
          <cell r="BB127">
            <v>0</v>
          </cell>
          <cell r="BD127">
            <v>0</v>
          </cell>
          <cell r="BF127">
            <v>0</v>
          </cell>
          <cell r="BH127">
            <v>0</v>
          </cell>
          <cell r="BN127">
            <v>0</v>
          </cell>
          <cell r="BR127">
            <v>0</v>
          </cell>
          <cell r="BT127">
            <v>0</v>
          </cell>
          <cell r="BV127">
            <v>0</v>
          </cell>
          <cell r="BX127">
            <v>0</v>
          </cell>
          <cell r="CB127">
            <v>0</v>
          </cell>
          <cell r="CD127">
            <v>0</v>
          </cell>
          <cell r="CG127" t="str">
            <v>ECF1</v>
          </cell>
          <cell r="CH127">
            <v>0</v>
          </cell>
          <cell r="CJ127">
            <v>0</v>
          </cell>
          <cell r="CL127">
            <v>0</v>
          </cell>
          <cell r="CN127">
            <v>0</v>
          </cell>
          <cell r="CO127" t="str">
            <v>ECF</v>
          </cell>
          <cell r="CP127">
            <v>0</v>
          </cell>
          <cell r="CR127">
            <v>0</v>
          </cell>
          <cell r="CT127">
            <v>0</v>
          </cell>
          <cell r="CV127">
            <v>0</v>
          </cell>
        </row>
        <row r="128">
          <cell r="B128" t="str">
            <v>ULB</v>
          </cell>
          <cell r="D128" t="str">
            <v>LAB NON-PATIENT</v>
          </cell>
          <cell r="F128" t="str">
            <v>UR5</v>
          </cell>
          <cell r="H128">
            <v>1831216.7467120574</v>
          </cell>
          <cell r="J128">
            <v>1222160.8968007369</v>
          </cell>
          <cell r="L128">
            <v>3053377.6435127943</v>
          </cell>
          <cell r="M128">
            <v>1</v>
          </cell>
          <cell r="N128">
            <v>26.711519786631506</v>
          </cell>
          <cell r="O128" t="str">
            <v>ULB</v>
          </cell>
          <cell r="P128">
            <v>1831.2</v>
          </cell>
          <cell r="R128">
            <v>1222.2</v>
          </cell>
          <cell r="T128">
            <v>3053.4</v>
          </cell>
          <cell r="AD128">
            <v>1831.2</v>
          </cell>
          <cell r="AF128">
            <v>1222.2</v>
          </cell>
          <cell r="AH128">
            <v>3053.4</v>
          </cell>
          <cell r="AJ128">
            <v>26.711519786631506</v>
          </cell>
          <cell r="AL128">
            <v>0</v>
          </cell>
          <cell r="AN128">
            <v>0</v>
          </cell>
          <cell r="AP128">
            <v>0</v>
          </cell>
          <cell r="AR128">
            <v>0</v>
          </cell>
          <cell r="AT128">
            <v>0</v>
          </cell>
          <cell r="AV128">
            <v>0</v>
          </cell>
          <cell r="AX128">
            <v>0</v>
          </cell>
          <cell r="AZ128">
            <v>0</v>
          </cell>
          <cell r="BB128">
            <v>1831.2</v>
          </cell>
          <cell r="BD128">
            <v>1222.2</v>
          </cell>
          <cell r="BF128">
            <v>3053.4</v>
          </cell>
          <cell r="BH128">
            <v>26.711519786631506</v>
          </cell>
          <cell r="BN128">
            <v>0</v>
          </cell>
          <cell r="BR128">
            <v>1831.2</v>
          </cell>
          <cell r="BT128">
            <v>1222.2</v>
          </cell>
          <cell r="BV128">
            <v>3053.4</v>
          </cell>
          <cell r="BX128">
            <v>26.711519786631506</v>
          </cell>
          <cell r="CB128">
            <v>9.4741199999999992</v>
          </cell>
          <cell r="CD128">
            <v>9.4741199999999992</v>
          </cell>
          <cell r="CG128" t="str">
            <v>ULB</v>
          </cell>
          <cell r="CH128">
            <v>127.59747522615247</v>
          </cell>
          <cell r="CJ128">
            <v>304.04719324633828</v>
          </cell>
          <cell r="CL128">
            <v>431.64466847249076</v>
          </cell>
          <cell r="CN128">
            <v>1.4064835934924826</v>
          </cell>
          <cell r="CO128" t="str">
            <v>ULB</v>
          </cell>
          <cell r="CP128">
            <v>1968.2715952261526</v>
          </cell>
          <cell r="CR128">
            <v>1526.2471932463384</v>
          </cell>
          <cell r="CT128">
            <v>3494.518788472491</v>
          </cell>
          <cell r="CV128">
            <v>28.118003380123987</v>
          </cell>
        </row>
        <row r="129">
          <cell r="B129" t="str">
            <v>UPB</v>
          </cell>
          <cell r="D129" t="str">
            <v>PHYSICIANS PART B SERVICES</v>
          </cell>
          <cell r="F129" t="str">
            <v>UR6</v>
          </cell>
          <cell r="H129">
            <v>9919464.8282712158</v>
          </cell>
          <cell r="J129">
            <v>7375505.9999999991</v>
          </cell>
          <cell r="L129">
            <v>17294970.828271214</v>
          </cell>
          <cell r="M129">
            <v>1</v>
          </cell>
          <cell r="N129">
            <v>33.615231201623502</v>
          </cell>
          <cell r="O129" t="str">
            <v>UPB</v>
          </cell>
          <cell r="P129">
            <v>9919.5</v>
          </cell>
          <cell r="R129">
            <v>7375.5</v>
          </cell>
          <cell r="T129">
            <v>17295</v>
          </cell>
          <cell r="X129">
            <v>0</v>
          </cell>
          <cell r="Z129">
            <v>0</v>
          </cell>
          <cell r="AD129">
            <v>9919.5</v>
          </cell>
          <cell r="AF129">
            <v>7375.5</v>
          </cell>
          <cell r="AH129">
            <v>17295</v>
          </cell>
          <cell r="AJ129">
            <v>33.615231201623502</v>
          </cell>
          <cell r="AL129">
            <v>0</v>
          </cell>
          <cell r="AN129">
            <v>0</v>
          </cell>
          <cell r="AP129">
            <v>0</v>
          </cell>
          <cell r="AR129">
            <v>0</v>
          </cell>
          <cell r="AT129">
            <v>0</v>
          </cell>
          <cell r="AV129">
            <v>0</v>
          </cell>
          <cell r="AX129">
            <v>0</v>
          </cell>
          <cell r="AZ129">
            <v>0</v>
          </cell>
          <cell r="BB129">
            <v>9919.5</v>
          </cell>
          <cell r="BD129">
            <v>7375.5</v>
          </cell>
          <cell r="BF129">
            <v>17295</v>
          </cell>
          <cell r="BH129">
            <v>33.615231201623502</v>
          </cell>
          <cell r="BN129">
            <v>0</v>
          </cell>
          <cell r="BR129">
            <v>9919.5</v>
          </cell>
          <cell r="BT129">
            <v>7375.5</v>
          </cell>
          <cell r="BV129">
            <v>17295</v>
          </cell>
          <cell r="BX129">
            <v>33.615231201623502</v>
          </cell>
          <cell r="CB129">
            <v>12.915139999999999</v>
          </cell>
          <cell r="CD129">
            <v>12.915139999999999</v>
          </cell>
          <cell r="CG129" t="str">
            <v>UPB</v>
          </cell>
          <cell r="CH129">
            <v>528.25780421869615</v>
          </cell>
          <cell r="CJ129">
            <v>1251.3219722892391</v>
          </cell>
          <cell r="CL129">
            <v>1779.5797765079351</v>
          </cell>
          <cell r="CN129">
            <v>4.7152994450136632</v>
          </cell>
          <cell r="CO129" t="str">
            <v>UPB</v>
          </cell>
          <cell r="CP129">
            <v>10460.672944218695</v>
          </cell>
          <cell r="CR129">
            <v>8626.8219722892391</v>
          </cell>
          <cell r="CT129">
            <v>19087.494916507934</v>
          </cell>
          <cell r="CV129">
            <v>38.330530646637165</v>
          </cell>
        </row>
        <row r="130">
          <cell r="B130" t="str">
            <v>CNA</v>
          </cell>
          <cell r="D130" t="str">
            <v>CERTIFIED NURSE ANESTHETIST</v>
          </cell>
          <cell r="F130" t="str">
            <v>UR7</v>
          </cell>
          <cell r="H130">
            <v>0</v>
          </cell>
          <cell r="J130">
            <v>0</v>
          </cell>
          <cell r="L130">
            <v>0</v>
          </cell>
          <cell r="M130">
            <v>1</v>
          </cell>
          <cell r="N130">
            <v>0</v>
          </cell>
          <cell r="O130" t="str">
            <v>CNA</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CNA</v>
          </cell>
          <cell r="CH130">
            <v>0</v>
          </cell>
          <cell r="CJ130">
            <v>0</v>
          </cell>
          <cell r="CL130">
            <v>0</v>
          </cell>
          <cell r="CN130">
            <v>0</v>
          </cell>
          <cell r="CO130" t="str">
            <v>UPB</v>
          </cell>
          <cell r="CP130">
            <v>0</v>
          </cell>
          <cell r="CR130">
            <v>0</v>
          </cell>
          <cell r="CT130">
            <v>0</v>
          </cell>
          <cell r="CV130">
            <v>0</v>
          </cell>
        </row>
        <row r="131">
          <cell r="B131" t="str">
            <v>PSS</v>
          </cell>
          <cell r="D131" t="str">
            <v>PHYSICIAN SUPPORT SERVICES</v>
          </cell>
          <cell r="F131" t="str">
            <v>UR8</v>
          </cell>
          <cell r="H131">
            <v>102793.8978333008</v>
          </cell>
          <cell r="J131">
            <v>0</v>
          </cell>
          <cell r="L131">
            <v>102793.8978333008</v>
          </cell>
          <cell r="M131">
            <v>1</v>
          </cell>
          <cell r="N131">
            <v>0.86612499999999992</v>
          </cell>
          <cell r="O131" t="str">
            <v>PSS</v>
          </cell>
          <cell r="P131">
            <v>102.8</v>
          </cell>
          <cell r="R131">
            <v>0</v>
          </cell>
          <cell r="T131">
            <v>102.8</v>
          </cell>
          <cell r="AD131">
            <v>102.8</v>
          </cell>
          <cell r="AF131">
            <v>0</v>
          </cell>
          <cell r="AH131">
            <v>102.8</v>
          </cell>
          <cell r="AJ131">
            <v>0.86612499999999992</v>
          </cell>
          <cell r="AL131">
            <v>0</v>
          </cell>
          <cell r="AN131">
            <v>0</v>
          </cell>
          <cell r="AP131">
            <v>0</v>
          </cell>
          <cell r="AR131">
            <v>0</v>
          </cell>
          <cell r="AT131">
            <v>0</v>
          </cell>
          <cell r="AV131">
            <v>0</v>
          </cell>
          <cell r="AX131">
            <v>0</v>
          </cell>
          <cell r="AZ131">
            <v>0</v>
          </cell>
          <cell r="BB131">
            <v>102.8</v>
          </cell>
          <cell r="BD131">
            <v>0</v>
          </cell>
          <cell r="BF131">
            <v>102.8</v>
          </cell>
          <cell r="BH131">
            <v>0.86612499999999992</v>
          </cell>
          <cell r="BN131">
            <v>0</v>
          </cell>
          <cell r="BR131">
            <v>102.8</v>
          </cell>
          <cell r="BT131">
            <v>0</v>
          </cell>
          <cell r="BV131">
            <v>102.8</v>
          </cell>
          <cell r="BX131">
            <v>0.86612499999999992</v>
          </cell>
          <cell r="CB131">
            <v>0.29182999999999998</v>
          </cell>
          <cell r="CD131">
            <v>0.29182999999999998</v>
          </cell>
          <cell r="CG131" t="str">
            <v>PSS</v>
          </cell>
          <cell r="CH131">
            <v>0</v>
          </cell>
          <cell r="CJ131">
            <v>0</v>
          </cell>
          <cell r="CL131">
            <v>0</v>
          </cell>
          <cell r="CN131">
            <v>0</v>
          </cell>
          <cell r="CO131" t="str">
            <v>UPB</v>
          </cell>
          <cell r="CP131">
            <v>103.09183</v>
          </cell>
          <cell r="CR131">
            <v>0</v>
          </cell>
          <cell r="CT131">
            <v>103.09183</v>
          </cell>
          <cell r="CV131">
            <v>0.86612499999999992</v>
          </cell>
        </row>
        <row r="132">
          <cell r="B132" t="str">
            <v>TBA2</v>
          </cell>
          <cell r="D132" t="str">
            <v>Lactation Center Program</v>
          </cell>
          <cell r="F132" t="str">
            <v>UR9</v>
          </cell>
          <cell r="H132">
            <v>158163.01300325175</v>
          </cell>
          <cell r="J132">
            <v>304.64999999999998</v>
          </cell>
          <cell r="L132">
            <v>158467.66300325174</v>
          </cell>
          <cell r="M132">
            <v>1</v>
          </cell>
          <cell r="N132">
            <v>1.5104567307692307</v>
          </cell>
          <cell r="O132" t="str">
            <v>TBA2</v>
          </cell>
          <cell r="P132">
            <v>158.19999999999999</v>
          </cell>
          <cell r="R132">
            <v>0.3</v>
          </cell>
          <cell r="T132">
            <v>158.5</v>
          </cell>
          <cell r="AD132">
            <v>158.19999999999999</v>
          </cell>
          <cell r="AF132">
            <v>0.3</v>
          </cell>
          <cell r="AH132">
            <v>158.5</v>
          </cell>
          <cell r="AJ132">
            <v>1.5104567307692307</v>
          </cell>
          <cell r="AL132">
            <v>0</v>
          </cell>
          <cell r="AN132">
            <v>0</v>
          </cell>
          <cell r="AP132">
            <v>0</v>
          </cell>
          <cell r="AR132">
            <v>0</v>
          </cell>
          <cell r="AT132">
            <v>0</v>
          </cell>
          <cell r="AV132">
            <v>0</v>
          </cell>
          <cell r="AX132">
            <v>0</v>
          </cell>
          <cell r="AZ132">
            <v>0</v>
          </cell>
          <cell r="BB132">
            <v>158.19999999999999</v>
          </cell>
          <cell r="BD132">
            <v>0.3</v>
          </cell>
          <cell r="BF132">
            <v>158.5</v>
          </cell>
          <cell r="BH132">
            <v>1.5104567307692307</v>
          </cell>
          <cell r="BN132">
            <v>0</v>
          </cell>
          <cell r="BR132">
            <v>158.19999999999999</v>
          </cell>
          <cell r="BT132">
            <v>0.3</v>
          </cell>
          <cell r="BV132">
            <v>158.5</v>
          </cell>
          <cell r="BX132">
            <v>1.5104567307692307</v>
          </cell>
          <cell r="CB132">
            <v>0.51910000000000001</v>
          </cell>
          <cell r="CD132">
            <v>0.51910000000000001</v>
          </cell>
          <cell r="CG132" t="str">
            <v>TBA2</v>
          </cell>
          <cell r="CH132">
            <v>4.1619272066854691</v>
          </cell>
          <cell r="CJ132">
            <v>19.401773259757061</v>
          </cell>
          <cell r="CL132">
            <v>23.56370046644253</v>
          </cell>
          <cell r="CN132">
            <v>3.0168527430938234E-2</v>
          </cell>
          <cell r="CO132" t="str">
            <v>UPB</v>
          </cell>
          <cell r="CP132">
            <v>162.88102720668547</v>
          </cell>
          <cell r="CR132">
            <v>19.701773259757061</v>
          </cell>
          <cell r="CT132">
            <v>182.58280046644254</v>
          </cell>
          <cell r="CV132">
            <v>1.5406252582001689</v>
          </cell>
        </row>
        <row r="133">
          <cell r="B133" t="str">
            <v>TBA3</v>
          </cell>
          <cell r="D133" t="str">
            <v>St Joseph Medical Center Foundation</v>
          </cell>
          <cell r="F133" t="str">
            <v>UR10</v>
          </cell>
          <cell r="H133">
            <v>175000</v>
          </cell>
          <cell r="J133">
            <v>447000</v>
          </cell>
          <cell r="L133">
            <v>622000</v>
          </cell>
          <cell r="M133">
            <v>1</v>
          </cell>
          <cell r="N133">
            <v>0</v>
          </cell>
          <cell r="O133" t="str">
            <v>TBA3</v>
          </cell>
          <cell r="P133">
            <v>175</v>
          </cell>
          <cell r="R133">
            <v>447</v>
          </cell>
          <cell r="T133">
            <v>622</v>
          </cell>
          <cell r="AD133">
            <v>175</v>
          </cell>
          <cell r="AF133">
            <v>447</v>
          </cell>
          <cell r="AH133">
            <v>622</v>
          </cell>
          <cell r="AJ133">
            <v>0</v>
          </cell>
          <cell r="AL133">
            <v>0</v>
          </cell>
          <cell r="AN133">
            <v>0</v>
          </cell>
          <cell r="AP133">
            <v>0</v>
          </cell>
          <cell r="AR133">
            <v>0</v>
          </cell>
          <cell r="AT133">
            <v>0</v>
          </cell>
          <cell r="AV133">
            <v>0</v>
          </cell>
          <cell r="AX133">
            <v>0</v>
          </cell>
          <cell r="AZ133">
            <v>0</v>
          </cell>
          <cell r="BB133">
            <v>175</v>
          </cell>
          <cell r="BD133">
            <v>447</v>
          </cell>
          <cell r="BF133">
            <v>622</v>
          </cell>
          <cell r="BH133">
            <v>0</v>
          </cell>
          <cell r="BN133">
            <v>0</v>
          </cell>
          <cell r="BR133">
            <v>175</v>
          </cell>
          <cell r="BT133">
            <v>447</v>
          </cell>
          <cell r="BV133">
            <v>622</v>
          </cell>
          <cell r="BX133">
            <v>0</v>
          </cell>
          <cell r="CB133">
            <v>0</v>
          </cell>
          <cell r="CD133">
            <v>0</v>
          </cell>
          <cell r="CG133" t="str">
            <v>TBA3</v>
          </cell>
          <cell r="CH133">
            <v>0</v>
          </cell>
          <cell r="CJ133">
            <v>0</v>
          </cell>
          <cell r="CL133">
            <v>0</v>
          </cell>
          <cell r="CN133">
            <v>0</v>
          </cell>
          <cell r="CO133" t="str">
            <v>UPB</v>
          </cell>
          <cell r="CP133">
            <v>175</v>
          </cell>
          <cell r="CR133">
            <v>447</v>
          </cell>
          <cell r="CT133">
            <v>622</v>
          </cell>
          <cell r="CV133">
            <v>0</v>
          </cell>
        </row>
      </sheetData>
      <sheetData sheetId="4">
        <row r="15">
          <cell r="B15" t="str">
            <v>DTY</v>
          </cell>
          <cell r="D15" t="str">
            <v>DIETARY</v>
          </cell>
          <cell r="F15" t="str">
            <v>C1</v>
          </cell>
          <cell r="H15">
            <v>0</v>
          </cell>
          <cell r="J15">
            <v>2201209.1002700003</v>
          </cell>
          <cell r="L15">
            <v>2201209.1002700003</v>
          </cell>
          <cell r="N15">
            <v>0</v>
          </cell>
          <cell r="O15" t="str">
            <v>DTY</v>
          </cell>
          <cell r="P15">
            <v>0</v>
          </cell>
          <cell r="R15">
            <v>2201.1999999999998</v>
          </cell>
          <cell r="T15">
            <v>2201.1999999999998</v>
          </cell>
          <cell r="X15">
            <v>0</v>
          </cell>
          <cell r="Z15">
            <v>0</v>
          </cell>
          <cell r="AD15">
            <v>0</v>
          </cell>
          <cell r="AF15">
            <v>2201.1999999999998</v>
          </cell>
          <cell r="AH15">
            <v>2201.1999999999998</v>
          </cell>
          <cell r="AJ15">
            <v>0</v>
          </cell>
          <cell r="AL15">
            <v>0</v>
          </cell>
          <cell r="AN15">
            <v>0</v>
          </cell>
          <cell r="AP15">
            <v>0</v>
          </cell>
          <cell r="AR15">
            <v>0</v>
          </cell>
          <cell r="AT15">
            <v>0</v>
          </cell>
          <cell r="AV15">
            <v>0</v>
          </cell>
          <cell r="AX15">
            <v>0</v>
          </cell>
          <cell r="AZ15">
            <v>0</v>
          </cell>
          <cell r="BB15">
            <v>0</v>
          </cell>
          <cell r="BD15">
            <v>2201.1999999999998</v>
          </cell>
          <cell r="BF15">
            <v>2201.1999999999998</v>
          </cell>
          <cell r="BH15">
            <v>0</v>
          </cell>
          <cell r="BN15">
            <v>0</v>
          </cell>
          <cell r="BR15">
            <v>0</v>
          </cell>
          <cell r="BT15">
            <v>2201.1999999999998</v>
          </cell>
          <cell r="BV15">
            <v>2201.1999999999998</v>
          </cell>
          <cell r="BX15">
            <v>0</v>
          </cell>
          <cell r="CB15">
            <v>0</v>
          </cell>
          <cell r="CD15">
            <v>0</v>
          </cell>
          <cell r="CG15" t="str">
            <v>DTY</v>
          </cell>
          <cell r="CH15">
            <v>0</v>
          </cell>
          <cell r="CJ15">
            <v>0</v>
          </cell>
          <cell r="CL15">
            <v>0</v>
          </cell>
          <cell r="CN15">
            <v>0</v>
          </cell>
          <cell r="CO15" t="str">
            <v>DTY</v>
          </cell>
          <cell r="CP15">
            <v>0</v>
          </cell>
          <cell r="CR15">
            <v>2201.1999999999998</v>
          </cell>
          <cell r="CT15">
            <v>2201.1999999999998</v>
          </cell>
          <cell r="CV15">
            <v>0</v>
          </cell>
        </row>
        <row r="16">
          <cell r="B16" t="str">
            <v>LL</v>
          </cell>
          <cell r="D16" t="str">
            <v>LAUNDRY &amp; LINEN</v>
          </cell>
          <cell r="F16" t="str">
            <v>C2</v>
          </cell>
          <cell r="H16">
            <v>73234.019626823399</v>
          </cell>
          <cell r="J16">
            <v>1153014.7600000005</v>
          </cell>
          <cell r="L16">
            <v>1226248.779626824</v>
          </cell>
          <cell r="N16">
            <v>2.218389423076923</v>
          </cell>
          <cell r="O16" t="str">
            <v>LL</v>
          </cell>
          <cell r="P16">
            <v>73.2</v>
          </cell>
          <cell r="R16">
            <v>1153</v>
          </cell>
          <cell r="T16">
            <v>1226.2</v>
          </cell>
          <cell r="X16">
            <v>0</v>
          </cell>
          <cell r="Z16">
            <v>0</v>
          </cell>
          <cell r="AD16">
            <v>73.2</v>
          </cell>
          <cell r="AF16">
            <v>1153</v>
          </cell>
          <cell r="AH16">
            <v>1226.2</v>
          </cell>
          <cell r="AJ16">
            <v>2.218389423076923</v>
          </cell>
          <cell r="AL16">
            <v>0</v>
          </cell>
          <cell r="AN16">
            <v>0</v>
          </cell>
          <cell r="AP16">
            <v>0</v>
          </cell>
          <cell r="AR16">
            <v>0</v>
          </cell>
          <cell r="AT16">
            <v>1.2889683394837617</v>
          </cell>
          <cell r="AV16">
            <v>23.538348933331292</v>
          </cell>
          <cell r="AX16">
            <v>24.827317272815055</v>
          </cell>
          <cell r="AZ16">
            <v>9.7112679076289416E-3</v>
          </cell>
          <cell r="BB16">
            <v>74.488968339483762</v>
          </cell>
          <cell r="BD16">
            <v>1176.5383489333312</v>
          </cell>
          <cell r="BF16">
            <v>1251.027317272815</v>
          </cell>
          <cell r="BH16">
            <v>2.2281006909845518</v>
          </cell>
          <cell r="BN16">
            <v>0</v>
          </cell>
          <cell r="BR16">
            <v>74.488968339483762</v>
          </cell>
          <cell r="BT16">
            <v>1176.5383489333312</v>
          </cell>
          <cell r="BV16">
            <v>1251.027317272815</v>
          </cell>
          <cell r="BX16">
            <v>2.2281006909845518</v>
          </cell>
          <cell r="CB16">
            <v>2.37643</v>
          </cell>
          <cell r="CD16">
            <v>2.37643</v>
          </cell>
          <cell r="CG16" t="str">
            <v>LL</v>
          </cell>
          <cell r="CH16">
            <v>-0.54807970093413816</v>
          </cell>
          <cell r="CJ16">
            <v>-8.6291041793640062</v>
          </cell>
          <cell r="CL16">
            <v>-9.1771838802981449</v>
          </cell>
          <cell r="CN16">
            <v>-1.6602314303530666E-2</v>
          </cell>
          <cell r="CO16" t="str">
            <v>LL</v>
          </cell>
          <cell r="CP16">
            <v>76.317318638549622</v>
          </cell>
          <cell r="CR16">
            <v>1167.9092447539672</v>
          </cell>
          <cell r="CT16">
            <v>1244.2265633925167</v>
          </cell>
          <cell r="CV16">
            <v>2.2114983766810212</v>
          </cell>
        </row>
        <row r="17">
          <cell r="B17" t="str">
            <v>SSS</v>
          </cell>
          <cell r="D17" t="str">
            <v>SOCIAL SERVICES</v>
          </cell>
          <cell r="F17" t="str">
            <v>C3</v>
          </cell>
          <cell r="H17">
            <v>179926.41762214981</v>
          </cell>
          <cell r="J17">
            <v>0</v>
          </cell>
          <cell r="L17">
            <v>179926.41762214981</v>
          </cell>
          <cell r="N17">
            <v>3.5681490384615384</v>
          </cell>
          <cell r="O17" t="str">
            <v>SSS</v>
          </cell>
          <cell r="P17">
            <v>179.9</v>
          </cell>
          <cell r="R17">
            <v>0</v>
          </cell>
          <cell r="T17">
            <v>179.9</v>
          </cell>
          <cell r="X17">
            <v>0</v>
          </cell>
          <cell r="Z17">
            <v>0</v>
          </cell>
          <cell r="AD17">
            <v>179.9</v>
          </cell>
          <cell r="AF17">
            <v>0</v>
          </cell>
          <cell r="AH17">
            <v>179.9</v>
          </cell>
          <cell r="AJ17">
            <v>3.5681490384615384</v>
          </cell>
          <cell r="AL17">
            <v>0</v>
          </cell>
          <cell r="AN17">
            <v>0</v>
          </cell>
          <cell r="AP17">
            <v>0</v>
          </cell>
          <cell r="AR17">
            <v>0</v>
          </cell>
          <cell r="AT17">
            <v>2.0732298366069477</v>
          </cell>
          <cell r="AV17">
            <v>37.860051188373305</v>
          </cell>
          <cell r="AX17">
            <v>39.933281024980253</v>
          </cell>
          <cell r="AZ17">
            <v>1.5620003812850431E-2</v>
          </cell>
          <cell r="BB17">
            <v>181.97322983660695</v>
          </cell>
          <cell r="BD17">
            <v>37.860051188373305</v>
          </cell>
          <cell r="BF17">
            <v>219.83328102498024</v>
          </cell>
          <cell r="BH17">
            <v>3.5837690422743886</v>
          </cell>
          <cell r="BN17">
            <v>0</v>
          </cell>
          <cell r="BR17">
            <v>181.97322983660695</v>
          </cell>
          <cell r="BT17">
            <v>37.860051188373305</v>
          </cell>
          <cell r="BV17">
            <v>219.83328102498024</v>
          </cell>
          <cell r="BX17">
            <v>3.5837690422743886</v>
          </cell>
          <cell r="CB17">
            <v>3.8510399999999998</v>
          </cell>
          <cell r="CD17">
            <v>3.8510399999999998</v>
          </cell>
          <cell r="CG17" t="str">
            <v>SSS</v>
          </cell>
          <cell r="CH17">
            <v>0</v>
          </cell>
          <cell r="CJ17">
            <v>0</v>
          </cell>
          <cell r="CL17">
            <v>0</v>
          </cell>
          <cell r="CN17">
            <v>0</v>
          </cell>
          <cell r="CO17" t="str">
            <v>SSS</v>
          </cell>
          <cell r="CP17">
            <v>185.82426983660696</v>
          </cell>
          <cell r="CR17">
            <v>37.860051188373305</v>
          </cell>
          <cell r="CT17">
            <v>223.68432102498025</v>
          </cell>
          <cell r="CV17">
            <v>3.5837690422743886</v>
          </cell>
        </row>
        <row r="18">
          <cell r="B18" t="str">
            <v>PUR</v>
          </cell>
          <cell r="D18" t="str">
            <v>PURCHASING &amp; STORES</v>
          </cell>
          <cell r="F18" t="str">
            <v>C4</v>
          </cell>
          <cell r="H18">
            <v>1121878.110068538</v>
          </cell>
          <cell r="J18">
            <v>1063265.0899999999</v>
          </cell>
          <cell r="L18">
            <v>2185143.2000685381</v>
          </cell>
          <cell r="N18">
            <v>19.05528846153846</v>
          </cell>
          <cell r="O18" t="str">
            <v>PUR</v>
          </cell>
          <cell r="P18">
            <v>1121.9000000000001</v>
          </cell>
          <cell r="R18">
            <v>1063.3</v>
          </cell>
          <cell r="T18">
            <v>2185.1999999999998</v>
          </cell>
          <cell r="X18">
            <v>0</v>
          </cell>
          <cell r="Z18">
            <v>0</v>
          </cell>
          <cell r="AD18">
            <v>1121.9000000000001</v>
          </cell>
          <cell r="AF18">
            <v>1063.3</v>
          </cell>
          <cell r="AH18">
            <v>2185.1999999999998</v>
          </cell>
          <cell r="AJ18">
            <v>19.05528846153846</v>
          </cell>
          <cell r="AL18">
            <v>0</v>
          </cell>
          <cell r="AN18">
            <v>0</v>
          </cell>
          <cell r="AP18">
            <v>0</v>
          </cell>
          <cell r="AR18">
            <v>0</v>
          </cell>
          <cell r="AT18">
            <v>11.071844857872653</v>
          </cell>
          <cell r="AV18">
            <v>202.18723735657707</v>
          </cell>
          <cell r="AX18">
            <v>213.25908221444973</v>
          </cell>
          <cell r="AZ18">
            <v>8.3416829066234627E-2</v>
          </cell>
          <cell r="BB18">
            <v>1132.9718448578728</v>
          </cell>
          <cell r="BD18">
            <v>1265.487237356577</v>
          </cell>
          <cell r="BF18">
            <v>2398.4590822144501</v>
          </cell>
          <cell r="BH18">
            <v>19.138705290604694</v>
          </cell>
          <cell r="BN18">
            <v>0</v>
          </cell>
          <cell r="BR18">
            <v>1132.9718448578728</v>
          </cell>
          <cell r="BT18">
            <v>1265.487237356577</v>
          </cell>
          <cell r="BV18">
            <v>2398.4590822144501</v>
          </cell>
          <cell r="BX18">
            <v>19.138705290604694</v>
          </cell>
          <cell r="CB18">
            <v>20.314630000000001</v>
          </cell>
          <cell r="CD18">
            <v>20.314630000000001</v>
          </cell>
          <cell r="CG18" t="str">
            <v>PUR</v>
          </cell>
          <cell r="CH18">
            <v>-13.774433101873228</v>
          </cell>
          <cell r="CJ18">
            <v>-13.054781727461879</v>
          </cell>
          <cell r="CL18">
            <v>-26.829214829335108</v>
          </cell>
          <cell r="CN18">
            <v>-0.23396106385775117</v>
          </cell>
          <cell r="CO18" t="str">
            <v>PUR</v>
          </cell>
          <cell r="CP18">
            <v>1139.5120417559997</v>
          </cell>
          <cell r="CR18">
            <v>1252.4324556291151</v>
          </cell>
          <cell r="CT18">
            <v>2391.944497385115</v>
          </cell>
          <cell r="CV18">
            <v>18.904744226746942</v>
          </cell>
        </row>
        <row r="19">
          <cell r="B19" t="str">
            <v>POP</v>
          </cell>
          <cell r="D19" t="str">
            <v>PLANT OPERATIONS</v>
          </cell>
          <cell r="F19" t="str">
            <v>C5</v>
          </cell>
          <cell r="H19">
            <v>3440727.5912054847</v>
          </cell>
          <cell r="J19">
            <v>8984783.0500000007</v>
          </cell>
          <cell r="L19">
            <v>12425510.641205486</v>
          </cell>
          <cell r="N19">
            <v>47.375480769230769</v>
          </cell>
          <cell r="O19" t="str">
            <v>POP</v>
          </cell>
          <cell r="P19">
            <v>3440.7</v>
          </cell>
          <cell r="R19">
            <v>8984.7999999999993</v>
          </cell>
          <cell r="T19">
            <v>12425.5</v>
          </cell>
          <cell r="X19">
            <v>0</v>
          </cell>
          <cell r="Z19">
            <v>0</v>
          </cell>
          <cell r="AD19">
            <v>3440.7</v>
          </cell>
          <cell r="AF19">
            <v>8984.7999999999993</v>
          </cell>
          <cell r="AH19">
            <v>12425.5</v>
          </cell>
          <cell r="AJ19">
            <v>47.375480769230769</v>
          </cell>
          <cell r="AL19">
            <v>0</v>
          </cell>
          <cell r="AN19">
            <v>0</v>
          </cell>
          <cell r="AP19">
            <v>0</v>
          </cell>
          <cell r="AR19">
            <v>0</v>
          </cell>
          <cell r="AT19">
            <v>27.526950022445543</v>
          </cell>
          <cell r="AV19">
            <v>502.68027138525196</v>
          </cell>
          <cell r="AX19">
            <v>530.20722140769749</v>
          </cell>
          <cell r="AZ19">
            <v>0.20739189486604834</v>
          </cell>
          <cell r="BB19">
            <v>3468.2269500224452</v>
          </cell>
          <cell r="BD19">
            <v>9487.4802713852514</v>
          </cell>
          <cell r="BF19">
            <v>12955.707221407696</v>
          </cell>
          <cell r="BH19">
            <v>47.582872664096818</v>
          </cell>
          <cell r="BN19">
            <v>0</v>
          </cell>
          <cell r="BR19">
            <v>3468.2269500224452</v>
          </cell>
          <cell r="BT19">
            <v>9487.4802713852514</v>
          </cell>
          <cell r="BV19">
            <v>12955.707221407696</v>
          </cell>
          <cell r="BX19">
            <v>47.582872664096818</v>
          </cell>
          <cell r="CB19">
            <v>49.958419999999997</v>
          </cell>
          <cell r="CD19">
            <v>49.958419999999997</v>
          </cell>
          <cell r="CG19" t="str">
            <v>POP</v>
          </cell>
          <cell r="CH19">
            <v>-79.286317638495262</v>
          </cell>
          <cell r="CJ19">
            <v>-207.04061682653693</v>
          </cell>
          <cell r="CL19">
            <v>-286.3269344650322</v>
          </cell>
          <cell r="CN19">
            <v>-1.0916956710396337</v>
          </cell>
          <cell r="CO19" t="str">
            <v>POP</v>
          </cell>
          <cell r="CP19">
            <v>3438.8990523839498</v>
          </cell>
          <cell r="CR19">
            <v>9280.4396545587151</v>
          </cell>
          <cell r="CT19">
            <v>12719.338706942664</v>
          </cell>
          <cell r="CV19">
            <v>46.491176993057188</v>
          </cell>
        </row>
        <row r="20">
          <cell r="B20" t="str">
            <v>HKP</v>
          </cell>
          <cell r="D20" t="str">
            <v>HOUSEKEEPING</v>
          </cell>
          <cell r="F20" t="str">
            <v>C6</v>
          </cell>
          <cell r="H20">
            <v>0</v>
          </cell>
          <cell r="J20">
            <v>4578317.57</v>
          </cell>
          <cell r="L20">
            <v>4578317.57</v>
          </cell>
          <cell r="N20">
            <v>0</v>
          </cell>
          <cell r="O20" t="str">
            <v>HKP</v>
          </cell>
          <cell r="P20">
            <v>0</v>
          </cell>
          <cell r="R20">
            <v>4578.3</v>
          </cell>
          <cell r="T20">
            <v>4578.3</v>
          </cell>
          <cell r="X20">
            <v>0</v>
          </cell>
          <cell r="Z20">
            <v>0</v>
          </cell>
          <cell r="AD20">
            <v>0</v>
          </cell>
          <cell r="AF20">
            <v>4578.3</v>
          </cell>
          <cell r="AH20">
            <v>4578.3</v>
          </cell>
          <cell r="AJ20">
            <v>0</v>
          </cell>
          <cell r="AL20">
            <v>0</v>
          </cell>
          <cell r="AN20">
            <v>0</v>
          </cell>
          <cell r="AP20">
            <v>0</v>
          </cell>
          <cell r="AR20">
            <v>0</v>
          </cell>
          <cell r="AT20">
            <v>0</v>
          </cell>
          <cell r="AV20">
            <v>0</v>
          </cell>
          <cell r="AX20">
            <v>0</v>
          </cell>
          <cell r="AZ20">
            <v>0</v>
          </cell>
          <cell r="BB20">
            <v>0</v>
          </cell>
          <cell r="BD20">
            <v>4578.3</v>
          </cell>
          <cell r="BF20">
            <v>4578.3</v>
          </cell>
          <cell r="BH20">
            <v>0</v>
          </cell>
          <cell r="BN20">
            <v>0</v>
          </cell>
          <cell r="BR20">
            <v>0</v>
          </cell>
          <cell r="BT20">
            <v>4578.3</v>
          </cell>
          <cell r="BV20">
            <v>4578.3</v>
          </cell>
          <cell r="BX20">
            <v>0</v>
          </cell>
          <cell r="CB20">
            <v>0</v>
          </cell>
          <cell r="CD20">
            <v>0</v>
          </cell>
          <cell r="CG20" t="str">
            <v>HKP</v>
          </cell>
          <cell r="CH20">
            <v>0</v>
          </cell>
          <cell r="CJ20">
            <v>-105.50034301836278</v>
          </cell>
          <cell r="CL20">
            <v>-105.50034301836278</v>
          </cell>
          <cell r="CN20">
            <v>0</v>
          </cell>
          <cell r="CO20" t="str">
            <v>HKP</v>
          </cell>
          <cell r="CP20">
            <v>0</v>
          </cell>
          <cell r="CR20">
            <v>4472.7996569816378</v>
          </cell>
          <cell r="CT20">
            <v>4472.7996569816378</v>
          </cell>
          <cell r="CV20">
            <v>0</v>
          </cell>
        </row>
        <row r="21">
          <cell r="B21" t="str">
            <v>CSS</v>
          </cell>
          <cell r="D21" t="str">
            <v>CENTRAL SVCS &amp; SUPPLY</v>
          </cell>
          <cell r="F21" t="str">
            <v>C7</v>
          </cell>
          <cell r="H21">
            <v>1339959.7625784292</v>
          </cell>
          <cell r="J21">
            <v>646039.49796472176</v>
          </cell>
          <cell r="L21">
            <v>1985999.2605431508</v>
          </cell>
          <cell r="N21">
            <v>19.986145052728745</v>
          </cell>
          <cell r="O21" t="str">
            <v>CSS</v>
          </cell>
          <cell r="P21">
            <v>1340</v>
          </cell>
          <cell r="R21">
            <v>646</v>
          </cell>
          <cell r="T21">
            <v>1986</v>
          </cell>
          <cell r="X21">
            <v>0</v>
          </cell>
          <cell r="Z21">
            <v>0</v>
          </cell>
          <cell r="AD21">
            <v>1340</v>
          </cell>
          <cell r="AF21">
            <v>646</v>
          </cell>
          <cell r="AH21">
            <v>1986</v>
          </cell>
          <cell r="AJ21">
            <v>19.986145052728745</v>
          </cell>
          <cell r="AL21">
            <v>0</v>
          </cell>
          <cell r="AN21">
            <v>0</v>
          </cell>
          <cell r="AP21">
            <v>0</v>
          </cell>
          <cell r="AR21">
            <v>0</v>
          </cell>
          <cell r="AT21">
            <v>11.612707820057111</v>
          </cell>
          <cell r="AV21">
            <v>212.06414491049867</v>
          </cell>
          <cell r="AX21">
            <v>223.67685273055577</v>
          </cell>
          <cell r="AZ21">
            <v>8.7491766336758023E-2</v>
          </cell>
          <cell r="BB21">
            <v>1351.612707820057</v>
          </cell>
          <cell r="BD21">
            <v>858.06414491049873</v>
          </cell>
          <cell r="BF21">
            <v>2209.6768527305558</v>
          </cell>
          <cell r="BH21">
            <v>20.073636819065502</v>
          </cell>
          <cell r="BN21">
            <v>0</v>
          </cell>
          <cell r="BR21">
            <v>1351.612707820057</v>
          </cell>
          <cell r="BT21">
            <v>858.06414491049873</v>
          </cell>
          <cell r="BV21">
            <v>2209.6768527305558</v>
          </cell>
          <cell r="BX21">
            <v>20.073636819065502</v>
          </cell>
          <cell r="CB21">
            <v>21.307009999999998</v>
          </cell>
          <cell r="CD21">
            <v>21.307009999999998</v>
          </cell>
          <cell r="CG21" t="str">
            <v>CSS</v>
          </cell>
          <cell r="CH21">
            <v>-16.452042288008379</v>
          </cell>
          <cell r="CJ21">
            <v>-7.9320808259100248</v>
          </cell>
          <cell r="CL21">
            <v>-24.384123113918402</v>
          </cell>
          <cell r="CN21">
            <v>-0.24539013242385854</v>
          </cell>
          <cell r="CO21" t="str">
            <v>CSS</v>
          </cell>
          <cell r="CP21">
            <v>1356.4676755320486</v>
          </cell>
          <cell r="CR21">
            <v>850.13206408458871</v>
          </cell>
          <cell r="CT21">
            <v>2206.5997396166372</v>
          </cell>
          <cell r="CV21">
            <v>19.828246686641645</v>
          </cell>
        </row>
        <row r="22">
          <cell r="B22" t="str">
            <v>PHM</v>
          </cell>
          <cell r="D22" t="str">
            <v>PHARMACY</v>
          </cell>
          <cell r="F22" t="str">
            <v>C8</v>
          </cell>
          <cell r="H22">
            <v>4225667.1858268818</v>
          </cell>
          <cell r="J22">
            <v>758591.35000000219</v>
          </cell>
          <cell r="L22">
            <v>4984258.5358268842</v>
          </cell>
          <cell r="N22">
            <v>35.348677884615384</v>
          </cell>
          <cell r="O22" t="str">
            <v>PHM</v>
          </cell>
          <cell r="P22">
            <v>4225.7</v>
          </cell>
          <cell r="R22">
            <v>758.6</v>
          </cell>
          <cell r="T22">
            <v>4984.3</v>
          </cell>
          <cell r="X22">
            <v>0</v>
          </cell>
          <cell r="Z22">
            <v>0</v>
          </cell>
          <cell r="AD22">
            <v>4225.7</v>
          </cell>
          <cell r="AF22">
            <v>758.6</v>
          </cell>
          <cell r="AH22">
            <v>4984.3</v>
          </cell>
          <cell r="AJ22">
            <v>35.348677884615384</v>
          </cell>
          <cell r="AL22">
            <v>0</v>
          </cell>
          <cell r="AN22">
            <v>0</v>
          </cell>
          <cell r="AP22">
            <v>0</v>
          </cell>
          <cell r="AR22">
            <v>0</v>
          </cell>
          <cell r="AT22">
            <v>20.538921688818</v>
          </cell>
          <cell r="AV22">
            <v>375.06918565539723</v>
          </cell>
          <cell r="AX22">
            <v>395.60810734421523</v>
          </cell>
          <cell r="AZ22">
            <v>0.15474311117199868</v>
          </cell>
          <cell r="BB22">
            <v>4246.2389216888178</v>
          </cell>
          <cell r="BD22">
            <v>1133.6691856553973</v>
          </cell>
          <cell r="BF22">
            <v>5379.9081073442148</v>
          </cell>
          <cell r="BH22">
            <v>35.50342099578738</v>
          </cell>
          <cell r="BN22">
            <v>0</v>
          </cell>
          <cell r="BR22">
            <v>4246.2389216888178</v>
          </cell>
          <cell r="BT22">
            <v>1133.6691856553973</v>
          </cell>
          <cell r="BV22">
            <v>5379.9081073442148</v>
          </cell>
          <cell r="BX22">
            <v>35.50342099578738</v>
          </cell>
          <cell r="CB22">
            <v>38.151220000000002</v>
          </cell>
          <cell r="CD22">
            <v>38.151220000000002</v>
          </cell>
          <cell r="CG22" t="str">
            <v>PHM</v>
          </cell>
          <cell r="CH22">
            <v>0</v>
          </cell>
          <cell r="CJ22">
            <v>0</v>
          </cell>
          <cell r="CL22">
            <v>0</v>
          </cell>
          <cell r="CN22">
            <v>0</v>
          </cell>
          <cell r="CO22" t="str">
            <v>PHM</v>
          </cell>
          <cell r="CP22">
            <v>4284.3901416888175</v>
          </cell>
          <cell r="CR22">
            <v>1133.6691856553973</v>
          </cell>
          <cell r="CT22">
            <v>5418.0593273442146</v>
          </cell>
          <cell r="CV22">
            <v>35.50342099578738</v>
          </cell>
        </row>
        <row r="23">
          <cell r="B23" t="str">
            <v>FIS</v>
          </cell>
          <cell r="D23" t="str">
            <v>GENERAL ACCOUNTING</v>
          </cell>
          <cell r="F23" t="str">
            <v>C9</v>
          </cell>
          <cell r="H23">
            <v>0</v>
          </cell>
          <cell r="J23">
            <v>3252093.3400000003</v>
          </cell>
          <cell r="L23">
            <v>3252093.3400000003</v>
          </cell>
          <cell r="N23">
            <v>0</v>
          </cell>
          <cell r="O23" t="str">
            <v>FIS</v>
          </cell>
          <cell r="P23">
            <v>0</v>
          </cell>
          <cell r="R23">
            <v>3252.1</v>
          </cell>
          <cell r="T23">
            <v>3252.1</v>
          </cell>
          <cell r="X23">
            <v>0</v>
          </cell>
          <cell r="Z23">
            <v>0</v>
          </cell>
          <cell r="AD23">
            <v>0</v>
          </cell>
          <cell r="AF23">
            <v>3252.1</v>
          </cell>
          <cell r="AH23">
            <v>3252.1</v>
          </cell>
          <cell r="AJ23">
            <v>0</v>
          </cell>
          <cell r="AL23">
            <v>0</v>
          </cell>
          <cell r="AN23">
            <v>0</v>
          </cell>
          <cell r="AP23">
            <v>0</v>
          </cell>
          <cell r="AR23">
            <v>0</v>
          </cell>
          <cell r="AT23">
            <v>0</v>
          </cell>
          <cell r="AV23">
            <v>0</v>
          </cell>
          <cell r="AX23">
            <v>0</v>
          </cell>
          <cell r="AZ23">
            <v>0</v>
          </cell>
          <cell r="BB23">
            <v>0</v>
          </cell>
          <cell r="BD23">
            <v>3252.1</v>
          </cell>
          <cell r="BF23">
            <v>3252.1</v>
          </cell>
          <cell r="BH23">
            <v>0</v>
          </cell>
          <cell r="BN23">
            <v>0</v>
          </cell>
          <cell r="BR23">
            <v>0</v>
          </cell>
          <cell r="BT23">
            <v>3252.1</v>
          </cell>
          <cell r="BV23">
            <v>3252.1</v>
          </cell>
          <cell r="BX23">
            <v>0</v>
          </cell>
          <cell r="CB23">
            <v>0</v>
          </cell>
          <cell r="CD23">
            <v>0</v>
          </cell>
          <cell r="CG23" t="str">
            <v>FIS</v>
          </cell>
          <cell r="CH23">
            <v>0</v>
          </cell>
          <cell r="CJ23">
            <v>-191.34004914919112</v>
          </cell>
          <cell r="CL23">
            <v>-191.34004914919112</v>
          </cell>
          <cell r="CN23">
            <v>0</v>
          </cell>
          <cell r="CO23" t="str">
            <v>FIS</v>
          </cell>
          <cell r="CP23">
            <v>0</v>
          </cell>
          <cell r="CR23">
            <v>3060.7599508508088</v>
          </cell>
          <cell r="CT23">
            <v>3060.7599508508088</v>
          </cell>
          <cell r="CV23">
            <v>0</v>
          </cell>
        </row>
        <row r="24">
          <cell r="B24" t="str">
            <v>PAC</v>
          </cell>
          <cell r="D24" t="str">
            <v>PATIENT ACCOUNTS</v>
          </cell>
          <cell r="F24" t="str">
            <v>C10</v>
          </cell>
          <cell r="H24">
            <v>1873929.687477737</v>
          </cell>
          <cell r="J24">
            <v>-25796.236345096921</v>
          </cell>
          <cell r="L24">
            <v>1848133.45113264</v>
          </cell>
          <cell r="N24">
            <v>40.132343482644323</v>
          </cell>
          <cell r="O24" t="str">
            <v>PAC</v>
          </cell>
          <cell r="P24">
            <v>1873.9</v>
          </cell>
          <cell r="R24">
            <v>-25.8</v>
          </cell>
          <cell r="T24">
            <v>1848.1000000000001</v>
          </cell>
          <cell r="X24">
            <v>0</v>
          </cell>
          <cell r="Z24">
            <v>0</v>
          </cell>
          <cell r="AD24">
            <v>1873.9</v>
          </cell>
          <cell r="AF24">
            <v>-25.8</v>
          </cell>
          <cell r="AH24">
            <v>1848.1000000000001</v>
          </cell>
          <cell r="AJ24">
            <v>40.132343482644323</v>
          </cell>
          <cell r="AL24">
            <v>0</v>
          </cell>
          <cell r="AN24">
            <v>0</v>
          </cell>
          <cell r="AP24">
            <v>0</v>
          </cell>
          <cell r="AR24">
            <v>0</v>
          </cell>
          <cell r="AT24">
            <v>23.318412718839532</v>
          </cell>
          <cell r="AV24">
            <v>425.82654541173866</v>
          </cell>
          <cell r="AX24">
            <v>449.14495813057817</v>
          </cell>
          <cell r="AZ24">
            <v>0.1756841856829531</v>
          </cell>
          <cell r="BB24">
            <v>1897.2184127188395</v>
          </cell>
          <cell r="BD24">
            <v>400.02654541173865</v>
          </cell>
          <cell r="BF24">
            <v>2297.2449581305782</v>
          </cell>
          <cell r="BH24">
            <v>40.308027668327277</v>
          </cell>
          <cell r="BN24">
            <v>0</v>
          </cell>
          <cell r="BR24">
            <v>1897.2184127188395</v>
          </cell>
          <cell r="BT24">
            <v>400.02654541173865</v>
          </cell>
          <cell r="BV24">
            <v>2297.2449581305782</v>
          </cell>
          <cell r="BX24">
            <v>40.308027668327277</v>
          </cell>
          <cell r="CB24">
            <v>42.65793</v>
          </cell>
          <cell r="CD24">
            <v>42.65793</v>
          </cell>
          <cell r="CG24" t="str">
            <v>PAC</v>
          </cell>
          <cell r="CH24">
            <v>-28.514407700141689</v>
          </cell>
          <cell r="CJ24">
            <v>0.39252507988352436</v>
          </cell>
          <cell r="CL24">
            <v>-28.121882620258166</v>
          </cell>
          <cell r="CN24">
            <v>-0.61066859214259595</v>
          </cell>
          <cell r="CO24" t="str">
            <v>PAC</v>
          </cell>
          <cell r="CP24">
            <v>1911.361935018698</v>
          </cell>
          <cell r="CR24">
            <v>400.41907049162216</v>
          </cell>
          <cell r="CT24">
            <v>2311.78100551032</v>
          </cell>
          <cell r="CV24">
            <v>39.697359076184682</v>
          </cell>
        </row>
        <row r="25">
          <cell r="B25" t="str">
            <v>MGT</v>
          </cell>
          <cell r="D25" t="str">
            <v>HOSPITAL ADMIN</v>
          </cell>
          <cell r="F25" t="str">
            <v>C11</v>
          </cell>
          <cell r="H25">
            <v>7687191.0423852671</v>
          </cell>
          <cell r="J25">
            <v>14578219.949062644</v>
          </cell>
          <cell r="L25">
            <v>22265410.991447911</v>
          </cell>
          <cell r="N25">
            <v>38.190497001621715</v>
          </cell>
          <cell r="O25" t="str">
            <v>MGT</v>
          </cell>
          <cell r="P25">
            <v>7687.2</v>
          </cell>
          <cell r="R25">
            <v>14578.2</v>
          </cell>
          <cell r="T25">
            <v>22265.4</v>
          </cell>
          <cell r="X25">
            <v>0</v>
          </cell>
          <cell r="Z25">
            <v>0</v>
          </cell>
          <cell r="AD25">
            <v>7687.2</v>
          </cell>
          <cell r="AF25">
            <v>14578.2</v>
          </cell>
          <cell r="AH25">
            <v>22265.4</v>
          </cell>
          <cell r="AJ25">
            <v>38.190497001621715</v>
          </cell>
          <cell r="AL25">
            <v>0</v>
          </cell>
          <cell r="AN25">
            <v>0</v>
          </cell>
          <cell r="AP25">
            <v>0</v>
          </cell>
          <cell r="AR25">
            <v>0</v>
          </cell>
          <cell r="AT25">
            <v>22.190126310628823</v>
          </cell>
          <cell r="AV25">
            <v>405.22247131645452</v>
          </cell>
          <cell r="AX25">
            <v>427.41259762708336</v>
          </cell>
          <cell r="AZ25">
            <v>0.16718351793881053</v>
          </cell>
          <cell r="BB25">
            <v>7709.3901263106291</v>
          </cell>
          <cell r="BD25">
            <v>14983.422471316455</v>
          </cell>
          <cell r="BF25">
            <v>22692.812597627082</v>
          </cell>
          <cell r="BH25">
            <v>38.357680519560525</v>
          </cell>
          <cell r="BN25">
            <v>0</v>
          </cell>
          <cell r="BR25">
            <v>7709.3901263106291</v>
          </cell>
          <cell r="BT25">
            <v>14983.422471316455</v>
          </cell>
          <cell r="BV25">
            <v>22692.812597627082</v>
          </cell>
          <cell r="BX25">
            <v>38.357680519560525</v>
          </cell>
          <cell r="CB25">
            <v>38.803789999999999</v>
          </cell>
          <cell r="CD25">
            <v>38.803789999999999</v>
          </cell>
          <cell r="CG25" t="str">
            <v>MGT</v>
          </cell>
          <cell r="CH25">
            <v>-452.28330127487004</v>
          </cell>
          <cell r="CJ25">
            <v>-857.72363518980819</v>
          </cell>
          <cell r="CL25">
            <v>-1310.0069364646783</v>
          </cell>
          <cell r="CN25">
            <v>-2.2469747357627607</v>
          </cell>
          <cell r="CO25" t="str">
            <v>MGT</v>
          </cell>
          <cell r="CP25">
            <v>7295.9106150357593</v>
          </cell>
          <cell r="CR25">
            <v>14125.698836126647</v>
          </cell>
          <cell r="CT25">
            <v>21421.609451162407</v>
          </cell>
          <cell r="CV25">
            <v>36.110705783797762</v>
          </cell>
        </row>
        <row r="26">
          <cell r="B26" t="str">
            <v>MRD</v>
          </cell>
          <cell r="D26" t="str">
            <v>MEDICAL RECORDS</v>
          </cell>
          <cell r="F26" t="str">
            <v>C12</v>
          </cell>
          <cell r="H26">
            <v>2090921.0316197299</v>
          </cell>
          <cell r="J26">
            <v>1685253.22</v>
          </cell>
          <cell r="L26">
            <v>3776174.2516197301</v>
          </cell>
          <cell r="N26">
            <v>29.526322115384616</v>
          </cell>
          <cell r="O26" t="str">
            <v>MRD</v>
          </cell>
          <cell r="P26">
            <v>2090.9</v>
          </cell>
          <cell r="R26">
            <v>1685.3</v>
          </cell>
          <cell r="T26">
            <v>3776.2</v>
          </cell>
          <cell r="X26">
            <v>0</v>
          </cell>
          <cell r="Z26">
            <v>0</v>
          </cell>
          <cell r="AD26">
            <v>2090.9</v>
          </cell>
          <cell r="AF26">
            <v>1685.3</v>
          </cell>
          <cell r="AH26">
            <v>3776.2</v>
          </cell>
          <cell r="AJ26">
            <v>29.526322115384616</v>
          </cell>
          <cell r="AL26">
            <v>0</v>
          </cell>
          <cell r="AN26">
            <v>0</v>
          </cell>
          <cell r="AP26">
            <v>0</v>
          </cell>
          <cell r="AR26">
            <v>0</v>
          </cell>
          <cell r="AT26">
            <v>17.155912299357503</v>
          </cell>
          <cell r="AV26">
            <v>313.29074392443152</v>
          </cell>
          <cell r="AX26">
            <v>330.44665622378903</v>
          </cell>
          <cell r="AZ26">
            <v>0.12925504485670578</v>
          </cell>
          <cell r="BB26">
            <v>2108.0559122993577</v>
          </cell>
          <cell r="BD26">
            <v>1998.5907439244315</v>
          </cell>
          <cell r="BF26">
            <v>4106.6466562237893</v>
          </cell>
          <cell r="BH26">
            <v>29.655577160241322</v>
          </cell>
          <cell r="BN26">
            <v>0</v>
          </cell>
          <cell r="BR26">
            <v>2108.0559122993577</v>
          </cell>
          <cell r="BT26">
            <v>1998.5907439244315</v>
          </cell>
          <cell r="BV26">
            <v>4106.6466562237893</v>
          </cell>
          <cell r="BX26">
            <v>29.655577160241322</v>
          </cell>
          <cell r="CB26">
            <v>31.867249999999999</v>
          </cell>
          <cell r="CD26">
            <v>31.867249999999999</v>
          </cell>
          <cell r="CG26" t="str">
            <v>MRD</v>
          </cell>
          <cell r="CH26">
            <v>0</v>
          </cell>
          <cell r="CJ26">
            <v>0</v>
          </cell>
          <cell r="CL26">
            <v>0</v>
          </cell>
          <cell r="CN26">
            <v>0</v>
          </cell>
          <cell r="CO26" t="str">
            <v>MRD</v>
          </cell>
          <cell r="CP26">
            <v>2139.9231622993575</v>
          </cell>
          <cell r="CR26">
            <v>1998.5907439244315</v>
          </cell>
          <cell r="CT26">
            <v>4138.5139062237886</v>
          </cell>
          <cell r="CV26">
            <v>29.655577160241322</v>
          </cell>
        </row>
        <row r="27">
          <cell r="B27" t="str">
            <v>MSA</v>
          </cell>
          <cell r="D27" t="str">
            <v>MEDICAL STAFF ADMIN</v>
          </cell>
          <cell r="F27" t="str">
            <v>C13</v>
          </cell>
          <cell r="H27">
            <v>937182.89147029386</v>
          </cell>
          <cell r="J27">
            <v>404498.8</v>
          </cell>
          <cell r="L27">
            <v>1341681.6914702938</v>
          </cell>
          <cell r="N27">
            <v>9.3454326923076927</v>
          </cell>
          <cell r="O27" t="str">
            <v>MSA</v>
          </cell>
          <cell r="P27">
            <v>937.2</v>
          </cell>
          <cell r="R27">
            <v>404.5</v>
          </cell>
          <cell r="T27">
            <v>1341.7</v>
          </cell>
          <cell r="X27">
            <v>0</v>
          </cell>
          <cell r="Z27">
            <v>0</v>
          </cell>
          <cell r="AD27">
            <v>937.2</v>
          </cell>
          <cell r="AF27">
            <v>404.5</v>
          </cell>
          <cell r="AH27">
            <v>1341.7</v>
          </cell>
          <cell r="AJ27">
            <v>9.3454326923076927</v>
          </cell>
          <cell r="AL27">
            <v>0</v>
          </cell>
          <cell r="AN27">
            <v>0</v>
          </cell>
          <cell r="AP27">
            <v>0</v>
          </cell>
          <cell r="AR27">
            <v>0</v>
          </cell>
          <cell r="AT27">
            <v>5.4300506186390214</v>
          </cell>
          <cell r="AV27">
            <v>99.16025263922856</v>
          </cell>
          <cell r="AX27">
            <v>104.59030325786757</v>
          </cell>
          <cell r="AZ27">
            <v>4.0910761493730338E-2</v>
          </cell>
          <cell r="BB27">
            <v>942.63005061863907</v>
          </cell>
          <cell r="BD27">
            <v>503.66025263922859</v>
          </cell>
          <cell r="BF27">
            <v>1446.2903032578677</v>
          </cell>
          <cell r="BH27">
            <v>9.3863434538014232</v>
          </cell>
          <cell r="BJ27">
            <v>0</v>
          </cell>
          <cell r="BN27">
            <v>0</v>
          </cell>
          <cell r="BP27">
            <v>2.0566958907798036</v>
          </cell>
          <cell r="BR27">
            <v>942.63005061863907</v>
          </cell>
          <cell r="BT27">
            <v>503.66025263922859</v>
          </cell>
          <cell r="BV27">
            <v>1446.2903032578677</v>
          </cell>
          <cell r="BX27">
            <v>11.443039344581226</v>
          </cell>
          <cell r="CB27">
            <v>11.73522</v>
          </cell>
          <cell r="CD27">
            <v>11.73522</v>
          </cell>
          <cell r="CG27" t="str">
            <v>MSA</v>
          </cell>
          <cell r="CH27">
            <v>-52.375288644118413</v>
          </cell>
          <cell r="CJ27">
            <v>-22.605770548118308</v>
          </cell>
          <cell r="CL27">
            <v>-74.981059192236728</v>
          </cell>
          <cell r="CN27">
            <v>-0.52227771037934156</v>
          </cell>
          <cell r="CO27" t="str">
            <v>MSA</v>
          </cell>
          <cell r="CP27">
            <v>901.98998197452067</v>
          </cell>
          <cell r="CR27">
            <v>481.05448209111029</v>
          </cell>
          <cell r="CT27">
            <v>1383.044464065631</v>
          </cell>
          <cell r="CV27">
            <v>10.920761634201885</v>
          </cell>
        </row>
        <row r="28">
          <cell r="B28" t="str">
            <v>NAD</v>
          </cell>
          <cell r="D28" t="str">
            <v>NURSING ADMIN</v>
          </cell>
          <cell r="F28" t="str">
            <v>C14</v>
          </cell>
          <cell r="H28">
            <v>3340731.4468085533</v>
          </cell>
          <cell r="J28">
            <v>214552.55</v>
          </cell>
          <cell r="L28">
            <v>3555283.9968085531</v>
          </cell>
          <cell r="N28">
            <v>27.013341346153847</v>
          </cell>
          <cell r="O28" t="str">
            <v>NAD</v>
          </cell>
          <cell r="P28">
            <v>3340.7</v>
          </cell>
          <cell r="R28">
            <v>214.6</v>
          </cell>
          <cell r="T28">
            <v>3555.2999999999997</v>
          </cell>
          <cell r="X28">
            <v>0</v>
          </cell>
          <cell r="Z28">
            <v>0</v>
          </cell>
          <cell r="AD28">
            <v>3340.7</v>
          </cell>
          <cell r="AF28">
            <v>214.6</v>
          </cell>
          <cell r="AH28">
            <v>3555.2999999999997</v>
          </cell>
          <cell r="AJ28">
            <v>27.013341346153847</v>
          </cell>
          <cell r="AL28">
            <v>0</v>
          </cell>
          <cell r="AN28">
            <v>0</v>
          </cell>
          <cell r="AP28">
            <v>0</v>
          </cell>
          <cell r="AR28">
            <v>0</v>
          </cell>
          <cell r="AT28">
            <v>15.695775221721565</v>
          </cell>
          <cell r="AV28">
            <v>286.62661652029811</v>
          </cell>
          <cell r="AX28">
            <v>302.3223917420197</v>
          </cell>
          <cell r="AZ28">
            <v>0.11825416771455342</v>
          </cell>
          <cell r="BB28">
            <v>3356.3957752217216</v>
          </cell>
          <cell r="BD28">
            <v>501.22661652029808</v>
          </cell>
          <cell r="BF28">
            <v>3857.6223917420198</v>
          </cell>
          <cell r="BH28">
            <v>27.131595513868401</v>
          </cell>
          <cell r="BN28">
            <v>0</v>
          </cell>
          <cell r="BR28">
            <v>3356.3957752217216</v>
          </cell>
          <cell r="BT28">
            <v>501.22661652029808</v>
          </cell>
          <cell r="BV28">
            <v>3857.6223917420198</v>
          </cell>
          <cell r="BX28">
            <v>27.131595513868401</v>
          </cell>
          <cell r="CB28">
            <v>29.15503</v>
          </cell>
          <cell r="CD28">
            <v>29.15503</v>
          </cell>
          <cell r="CG28" t="str">
            <v>NAD</v>
          </cell>
          <cell r="CH28">
            <v>0</v>
          </cell>
          <cell r="CJ28">
            <v>0</v>
          </cell>
          <cell r="CL28">
            <v>0</v>
          </cell>
          <cell r="CN28">
            <v>0</v>
          </cell>
          <cell r="CO28" t="str">
            <v>NAD</v>
          </cell>
          <cell r="CP28">
            <v>3385.5508052217215</v>
          </cell>
          <cell r="CR28">
            <v>501.22661652029808</v>
          </cell>
          <cell r="CT28">
            <v>3886.7774217420197</v>
          </cell>
          <cell r="CV28">
            <v>27.131595513868401</v>
          </cell>
        </row>
        <row r="29">
          <cell r="B29" t="str">
            <v>OAO</v>
          </cell>
          <cell r="D29" t="str">
            <v>ORGAN ACQUISITION OVERHEAD</v>
          </cell>
          <cell r="F29" t="str">
            <v>C15</v>
          </cell>
          <cell r="H29">
            <v>0</v>
          </cell>
          <cell r="J29">
            <v>0</v>
          </cell>
          <cell r="L29">
            <v>0</v>
          </cell>
          <cell r="N29">
            <v>0</v>
          </cell>
          <cell r="O29" t="str">
            <v>OAO</v>
          </cell>
          <cell r="P29">
            <v>0</v>
          </cell>
          <cell r="R29">
            <v>0</v>
          </cell>
          <cell r="T29">
            <v>0</v>
          </cell>
          <cell r="AD29">
            <v>0</v>
          </cell>
          <cell r="AF29">
            <v>0</v>
          </cell>
          <cell r="AH29">
            <v>0</v>
          </cell>
          <cell r="AJ29">
            <v>0</v>
          </cell>
          <cell r="AL29">
            <v>0</v>
          </cell>
          <cell r="AN29">
            <v>0</v>
          </cell>
          <cell r="AP29">
            <v>0</v>
          </cell>
          <cell r="AR29">
            <v>0</v>
          </cell>
          <cell r="AT29">
            <v>0</v>
          </cell>
          <cell r="AV29">
            <v>0</v>
          </cell>
          <cell r="AX29">
            <v>0</v>
          </cell>
          <cell r="AZ29">
            <v>0</v>
          </cell>
          <cell r="BB29">
            <v>0</v>
          </cell>
          <cell r="BD29">
            <v>0</v>
          </cell>
          <cell r="BF29">
            <v>0</v>
          </cell>
          <cell r="BH29">
            <v>0</v>
          </cell>
          <cell r="BN29">
            <v>0</v>
          </cell>
          <cell r="BR29">
            <v>0</v>
          </cell>
          <cell r="BT29">
            <v>0</v>
          </cell>
          <cell r="BV29">
            <v>0</v>
          </cell>
          <cell r="BX29">
            <v>0</v>
          </cell>
          <cell r="CB29">
            <v>0</v>
          </cell>
          <cell r="CD29">
            <v>0</v>
          </cell>
          <cell r="CG29" t="str">
            <v>OAO</v>
          </cell>
          <cell r="CH29">
            <v>0</v>
          </cell>
          <cell r="CJ29">
            <v>0</v>
          </cell>
          <cell r="CL29">
            <v>0</v>
          </cell>
          <cell r="CN29">
            <v>0</v>
          </cell>
          <cell r="CO29" t="str">
            <v>NAD</v>
          </cell>
          <cell r="CP29">
            <v>0</v>
          </cell>
          <cell r="CR29">
            <v>0</v>
          </cell>
          <cell r="CT29">
            <v>0</v>
          </cell>
          <cell r="CV29">
            <v>0</v>
          </cell>
        </row>
        <row r="30">
          <cell r="B30" t="str">
            <v>MSG</v>
          </cell>
          <cell r="D30" t="str">
            <v>MED/SURG ACUTE</v>
          </cell>
          <cell r="F30" t="str">
            <v>D1</v>
          </cell>
          <cell r="H30">
            <v>20936016.855671067</v>
          </cell>
          <cell r="J30">
            <v>1882035.2623268326</v>
          </cell>
          <cell r="L30">
            <v>22818052.1179979</v>
          </cell>
          <cell r="N30">
            <v>248.44441415368107</v>
          </cell>
          <cell r="O30" t="str">
            <v>MSG</v>
          </cell>
          <cell r="P30">
            <v>20936</v>
          </cell>
          <cell r="R30">
            <v>1882</v>
          </cell>
          <cell r="T30">
            <v>22818</v>
          </cell>
          <cell r="AD30">
            <v>20936</v>
          </cell>
          <cell r="AF30">
            <v>1882</v>
          </cell>
          <cell r="AH30">
            <v>22818</v>
          </cell>
          <cell r="AJ30">
            <v>248.44441415368107</v>
          </cell>
          <cell r="AL30">
            <v>0</v>
          </cell>
          <cell r="AN30">
            <v>0</v>
          </cell>
          <cell r="AP30">
            <v>0</v>
          </cell>
          <cell r="AR30">
            <v>0</v>
          </cell>
          <cell r="AT30">
            <v>144.35562153082893</v>
          </cell>
          <cell r="AV30">
            <v>2636.1337869954482</v>
          </cell>
          <cell r="AX30">
            <v>2780.4894085262772</v>
          </cell>
          <cell r="AZ30">
            <v>1.0875954604281646</v>
          </cell>
          <cell r="BB30">
            <v>21080.355621530827</v>
          </cell>
          <cell r="BD30">
            <v>4518.1337869954477</v>
          </cell>
          <cell r="BF30">
            <v>25598.489408526275</v>
          </cell>
          <cell r="BH30">
            <v>249.53200961410923</v>
          </cell>
          <cell r="BJ30">
            <v>661.90953662463039</v>
          </cell>
          <cell r="BN30">
            <v>661.90953662463039</v>
          </cell>
          <cell r="BP30">
            <v>3.1741070825058477</v>
          </cell>
          <cell r="BR30">
            <v>21742.265158155456</v>
          </cell>
          <cell r="BT30">
            <v>4518.1337869954477</v>
          </cell>
          <cell r="BV30">
            <v>26260.398945150904</v>
          </cell>
          <cell r="BX30">
            <v>252.70611669661508</v>
          </cell>
          <cell r="CB30">
            <v>271.55259000000001</v>
          </cell>
          <cell r="CD30">
            <v>271.55259000000001</v>
          </cell>
          <cell r="CG30" t="str">
            <v>MSG</v>
          </cell>
          <cell r="CO30" t="str">
            <v>MSG</v>
          </cell>
          <cell r="CP30">
            <v>22013.817748155456</v>
          </cell>
          <cell r="CR30">
            <v>4518.1337869954477</v>
          </cell>
          <cell r="CT30">
            <v>26531.951535150904</v>
          </cell>
          <cell r="CV30">
            <v>252.70611669661508</v>
          </cell>
          <cell r="DJ30">
            <v>21348.497383924201</v>
          </cell>
          <cell r="DL30">
            <v>665.32036423125533</v>
          </cell>
        </row>
        <row r="31">
          <cell r="B31" t="str">
            <v>PED</v>
          </cell>
          <cell r="D31" t="str">
            <v>PEDIATRIC ACUTE</v>
          </cell>
          <cell r="F31" t="str">
            <v>D2</v>
          </cell>
          <cell r="H31">
            <v>0</v>
          </cell>
          <cell r="J31">
            <v>0</v>
          </cell>
          <cell r="L31">
            <v>0</v>
          </cell>
          <cell r="N31">
            <v>0</v>
          </cell>
          <cell r="O31" t="str">
            <v>PED</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PED</v>
          </cell>
          <cell r="CO31" t="str">
            <v>PED</v>
          </cell>
          <cell r="CP31">
            <v>0</v>
          </cell>
          <cell r="CR31">
            <v>0</v>
          </cell>
          <cell r="CT31">
            <v>0</v>
          </cell>
          <cell r="CV31">
            <v>0</v>
          </cell>
          <cell r="DJ31">
            <v>0</v>
          </cell>
          <cell r="DL31">
            <v>0</v>
          </cell>
        </row>
        <row r="32">
          <cell r="B32" t="str">
            <v>PSY</v>
          </cell>
          <cell r="D32" t="str">
            <v>PSYCHIATRIC ACUTE</v>
          </cell>
          <cell r="F32" t="str">
            <v>D3</v>
          </cell>
          <cell r="H32">
            <v>2232765.5063615073</v>
          </cell>
          <cell r="J32">
            <v>29576.18011402063</v>
          </cell>
          <cell r="L32">
            <v>2262341.6864755279</v>
          </cell>
          <cell r="N32">
            <v>24.889885797380387</v>
          </cell>
          <cell r="O32" t="str">
            <v>PSY</v>
          </cell>
          <cell r="P32">
            <v>2232.8000000000002</v>
          </cell>
          <cell r="R32">
            <v>29.6</v>
          </cell>
          <cell r="T32">
            <v>2262.4</v>
          </cell>
          <cell r="AD32">
            <v>2232.8000000000002</v>
          </cell>
          <cell r="AF32">
            <v>29.6</v>
          </cell>
          <cell r="AH32">
            <v>2262.4</v>
          </cell>
          <cell r="AJ32">
            <v>24.889885797380387</v>
          </cell>
          <cell r="AL32">
            <v>0</v>
          </cell>
          <cell r="AN32">
            <v>0</v>
          </cell>
          <cell r="AP32">
            <v>0</v>
          </cell>
          <cell r="AR32">
            <v>0</v>
          </cell>
          <cell r="AT32">
            <v>14.46196706153219</v>
          </cell>
          <cell r="AV32">
            <v>264.095568936181</v>
          </cell>
          <cell r="AX32">
            <v>278.55753599771316</v>
          </cell>
          <cell r="AZ32">
            <v>0.10895848431939992</v>
          </cell>
          <cell r="BB32">
            <v>2247.2619670615322</v>
          </cell>
          <cell r="BD32">
            <v>293.69556893618102</v>
          </cell>
          <cell r="BF32">
            <v>2540.9575359977134</v>
          </cell>
          <cell r="BH32">
            <v>24.998844281699785</v>
          </cell>
          <cell r="BJ32">
            <v>224.810732864198</v>
          </cell>
          <cell r="BN32">
            <v>224.810732864198</v>
          </cell>
          <cell r="BP32">
            <v>1.2629816453044833</v>
          </cell>
          <cell r="BR32">
            <v>2472.0726999257304</v>
          </cell>
          <cell r="BT32">
            <v>293.69556893618102</v>
          </cell>
          <cell r="BV32">
            <v>2765.7682688619116</v>
          </cell>
          <cell r="BX32">
            <v>26.261825927004267</v>
          </cell>
          <cell r="CB32">
            <v>28.220400000000001</v>
          </cell>
          <cell r="CD32">
            <v>28.220400000000001</v>
          </cell>
          <cell r="CG32" t="str">
            <v>PSY</v>
          </cell>
          <cell r="CO32" t="str">
            <v>PSY</v>
          </cell>
          <cell r="CP32">
            <v>2500.2930999257305</v>
          </cell>
          <cell r="CR32">
            <v>293.69556893618102</v>
          </cell>
          <cell r="CT32">
            <v>2793.9886688619117</v>
          </cell>
          <cell r="CV32">
            <v>26.261825927004267</v>
          </cell>
          <cell r="DJ32">
            <v>2274.1251938275682</v>
          </cell>
          <cell r="DL32">
            <v>226.16790609816195</v>
          </cell>
        </row>
        <row r="33">
          <cell r="B33" t="str">
            <v>OBS</v>
          </cell>
          <cell r="D33" t="str">
            <v>OBSTETRICS ACUTE</v>
          </cell>
          <cell r="F33" t="str">
            <v>D4</v>
          </cell>
          <cell r="H33">
            <v>1635076.4033039631</v>
          </cell>
          <cell r="J33">
            <v>23759.277004127798</v>
          </cell>
          <cell r="L33">
            <v>1658835.680308091</v>
          </cell>
          <cell r="N33">
            <v>17.442272041114173</v>
          </cell>
          <cell r="O33" t="str">
            <v>OBS</v>
          </cell>
          <cell r="P33">
            <v>1635.1</v>
          </cell>
          <cell r="R33">
            <v>23.8</v>
          </cell>
          <cell r="T33">
            <v>1658.8999999999999</v>
          </cell>
          <cell r="AD33">
            <v>1635.1</v>
          </cell>
          <cell r="AF33">
            <v>23.8</v>
          </cell>
          <cell r="AH33">
            <v>1658.8999999999999</v>
          </cell>
          <cell r="AJ33">
            <v>17.442272041114173</v>
          </cell>
          <cell r="AL33">
            <v>0</v>
          </cell>
          <cell r="AN33">
            <v>0</v>
          </cell>
          <cell r="AP33">
            <v>0</v>
          </cell>
          <cell r="AR33">
            <v>0</v>
          </cell>
          <cell r="AT33">
            <v>10.134621178672736</v>
          </cell>
          <cell r="AV33">
            <v>185.07223358664459</v>
          </cell>
          <cell r="AX33">
            <v>195.20685476531733</v>
          </cell>
          <cell r="AZ33">
            <v>7.6355654668631243E-2</v>
          </cell>
          <cell r="BB33">
            <v>1645.2346211786726</v>
          </cell>
          <cell r="BD33">
            <v>208.8722335866446</v>
          </cell>
          <cell r="BF33">
            <v>1854.1068547653172</v>
          </cell>
          <cell r="BH33">
            <v>17.518627695782804</v>
          </cell>
          <cell r="BJ33">
            <v>128.53136352794854</v>
          </cell>
          <cell r="BN33">
            <v>128.53136352794854</v>
          </cell>
          <cell r="BP33">
            <v>0.54152670540530246</v>
          </cell>
          <cell r="BR33">
            <v>1773.7659847066211</v>
          </cell>
          <cell r="BT33">
            <v>208.8722335866446</v>
          </cell>
          <cell r="BV33">
            <v>1982.6382182932657</v>
          </cell>
          <cell r="BX33">
            <v>18.060154401188107</v>
          </cell>
          <cell r="CB33">
            <v>19.407060000000001</v>
          </cell>
          <cell r="CD33">
            <v>19.407060000000001</v>
          </cell>
          <cell r="CG33" t="str">
            <v>OBS</v>
          </cell>
          <cell r="CO33" t="str">
            <v>OBS</v>
          </cell>
          <cell r="CP33">
            <v>1793.1730447066211</v>
          </cell>
          <cell r="CR33">
            <v>208.8722335866446</v>
          </cell>
          <cell r="CT33">
            <v>2002.0452782932657</v>
          </cell>
          <cell r="CV33">
            <v>18.060154401188107</v>
          </cell>
          <cell r="DJ33">
            <v>1664.0597680327521</v>
          </cell>
          <cell r="DL33">
            <v>129.11327667386891</v>
          </cell>
        </row>
        <row r="34">
          <cell r="B34" t="str">
            <v>DEF</v>
          </cell>
          <cell r="D34" t="str">
            <v>DEFINITIVE OBSERVATION</v>
          </cell>
          <cell r="F34" t="str">
            <v>D5</v>
          </cell>
          <cell r="H34">
            <v>0</v>
          </cell>
          <cell r="J34">
            <v>0</v>
          </cell>
          <cell r="L34">
            <v>0</v>
          </cell>
          <cell r="N34">
            <v>0</v>
          </cell>
          <cell r="O34" t="str">
            <v>DEF</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DEF</v>
          </cell>
          <cell r="CO34" t="str">
            <v>DEF</v>
          </cell>
          <cell r="CP34">
            <v>0</v>
          </cell>
          <cell r="CR34">
            <v>0</v>
          </cell>
          <cell r="CT34">
            <v>0</v>
          </cell>
          <cell r="CV34">
            <v>0</v>
          </cell>
          <cell r="DJ34">
            <v>0</v>
          </cell>
          <cell r="DL34">
            <v>0</v>
          </cell>
        </row>
        <row r="35">
          <cell r="B35" t="str">
            <v>MIS</v>
          </cell>
          <cell r="D35" t="str">
            <v>MED/SURG INTENSIVE CARE</v>
          </cell>
          <cell r="F35" t="str">
            <v>D6</v>
          </cell>
          <cell r="H35">
            <v>6604755.8806300201</v>
          </cell>
          <cell r="J35">
            <v>374941.986379351</v>
          </cell>
          <cell r="L35">
            <v>6979697.8670093715</v>
          </cell>
          <cell r="N35">
            <v>61.857510388275443</v>
          </cell>
          <cell r="O35" t="str">
            <v>MIS</v>
          </cell>
          <cell r="P35">
            <v>6604.8</v>
          </cell>
          <cell r="R35">
            <v>374.9</v>
          </cell>
          <cell r="T35">
            <v>6979.7</v>
          </cell>
          <cell r="AD35">
            <v>6604.8</v>
          </cell>
          <cell r="AF35">
            <v>374.9</v>
          </cell>
          <cell r="AH35">
            <v>6979.7</v>
          </cell>
          <cell r="AJ35">
            <v>61.857510388275443</v>
          </cell>
          <cell r="AL35">
            <v>0</v>
          </cell>
          <cell r="AN35">
            <v>0</v>
          </cell>
          <cell r="AP35">
            <v>0</v>
          </cell>
          <cell r="AR35">
            <v>0</v>
          </cell>
          <cell r="AT35">
            <v>35.94155815041055</v>
          </cell>
          <cell r="AV35">
            <v>656.34268200164638</v>
          </cell>
          <cell r="AX35">
            <v>692.2842401520569</v>
          </cell>
          <cell r="AZ35">
            <v>0.27078873043231838</v>
          </cell>
          <cell r="BB35">
            <v>6640.741558150411</v>
          </cell>
          <cell r="BD35">
            <v>1031.2426820016462</v>
          </cell>
          <cell r="BF35">
            <v>7671.9842401520573</v>
          </cell>
          <cell r="BH35">
            <v>62.128299118707758</v>
          </cell>
          <cell r="BJ35">
            <v>0</v>
          </cell>
          <cell r="BN35">
            <v>0</v>
          </cell>
          <cell r="BP35">
            <v>0</v>
          </cell>
          <cell r="BR35">
            <v>6640.741558150411</v>
          </cell>
          <cell r="BT35">
            <v>1031.2426820016462</v>
          </cell>
          <cell r="BV35">
            <v>7671.9842401520573</v>
          </cell>
          <cell r="BX35">
            <v>62.128299118707758</v>
          </cell>
          <cell r="CB35">
            <v>66.761740000000003</v>
          </cell>
          <cell r="CD35">
            <v>66.761740000000003</v>
          </cell>
          <cell r="CG35" t="str">
            <v>MIS</v>
          </cell>
          <cell r="CO35" t="str">
            <v>MIS</v>
          </cell>
          <cell r="CP35">
            <v>6707.503298150411</v>
          </cell>
          <cell r="CR35">
            <v>1031.2426820016462</v>
          </cell>
          <cell r="CT35">
            <v>7738.7459801520572</v>
          </cell>
          <cell r="CV35">
            <v>62.128299118707758</v>
          </cell>
          <cell r="DJ35">
            <v>6707.503298150411</v>
          </cell>
          <cell r="DL35">
            <v>0</v>
          </cell>
        </row>
        <row r="36">
          <cell r="B36" t="str">
            <v>CCU</v>
          </cell>
          <cell r="D36" t="str">
            <v>CORONARY CARE</v>
          </cell>
          <cell r="F36" t="str">
            <v>D7</v>
          </cell>
          <cell r="H36">
            <v>0</v>
          </cell>
          <cell r="J36">
            <v>0</v>
          </cell>
          <cell r="L36">
            <v>0</v>
          </cell>
          <cell r="N36">
            <v>0</v>
          </cell>
          <cell r="O36" t="str">
            <v>CCU</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CCU</v>
          </cell>
          <cell r="CO36" t="str">
            <v>CCU</v>
          </cell>
          <cell r="CP36">
            <v>0</v>
          </cell>
          <cell r="CR36">
            <v>0</v>
          </cell>
          <cell r="CT36">
            <v>0</v>
          </cell>
          <cell r="CV36">
            <v>0</v>
          </cell>
          <cell r="DJ36">
            <v>0</v>
          </cell>
          <cell r="DL36">
            <v>0</v>
          </cell>
        </row>
        <row r="37">
          <cell r="B37" t="str">
            <v>PIC</v>
          </cell>
          <cell r="D37" t="str">
            <v>PEDIATRIC INTENSIVE CARE</v>
          </cell>
          <cell r="F37" t="str">
            <v>D8</v>
          </cell>
          <cell r="H37">
            <v>0</v>
          </cell>
          <cell r="J37">
            <v>0</v>
          </cell>
          <cell r="L37">
            <v>0</v>
          </cell>
          <cell r="N37">
            <v>0</v>
          </cell>
          <cell r="O37" t="str">
            <v>PIC</v>
          </cell>
          <cell r="P37">
            <v>0</v>
          </cell>
          <cell r="R37">
            <v>0</v>
          </cell>
          <cell r="T37">
            <v>0</v>
          </cell>
          <cell r="AD37">
            <v>0</v>
          </cell>
          <cell r="AF37">
            <v>0</v>
          </cell>
          <cell r="AH37">
            <v>0</v>
          </cell>
          <cell r="AJ37">
            <v>0</v>
          </cell>
          <cell r="AL37">
            <v>0</v>
          </cell>
          <cell r="AN37">
            <v>0</v>
          </cell>
          <cell r="AP37">
            <v>0</v>
          </cell>
          <cell r="AR37">
            <v>0</v>
          </cell>
          <cell r="AT37">
            <v>0</v>
          </cell>
          <cell r="AV37">
            <v>0</v>
          </cell>
          <cell r="AX37">
            <v>0</v>
          </cell>
          <cell r="AZ37">
            <v>0</v>
          </cell>
          <cell r="BB37">
            <v>0</v>
          </cell>
          <cell r="BD37">
            <v>0</v>
          </cell>
          <cell r="BF37">
            <v>0</v>
          </cell>
          <cell r="BH37">
            <v>0</v>
          </cell>
          <cell r="BJ37">
            <v>0</v>
          </cell>
          <cell r="BN37">
            <v>0</v>
          </cell>
          <cell r="BP37">
            <v>0</v>
          </cell>
          <cell r="BR37">
            <v>0</v>
          </cell>
          <cell r="BT37">
            <v>0</v>
          </cell>
          <cell r="BV37">
            <v>0</v>
          </cell>
          <cell r="BX37">
            <v>0</v>
          </cell>
          <cell r="CB37">
            <v>0</v>
          </cell>
          <cell r="CD37">
            <v>0</v>
          </cell>
          <cell r="CG37" t="str">
            <v>PIC</v>
          </cell>
          <cell r="CO37" t="str">
            <v>PIC</v>
          </cell>
          <cell r="CP37">
            <v>0</v>
          </cell>
          <cell r="CR37">
            <v>0</v>
          </cell>
          <cell r="CT37">
            <v>0</v>
          </cell>
          <cell r="CV37">
            <v>0</v>
          </cell>
          <cell r="DJ37">
            <v>0</v>
          </cell>
          <cell r="DL37">
            <v>0</v>
          </cell>
        </row>
        <row r="38">
          <cell r="B38" t="str">
            <v>NEO</v>
          </cell>
          <cell r="D38" t="str">
            <v>NEONATAL INTENSIVE CARE</v>
          </cell>
          <cell r="F38" t="str">
            <v>D9</v>
          </cell>
          <cell r="H38">
            <v>3236550.14135399</v>
          </cell>
          <cell r="J38">
            <v>42146.126445004498</v>
          </cell>
          <cell r="L38">
            <v>3278696.2677989947</v>
          </cell>
          <cell r="N38">
            <v>30.997197011030998</v>
          </cell>
          <cell r="O38" t="str">
            <v>NEO</v>
          </cell>
          <cell r="P38">
            <v>3236.6</v>
          </cell>
          <cell r="R38">
            <v>42.1</v>
          </cell>
          <cell r="T38">
            <v>3278.7</v>
          </cell>
          <cell r="AD38">
            <v>3236.6</v>
          </cell>
          <cell r="AF38">
            <v>42.1</v>
          </cell>
          <cell r="AH38">
            <v>3278.7</v>
          </cell>
          <cell r="AJ38">
            <v>30.997197011030998</v>
          </cell>
          <cell r="AL38">
            <v>0</v>
          </cell>
          <cell r="AN38">
            <v>0</v>
          </cell>
          <cell r="AP38">
            <v>0</v>
          </cell>
          <cell r="AR38">
            <v>0</v>
          </cell>
          <cell r="AT38">
            <v>18.010546365003211</v>
          </cell>
          <cell r="AV38">
            <v>328.89754684678809</v>
          </cell>
          <cell r="AX38">
            <v>346.90809321179131</v>
          </cell>
          <cell r="AZ38">
            <v>0.13569397754437412</v>
          </cell>
          <cell r="BB38">
            <v>3254.6105463650033</v>
          </cell>
          <cell r="BD38">
            <v>370.99754684678811</v>
          </cell>
          <cell r="BF38">
            <v>3625.6080932117916</v>
          </cell>
          <cell r="BH38">
            <v>31.132890988575372</v>
          </cell>
          <cell r="BJ38">
            <v>44.982413067030862</v>
          </cell>
          <cell r="BN38">
            <v>44.982413067030862</v>
          </cell>
          <cell r="BP38">
            <v>0.18951933038563665</v>
          </cell>
          <cell r="BR38">
            <v>3299.5929594320341</v>
          </cell>
          <cell r="BT38">
            <v>370.99754684678811</v>
          </cell>
          <cell r="BV38">
            <v>3670.5905062788224</v>
          </cell>
          <cell r="BX38">
            <v>31.322410318961008</v>
          </cell>
          <cell r="CB38">
            <v>33.658389999999997</v>
          </cell>
          <cell r="CD38">
            <v>33.658389999999997</v>
          </cell>
          <cell r="CG38" t="str">
            <v>NEO</v>
          </cell>
          <cell r="CO38" t="str">
            <v>NEO</v>
          </cell>
          <cell r="CP38">
            <v>3333.2513494320342</v>
          </cell>
          <cell r="CR38">
            <v>370.99754684678811</v>
          </cell>
          <cell r="CT38">
            <v>3704.2488962788225</v>
          </cell>
          <cell r="CV38">
            <v>31.322410318961008</v>
          </cell>
          <cell r="DJ38">
            <v>3288.0652829593523</v>
          </cell>
          <cell r="DL38">
            <v>45.186066472681993</v>
          </cell>
        </row>
        <row r="39">
          <cell r="B39" t="str">
            <v>BUR</v>
          </cell>
          <cell r="D39" t="str">
            <v>BURN CARE</v>
          </cell>
          <cell r="F39" t="str">
            <v>D10</v>
          </cell>
          <cell r="H39">
            <v>0</v>
          </cell>
          <cell r="J39">
            <v>0</v>
          </cell>
          <cell r="L39">
            <v>0</v>
          </cell>
          <cell r="N39">
            <v>0</v>
          </cell>
          <cell r="O39" t="str">
            <v>BUR</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P39">
            <v>0</v>
          </cell>
          <cell r="BR39">
            <v>0</v>
          </cell>
          <cell r="BT39">
            <v>0</v>
          </cell>
          <cell r="BV39">
            <v>0</v>
          </cell>
          <cell r="BX39">
            <v>0</v>
          </cell>
          <cell r="CB39">
            <v>0</v>
          </cell>
          <cell r="CD39">
            <v>0</v>
          </cell>
          <cell r="CG39" t="str">
            <v>BUR</v>
          </cell>
          <cell r="CO39" t="str">
            <v>BUR</v>
          </cell>
          <cell r="CP39">
            <v>0</v>
          </cell>
          <cell r="CR39">
            <v>0</v>
          </cell>
          <cell r="CT39">
            <v>0</v>
          </cell>
          <cell r="CV39">
            <v>0</v>
          </cell>
          <cell r="DJ39">
            <v>0</v>
          </cell>
          <cell r="DL39">
            <v>0</v>
          </cell>
        </row>
        <row r="40">
          <cell r="B40" t="str">
            <v>PSI</v>
          </cell>
          <cell r="D40" t="str">
            <v>PSYCHIATRIC - ICU</v>
          </cell>
          <cell r="F40" t="str">
            <v>D11</v>
          </cell>
          <cell r="H40">
            <v>0</v>
          </cell>
          <cell r="J40">
            <v>0</v>
          </cell>
          <cell r="L40">
            <v>0</v>
          </cell>
          <cell r="N40">
            <v>0</v>
          </cell>
          <cell r="O40" t="str">
            <v>PSI</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PSI</v>
          </cell>
          <cell r="CO40" t="str">
            <v>PSI</v>
          </cell>
          <cell r="CP40">
            <v>0</v>
          </cell>
          <cell r="CR40">
            <v>0</v>
          </cell>
          <cell r="CT40">
            <v>0</v>
          </cell>
          <cell r="CV40">
            <v>0</v>
          </cell>
          <cell r="DJ40">
            <v>0</v>
          </cell>
          <cell r="DL40">
            <v>0</v>
          </cell>
        </row>
        <row r="41">
          <cell r="B41" t="str">
            <v>TRM</v>
          </cell>
          <cell r="D41" t="str">
            <v>SHOCK TRAUMA</v>
          </cell>
          <cell r="F41" t="str">
            <v>D12</v>
          </cell>
          <cell r="H41">
            <v>0</v>
          </cell>
          <cell r="J41">
            <v>0</v>
          </cell>
          <cell r="L41">
            <v>0</v>
          </cell>
          <cell r="N41">
            <v>0</v>
          </cell>
          <cell r="O41" t="str">
            <v>TRM</v>
          </cell>
          <cell r="P41">
            <v>0</v>
          </cell>
          <cell r="R41">
            <v>0</v>
          </cell>
          <cell r="T41">
            <v>0</v>
          </cell>
          <cell r="AD41">
            <v>0</v>
          </cell>
          <cell r="AF41">
            <v>0</v>
          </cell>
          <cell r="AH41">
            <v>0</v>
          </cell>
          <cell r="AJ41">
            <v>0</v>
          </cell>
          <cell r="AL41">
            <v>0</v>
          </cell>
          <cell r="AN41">
            <v>0</v>
          </cell>
          <cell r="AP41">
            <v>0</v>
          </cell>
          <cell r="AR41">
            <v>0</v>
          </cell>
          <cell r="AT41">
            <v>0</v>
          </cell>
          <cell r="AV41">
            <v>0</v>
          </cell>
          <cell r="AX41">
            <v>0</v>
          </cell>
          <cell r="AZ41">
            <v>0</v>
          </cell>
          <cell r="BB41">
            <v>0</v>
          </cell>
          <cell r="BD41">
            <v>0</v>
          </cell>
          <cell r="BF41">
            <v>0</v>
          </cell>
          <cell r="BH41">
            <v>0</v>
          </cell>
          <cell r="BJ41">
            <v>0</v>
          </cell>
          <cell r="BN41">
            <v>0</v>
          </cell>
          <cell r="BP41">
            <v>0</v>
          </cell>
          <cell r="BR41">
            <v>0</v>
          </cell>
          <cell r="BT41">
            <v>0</v>
          </cell>
          <cell r="BV41">
            <v>0</v>
          </cell>
          <cell r="BX41">
            <v>0</v>
          </cell>
          <cell r="CB41">
            <v>0</v>
          </cell>
          <cell r="CD41">
            <v>0</v>
          </cell>
          <cell r="CG41" t="str">
            <v>TRM</v>
          </cell>
          <cell r="CO41" t="str">
            <v>TRM</v>
          </cell>
          <cell r="CP41">
            <v>0</v>
          </cell>
          <cell r="CR41">
            <v>0</v>
          </cell>
          <cell r="CT41">
            <v>0</v>
          </cell>
          <cell r="CV41">
            <v>0</v>
          </cell>
          <cell r="DJ41">
            <v>0</v>
          </cell>
          <cell r="DL41">
            <v>0</v>
          </cell>
        </row>
        <row r="42">
          <cell r="B42" t="str">
            <v>ONC</v>
          </cell>
          <cell r="D42" t="str">
            <v>ONCOLOGY</v>
          </cell>
          <cell r="F42" t="str">
            <v>D13</v>
          </cell>
          <cell r="H42">
            <v>0</v>
          </cell>
          <cell r="J42">
            <v>0</v>
          </cell>
          <cell r="L42">
            <v>0</v>
          </cell>
          <cell r="N42">
            <v>0</v>
          </cell>
          <cell r="O42" t="str">
            <v>ONC</v>
          </cell>
          <cell r="P42">
            <v>0</v>
          </cell>
          <cell r="R42">
            <v>0</v>
          </cell>
          <cell r="T42">
            <v>0</v>
          </cell>
          <cell r="AD42">
            <v>0</v>
          </cell>
          <cell r="AF42">
            <v>0</v>
          </cell>
          <cell r="AH42">
            <v>0</v>
          </cell>
          <cell r="AJ42">
            <v>0</v>
          </cell>
          <cell r="AL42">
            <v>0</v>
          </cell>
          <cell r="AN42">
            <v>0</v>
          </cell>
          <cell r="AP42">
            <v>0</v>
          </cell>
          <cell r="AR42">
            <v>0</v>
          </cell>
          <cell r="AT42">
            <v>0</v>
          </cell>
          <cell r="AV42">
            <v>0</v>
          </cell>
          <cell r="AX42">
            <v>0</v>
          </cell>
          <cell r="AZ42">
            <v>0</v>
          </cell>
          <cell r="BB42">
            <v>0</v>
          </cell>
          <cell r="BD42">
            <v>0</v>
          </cell>
          <cell r="BF42">
            <v>0</v>
          </cell>
          <cell r="BH42">
            <v>0</v>
          </cell>
          <cell r="BJ42">
            <v>0</v>
          </cell>
          <cell r="BN42">
            <v>0</v>
          </cell>
          <cell r="BP42">
            <v>0</v>
          </cell>
          <cell r="BR42">
            <v>0</v>
          </cell>
          <cell r="BT42">
            <v>0</v>
          </cell>
          <cell r="BV42">
            <v>0</v>
          </cell>
          <cell r="BX42">
            <v>0</v>
          </cell>
          <cell r="CB42">
            <v>0</v>
          </cell>
          <cell r="CD42">
            <v>0</v>
          </cell>
          <cell r="CG42" t="str">
            <v>ONC</v>
          </cell>
          <cell r="CO42" t="str">
            <v>ONC</v>
          </cell>
          <cell r="CP42">
            <v>0</v>
          </cell>
          <cell r="CR42">
            <v>0</v>
          </cell>
          <cell r="CT42">
            <v>0</v>
          </cell>
          <cell r="CV42">
            <v>0</v>
          </cell>
          <cell r="DJ42">
            <v>0</v>
          </cell>
          <cell r="DL42">
            <v>0</v>
          </cell>
        </row>
        <row r="43">
          <cell r="B43" t="str">
            <v>NUR</v>
          </cell>
          <cell r="D43" t="str">
            <v>NEWBORN NURSERY</v>
          </cell>
          <cell r="F43" t="str">
            <v>D14</v>
          </cell>
          <cell r="H43">
            <v>1298395.8599503436</v>
          </cell>
          <cell r="J43">
            <v>14495.935667331438</v>
          </cell>
          <cell r="L43">
            <v>1312891.7956176749</v>
          </cell>
          <cell r="N43">
            <v>13.03726840642147</v>
          </cell>
          <cell r="O43" t="str">
            <v>NUR</v>
          </cell>
          <cell r="P43">
            <v>1298.4000000000001</v>
          </cell>
          <cell r="R43">
            <v>14.5</v>
          </cell>
          <cell r="T43">
            <v>1312.9</v>
          </cell>
          <cell r="AD43">
            <v>1298.4000000000001</v>
          </cell>
          <cell r="AF43">
            <v>14.5</v>
          </cell>
          <cell r="AH43">
            <v>1312.9</v>
          </cell>
          <cell r="AJ43">
            <v>13.03726840642147</v>
          </cell>
          <cell r="AL43">
            <v>0</v>
          </cell>
          <cell r="AN43">
            <v>0</v>
          </cell>
          <cell r="AP43">
            <v>0</v>
          </cell>
          <cell r="AR43">
            <v>0</v>
          </cell>
          <cell r="AT43">
            <v>7.5751471019551859</v>
          </cell>
          <cell r="AV43">
            <v>138.33268843402865</v>
          </cell>
          <cell r="AX43">
            <v>145.90783553598385</v>
          </cell>
          <cell r="AZ43">
            <v>5.7072218683236739E-2</v>
          </cell>
          <cell r="BB43">
            <v>1305.9751471019554</v>
          </cell>
          <cell r="BD43">
            <v>152.83268843402865</v>
          </cell>
          <cell r="BF43">
            <v>1458.8078355359839</v>
          </cell>
          <cell r="BH43">
            <v>13.094340625104707</v>
          </cell>
          <cell r="BJ43">
            <v>0</v>
          </cell>
          <cell r="BN43">
            <v>0</v>
          </cell>
          <cell r="BP43">
            <v>0</v>
          </cell>
          <cell r="BR43">
            <v>1305.9751471019554</v>
          </cell>
          <cell r="BT43">
            <v>152.83268843402865</v>
          </cell>
          <cell r="BV43">
            <v>1458.8078355359839</v>
          </cell>
          <cell r="BX43">
            <v>13.094340625104707</v>
          </cell>
          <cell r="CB43">
            <v>14.0709</v>
          </cell>
          <cell r="CD43">
            <v>14.0709</v>
          </cell>
          <cell r="CG43" t="str">
            <v>NUR</v>
          </cell>
          <cell r="CO43" t="str">
            <v>NUR</v>
          </cell>
          <cell r="CP43">
            <v>1320.0460471019553</v>
          </cell>
          <cell r="CR43">
            <v>152.83268843402865</v>
          </cell>
          <cell r="CT43">
            <v>1472.8787355359839</v>
          </cell>
          <cell r="CV43">
            <v>13.094340625104707</v>
          </cell>
          <cell r="DJ43">
            <v>1320.0460471019553</v>
          </cell>
          <cell r="DL43">
            <v>0</v>
          </cell>
        </row>
        <row r="44">
          <cell r="B44" t="str">
            <v>PRE</v>
          </cell>
          <cell r="D44" t="str">
            <v>PREMATURE NURSERY</v>
          </cell>
          <cell r="F44" t="str">
            <v>D15</v>
          </cell>
          <cell r="H44">
            <v>0</v>
          </cell>
          <cell r="J44">
            <v>0</v>
          </cell>
          <cell r="L44">
            <v>0</v>
          </cell>
          <cell r="N44">
            <v>0</v>
          </cell>
          <cell r="O44" t="str">
            <v>PRE</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PRE</v>
          </cell>
          <cell r="CO44" t="str">
            <v>PRE</v>
          </cell>
          <cell r="CP44">
            <v>0</v>
          </cell>
          <cell r="CR44">
            <v>0</v>
          </cell>
          <cell r="CT44">
            <v>0</v>
          </cell>
          <cell r="CV44">
            <v>0</v>
          </cell>
          <cell r="DJ44">
            <v>0</v>
          </cell>
          <cell r="DL44">
            <v>0</v>
          </cell>
        </row>
        <row r="45">
          <cell r="B45" t="str">
            <v>ECF</v>
          </cell>
          <cell r="D45" t="str">
            <v>SKILLED NURSING CARE</v>
          </cell>
          <cell r="F45" t="str">
            <v>D16</v>
          </cell>
          <cell r="H45">
            <v>0</v>
          </cell>
          <cell r="J45">
            <v>0</v>
          </cell>
          <cell r="L45">
            <v>0</v>
          </cell>
          <cell r="N45">
            <v>0</v>
          </cell>
          <cell r="O45" t="str">
            <v>ECF</v>
          </cell>
          <cell r="P45">
            <v>0</v>
          </cell>
          <cell r="R45">
            <v>0</v>
          </cell>
          <cell r="T45">
            <v>0</v>
          </cell>
          <cell r="AD45">
            <v>0</v>
          </cell>
          <cell r="AF45">
            <v>0</v>
          </cell>
          <cell r="AH45">
            <v>0</v>
          </cell>
          <cell r="AJ45">
            <v>0</v>
          </cell>
          <cell r="AL45">
            <v>0</v>
          </cell>
          <cell r="AN45">
            <v>0</v>
          </cell>
          <cell r="AP45">
            <v>0</v>
          </cell>
          <cell r="AR45">
            <v>0</v>
          </cell>
          <cell r="AT45">
            <v>0</v>
          </cell>
          <cell r="AV45">
            <v>0</v>
          </cell>
          <cell r="AX45">
            <v>0</v>
          </cell>
          <cell r="AZ45">
            <v>0</v>
          </cell>
          <cell r="BB45">
            <v>0</v>
          </cell>
          <cell r="BD45">
            <v>0</v>
          </cell>
          <cell r="BF45">
            <v>0</v>
          </cell>
          <cell r="BH45">
            <v>0</v>
          </cell>
          <cell r="BJ45">
            <v>0</v>
          </cell>
          <cell r="BN45">
            <v>0</v>
          </cell>
          <cell r="BR45">
            <v>0</v>
          </cell>
          <cell r="BT45">
            <v>0</v>
          </cell>
          <cell r="BV45">
            <v>0</v>
          </cell>
          <cell r="BX45">
            <v>0</v>
          </cell>
          <cell r="CG45" t="str">
            <v>ECF</v>
          </cell>
          <cell r="CO45" t="str">
            <v>ECF</v>
          </cell>
          <cell r="CP45">
            <v>0</v>
          </cell>
          <cell r="CR45">
            <v>0</v>
          </cell>
          <cell r="CT45">
            <v>0</v>
          </cell>
          <cell r="CV45">
            <v>0</v>
          </cell>
          <cell r="DJ45">
            <v>0</v>
          </cell>
          <cell r="DL45">
            <v>0</v>
          </cell>
        </row>
        <row r="46">
          <cell r="B46" t="str">
            <v>CHR</v>
          </cell>
          <cell r="D46" t="str">
            <v>CHRONIC CARE</v>
          </cell>
          <cell r="F46" t="str">
            <v>D17</v>
          </cell>
          <cell r="H46">
            <v>0</v>
          </cell>
          <cell r="J46">
            <v>0</v>
          </cell>
          <cell r="L46">
            <v>0</v>
          </cell>
          <cell r="N46">
            <v>0</v>
          </cell>
          <cell r="O46" t="str">
            <v>CHR</v>
          </cell>
          <cell r="P46">
            <v>0</v>
          </cell>
          <cell r="R46">
            <v>0</v>
          </cell>
          <cell r="T46">
            <v>0</v>
          </cell>
          <cell r="AD46">
            <v>0</v>
          </cell>
          <cell r="AF46">
            <v>0</v>
          </cell>
          <cell r="AH46">
            <v>0</v>
          </cell>
          <cell r="AJ46">
            <v>0</v>
          </cell>
          <cell r="AL46">
            <v>0</v>
          </cell>
          <cell r="AN46">
            <v>0</v>
          </cell>
          <cell r="AP46">
            <v>0</v>
          </cell>
          <cell r="AR46">
            <v>0</v>
          </cell>
          <cell r="AT46">
            <v>0</v>
          </cell>
          <cell r="AV46">
            <v>0</v>
          </cell>
          <cell r="AX46">
            <v>0</v>
          </cell>
          <cell r="AZ46">
            <v>0</v>
          </cell>
          <cell r="BB46">
            <v>0</v>
          </cell>
          <cell r="BD46">
            <v>0</v>
          </cell>
          <cell r="BF46">
            <v>0</v>
          </cell>
          <cell r="BH46">
            <v>0</v>
          </cell>
          <cell r="BJ46">
            <v>0</v>
          </cell>
          <cell r="BN46">
            <v>0</v>
          </cell>
          <cell r="BP46">
            <v>0</v>
          </cell>
          <cell r="BR46">
            <v>0</v>
          </cell>
          <cell r="BT46">
            <v>0</v>
          </cell>
          <cell r="BV46">
            <v>0</v>
          </cell>
          <cell r="BX46">
            <v>0</v>
          </cell>
          <cell r="CB46">
            <v>0</v>
          </cell>
          <cell r="CD46">
            <v>0</v>
          </cell>
          <cell r="CG46" t="str">
            <v>CHR</v>
          </cell>
          <cell r="CO46" t="str">
            <v>CHR</v>
          </cell>
          <cell r="CP46">
            <v>0</v>
          </cell>
          <cell r="CR46">
            <v>0</v>
          </cell>
          <cell r="CT46">
            <v>0</v>
          </cell>
          <cell r="CV46">
            <v>0</v>
          </cell>
          <cell r="DJ46">
            <v>0</v>
          </cell>
          <cell r="DL46">
            <v>0</v>
          </cell>
        </row>
        <row r="47">
          <cell r="B47" t="str">
            <v>EMG</v>
          </cell>
          <cell r="D47" t="str">
            <v>EMERGENCY SERVICES</v>
          </cell>
          <cell r="F47" t="str">
            <v>D18</v>
          </cell>
          <cell r="H47">
            <v>6539782.7825975781</v>
          </cell>
          <cell r="J47">
            <v>350368.63648702687</v>
          </cell>
          <cell r="L47">
            <v>6890151.4190846048</v>
          </cell>
          <cell r="N47">
            <v>70.112212697118366</v>
          </cell>
          <cell r="O47" t="str">
            <v>EMG</v>
          </cell>
          <cell r="P47">
            <v>6539.8</v>
          </cell>
          <cell r="R47">
            <v>350.4</v>
          </cell>
          <cell r="T47">
            <v>6890.2</v>
          </cell>
          <cell r="AD47">
            <v>6539.8</v>
          </cell>
          <cell r="AF47">
            <v>350.4</v>
          </cell>
          <cell r="AH47">
            <v>6890.2</v>
          </cell>
          <cell r="AJ47">
            <v>70.112212697118366</v>
          </cell>
          <cell r="AL47">
            <v>0</v>
          </cell>
          <cell r="AN47">
            <v>0</v>
          </cell>
          <cell r="AP47">
            <v>0</v>
          </cell>
          <cell r="AR47">
            <v>0</v>
          </cell>
          <cell r="AT47">
            <v>40.737853073780769</v>
          </cell>
          <cell r="AV47">
            <v>743.92967699228325</v>
          </cell>
          <cell r="AX47">
            <v>784.66753006606405</v>
          </cell>
          <cell r="AZ47">
            <v>0.30692468780075433</v>
          </cell>
          <cell r="BB47">
            <v>6580.5378530737808</v>
          </cell>
          <cell r="BD47">
            <v>1094.3296769922831</v>
          </cell>
          <cell r="BF47">
            <v>7674.8675300660634</v>
          </cell>
          <cell r="BH47">
            <v>70.419137384919125</v>
          </cell>
          <cell r="BJ47">
            <v>1437.9977249329918</v>
          </cell>
          <cell r="BN47">
            <v>1437.9977249329918</v>
          </cell>
          <cell r="BP47">
            <v>6.1367525418436584</v>
          </cell>
          <cell r="BR47">
            <v>8018.535578006773</v>
          </cell>
          <cell r="BT47">
            <v>1094.3296769922831</v>
          </cell>
          <cell r="BV47">
            <v>9112.8652549990566</v>
          </cell>
          <cell r="BX47">
            <v>76.555889926762788</v>
          </cell>
          <cell r="CB47">
            <v>82.265320000000003</v>
          </cell>
          <cell r="CD47">
            <v>82.265320000000003</v>
          </cell>
          <cell r="CG47" t="str">
            <v>EMG</v>
          </cell>
          <cell r="CO47" t="str">
            <v>EMG</v>
          </cell>
          <cell r="CP47">
            <v>8100.8008980067734</v>
          </cell>
          <cell r="CR47">
            <v>1094.3296769922831</v>
          </cell>
          <cell r="CT47">
            <v>9195.130574999057</v>
          </cell>
          <cell r="CV47">
            <v>76.555889926762788</v>
          </cell>
          <cell r="DJ47">
            <v>6656.2087502005243</v>
          </cell>
          <cell r="DL47">
            <v>1444.5921478062487</v>
          </cell>
        </row>
        <row r="48">
          <cell r="B48" t="str">
            <v>CL</v>
          </cell>
          <cell r="D48" t="str">
            <v>CLINIC SERVICES</v>
          </cell>
          <cell r="F48" t="str">
            <v>D19</v>
          </cell>
          <cell r="H48">
            <v>4224439.4067137865</v>
          </cell>
          <cell r="J48">
            <v>433182.56899145694</v>
          </cell>
          <cell r="L48">
            <v>4657621.9757052436</v>
          </cell>
          <cell r="N48">
            <v>42.494115112846451</v>
          </cell>
          <cell r="O48" t="str">
            <v>CL</v>
          </cell>
          <cell r="P48">
            <v>4224.3999999999996</v>
          </cell>
          <cell r="R48">
            <v>433.2</v>
          </cell>
          <cell r="T48">
            <v>4657.5999999999995</v>
          </cell>
          <cell r="AD48">
            <v>4224.3999999999996</v>
          </cell>
          <cell r="AF48">
            <v>433.2</v>
          </cell>
          <cell r="AH48">
            <v>4657.5999999999995</v>
          </cell>
          <cell r="AJ48">
            <v>42.494115112846451</v>
          </cell>
          <cell r="AL48">
            <v>0</v>
          </cell>
          <cell r="AN48">
            <v>0</v>
          </cell>
          <cell r="AP48">
            <v>0</v>
          </cell>
          <cell r="AR48">
            <v>0</v>
          </cell>
          <cell r="AT48">
            <v>24.690691555347463</v>
          </cell>
          <cell r="AV48">
            <v>450.88625952425622</v>
          </cell>
          <cell r="AX48">
            <v>475.5769510796037</v>
          </cell>
          <cell r="AZ48">
            <v>0.18602312653749356</v>
          </cell>
          <cell r="BB48">
            <v>4249.0906915553469</v>
          </cell>
          <cell r="BD48">
            <v>884.08625952425621</v>
          </cell>
          <cell r="BF48">
            <v>5133.176951079603</v>
          </cell>
          <cell r="BH48">
            <v>42.680138239383943</v>
          </cell>
          <cell r="BJ48">
            <v>231.22183139652074</v>
          </cell>
          <cell r="BN48">
            <v>231.22183139652074</v>
          </cell>
          <cell r="BP48">
            <v>1.0677526270908371</v>
          </cell>
          <cell r="BR48">
            <v>4480.3125229518673</v>
          </cell>
          <cell r="BT48">
            <v>884.08625952425621</v>
          </cell>
          <cell r="BV48">
            <v>5364.3987824761234</v>
          </cell>
          <cell r="BX48">
            <v>43.747890866474783</v>
          </cell>
          <cell r="CB48">
            <v>47.010550000000002</v>
          </cell>
          <cell r="CD48">
            <v>47.010550000000002</v>
          </cell>
          <cell r="CG48" t="str">
            <v>CL</v>
          </cell>
          <cell r="CO48" t="str">
            <v>CL</v>
          </cell>
          <cell r="CP48">
            <v>4527.3230729518673</v>
          </cell>
          <cell r="CR48">
            <v>884.08625952425621</v>
          </cell>
          <cell r="CT48">
            <v>5411.4093324761234</v>
          </cell>
          <cell r="CV48">
            <v>43.747890866474783</v>
          </cell>
          <cell r="DJ48">
            <v>4294.9538573667769</v>
          </cell>
          <cell r="DL48">
            <v>232.36921558509087</v>
          </cell>
        </row>
        <row r="49">
          <cell r="B49" t="str">
            <v>PDC</v>
          </cell>
          <cell r="D49" t="str">
            <v>PSYCH DAY &amp; NIGHT</v>
          </cell>
          <cell r="F49" t="str">
            <v>D20</v>
          </cell>
          <cell r="H49">
            <v>475585.40277307318</v>
          </cell>
          <cell r="J49">
            <v>1623.4298114966482</v>
          </cell>
          <cell r="L49">
            <v>477208.83258456981</v>
          </cell>
          <cell r="N49">
            <v>4.0380179384947077</v>
          </cell>
          <cell r="O49" t="str">
            <v>PDC</v>
          </cell>
          <cell r="P49">
            <v>475.6</v>
          </cell>
          <cell r="R49">
            <v>1.6</v>
          </cell>
          <cell r="T49">
            <v>477.20000000000005</v>
          </cell>
          <cell r="AD49">
            <v>475.6</v>
          </cell>
          <cell r="AF49">
            <v>1.6</v>
          </cell>
          <cell r="AH49">
            <v>477.20000000000005</v>
          </cell>
          <cell r="AJ49">
            <v>4.0380179384947077</v>
          </cell>
          <cell r="AL49">
            <v>0</v>
          </cell>
          <cell r="AN49">
            <v>0</v>
          </cell>
          <cell r="AP49">
            <v>0</v>
          </cell>
          <cell r="AR49">
            <v>0</v>
          </cell>
          <cell r="AT49">
            <v>2.3462414771920259</v>
          </cell>
          <cell r="AV49">
            <v>42.845622254864004</v>
          </cell>
          <cell r="AX49">
            <v>45.191863732056028</v>
          </cell>
          <cell r="AZ49">
            <v>1.7676911730918343E-2</v>
          </cell>
          <cell r="BB49">
            <v>477.94624147719207</v>
          </cell>
          <cell r="BD49">
            <v>44.445622254864006</v>
          </cell>
          <cell r="BF49">
            <v>522.39186373205609</v>
          </cell>
          <cell r="BH49">
            <v>4.0556948502256258</v>
          </cell>
          <cell r="BJ49">
            <v>0</v>
          </cell>
          <cell r="BN49">
            <v>0</v>
          </cell>
          <cell r="BP49">
            <v>0</v>
          </cell>
          <cell r="BR49">
            <v>477.94624147719207</v>
          </cell>
          <cell r="BT49">
            <v>44.445622254864006</v>
          </cell>
          <cell r="BV49">
            <v>522.39186373205609</v>
          </cell>
          <cell r="BX49">
            <v>4.0556948502256258</v>
          </cell>
          <cell r="CB49">
            <v>4.3581599999999998</v>
          </cell>
          <cell r="CD49">
            <v>4.3581599999999998</v>
          </cell>
          <cell r="CG49" t="str">
            <v>PDC</v>
          </cell>
          <cell r="CO49" t="str">
            <v>PDC</v>
          </cell>
          <cell r="CP49">
            <v>482.30440147719207</v>
          </cell>
          <cell r="CR49">
            <v>44.445622254864006</v>
          </cell>
          <cell r="CT49">
            <v>526.75002373205609</v>
          </cell>
          <cell r="CV49">
            <v>4.0556948502256258</v>
          </cell>
          <cell r="DJ49">
            <v>482.30440147719207</v>
          </cell>
          <cell r="DL49">
            <v>0</v>
          </cell>
        </row>
        <row r="50">
          <cell r="B50" t="str">
            <v>AMS</v>
          </cell>
          <cell r="D50" t="str">
            <v>AMBULATORY SURGERY (PBP)</v>
          </cell>
          <cell r="F50" t="str">
            <v>D21</v>
          </cell>
          <cell r="H50">
            <v>0</v>
          </cell>
          <cell r="L50">
            <v>0</v>
          </cell>
          <cell r="N50">
            <v>0</v>
          </cell>
          <cell r="O50" t="str">
            <v>AMS</v>
          </cell>
          <cell r="P50">
            <v>0</v>
          </cell>
          <cell r="R50">
            <v>0</v>
          </cell>
          <cell r="T50">
            <v>0</v>
          </cell>
          <cell r="AD50">
            <v>0</v>
          </cell>
          <cell r="AF50">
            <v>0</v>
          </cell>
          <cell r="AH50">
            <v>0</v>
          </cell>
          <cell r="AJ50">
            <v>0</v>
          </cell>
          <cell r="AL50">
            <v>0</v>
          </cell>
          <cell r="AN50">
            <v>0</v>
          </cell>
          <cell r="AP50">
            <v>0</v>
          </cell>
          <cell r="AR50">
            <v>0</v>
          </cell>
          <cell r="AT50">
            <v>0</v>
          </cell>
          <cell r="AV50">
            <v>0</v>
          </cell>
          <cell r="AX50">
            <v>0</v>
          </cell>
          <cell r="AZ50">
            <v>0</v>
          </cell>
          <cell r="BB50">
            <v>0</v>
          </cell>
          <cell r="BD50">
            <v>0</v>
          </cell>
          <cell r="BF50">
            <v>0</v>
          </cell>
          <cell r="BH50">
            <v>0</v>
          </cell>
          <cell r="BJ50">
            <v>0</v>
          </cell>
          <cell r="BN50">
            <v>0</v>
          </cell>
          <cell r="BP50">
            <v>0</v>
          </cell>
          <cell r="BR50">
            <v>0</v>
          </cell>
          <cell r="BT50">
            <v>0</v>
          </cell>
          <cell r="BV50">
            <v>0</v>
          </cell>
          <cell r="BX50">
            <v>0</v>
          </cell>
          <cell r="CB50">
            <v>0</v>
          </cell>
          <cell r="CD50">
            <v>0</v>
          </cell>
          <cell r="CG50" t="str">
            <v>AMS</v>
          </cell>
          <cell r="CO50" t="str">
            <v>FSC</v>
          </cell>
          <cell r="CP50">
            <v>0</v>
          </cell>
          <cell r="CR50">
            <v>0</v>
          </cell>
          <cell r="CT50">
            <v>0</v>
          </cell>
          <cell r="CV50">
            <v>0</v>
          </cell>
          <cell r="DJ50">
            <v>0</v>
          </cell>
          <cell r="DL50">
            <v>0</v>
          </cell>
        </row>
        <row r="51">
          <cell r="B51" t="str">
            <v>SDS</v>
          </cell>
          <cell r="D51" t="str">
            <v>SAME DAY SURGERY</v>
          </cell>
          <cell r="F51" t="str">
            <v>D22</v>
          </cell>
          <cell r="H51">
            <v>1179842.8982121907</v>
          </cell>
          <cell r="J51">
            <v>971146.4227900788</v>
          </cell>
          <cell r="L51">
            <v>2150989.3210022696</v>
          </cell>
          <cell r="N51">
            <v>11.800157733703358</v>
          </cell>
          <cell r="O51" t="str">
            <v>SDS</v>
          </cell>
          <cell r="P51">
            <v>1179.8</v>
          </cell>
          <cell r="R51">
            <v>971.1</v>
          </cell>
          <cell r="T51">
            <v>2150.9</v>
          </cell>
          <cell r="AD51">
            <v>1179.8</v>
          </cell>
          <cell r="AF51">
            <v>971.1</v>
          </cell>
          <cell r="AH51">
            <v>2150.9</v>
          </cell>
          <cell r="AJ51">
            <v>11.800157733703358</v>
          </cell>
          <cell r="AL51">
            <v>0</v>
          </cell>
          <cell r="AN51">
            <v>0</v>
          </cell>
          <cell r="AP51">
            <v>0</v>
          </cell>
          <cell r="AR51">
            <v>0</v>
          </cell>
          <cell r="AT51">
            <v>6.856338910308029</v>
          </cell>
          <cell r="AV51">
            <v>125.20625428289658</v>
          </cell>
          <cell r="AX51">
            <v>132.06259319320461</v>
          </cell>
          <cell r="AZ51">
            <v>5.1656617144040226E-2</v>
          </cell>
          <cell r="BB51">
            <v>1186.656338910308</v>
          </cell>
          <cell r="BD51">
            <v>1096.3062542828966</v>
          </cell>
          <cell r="BF51">
            <v>2282.9625931932046</v>
          </cell>
          <cell r="BH51">
            <v>11.851814350847398</v>
          </cell>
          <cell r="BJ51">
            <v>0</v>
          </cell>
          <cell r="BN51">
            <v>0</v>
          </cell>
          <cell r="BP51">
            <v>0</v>
          </cell>
          <cell r="BR51">
            <v>1186.656338910308</v>
          </cell>
          <cell r="BT51">
            <v>1096.3062542828966</v>
          </cell>
          <cell r="BV51">
            <v>2282.9625931932046</v>
          </cell>
          <cell r="BX51">
            <v>11.851814350847398</v>
          </cell>
          <cell r="CB51">
            <v>12.735709999999999</v>
          </cell>
          <cell r="CD51">
            <v>12.735709999999999</v>
          </cell>
          <cell r="CG51" t="str">
            <v>SDS</v>
          </cell>
          <cell r="CO51" t="str">
            <v>SDS</v>
          </cell>
          <cell r="CP51">
            <v>1199.3920489103079</v>
          </cell>
          <cell r="CR51">
            <v>1096.3062542828966</v>
          </cell>
          <cell r="CT51">
            <v>2295.6983031932045</v>
          </cell>
          <cell r="CV51">
            <v>11.851814350847398</v>
          </cell>
          <cell r="DJ51">
            <v>1199.3920489103079</v>
          </cell>
          <cell r="DL51">
            <v>0</v>
          </cell>
        </row>
        <row r="52">
          <cell r="B52" t="str">
            <v>DEL</v>
          </cell>
          <cell r="D52" t="str">
            <v>LABOR &amp; DELIVERY</v>
          </cell>
          <cell r="F52" t="str">
            <v>D23</v>
          </cell>
          <cell r="H52">
            <v>3896951.8384159165</v>
          </cell>
          <cell r="J52">
            <v>163202.16096231854</v>
          </cell>
          <cell r="L52">
            <v>4060153.9993782351</v>
          </cell>
          <cell r="N52">
            <v>35.679111747108578</v>
          </cell>
          <cell r="O52" t="str">
            <v>DEL</v>
          </cell>
          <cell r="P52">
            <v>3897</v>
          </cell>
          <cell r="R52">
            <v>163.19999999999999</v>
          </cell>
          <cell r="T52">
            <v>4060.2</v>
          </cell>
          <cell r="AD52">
            <v>3897</v>
          </cell>
          <cell r="AF52">
            <v>163.19999999999999</v>
          </cell>
          <cell r="AH52">
            <v>4060.2</v>
          </cell>
          <cell r="AJ52">
            <v>35.679111747108578</v>
          </cell>
          <cell r="AL52">
            <v>0</v>
          </cell>
          <cell r="AN52">
            <v>0</v>
          </cell>
          <cell r="AP52">
            <v>0</v>
          </cell>
          <cell r="AR52">
            <v>0</v>
          </cell>
          <cell r="AT52">
            <v>20.730916287519385</v>
          </cell>
          <cell r="AV52">
            <v>378.57527321326398</v>
          </cell>
          <cell r="AX52">
            <v>399.30618950078338</v>
          </cell>
          <cell r="AZ52">
            <v>0.15618962535523581</v>
          </cell>
          <cell r="BB52">
            <v>3917.7309162875194</v>
          </cell>
          <cell r="BD52">
            <v>541.77527321326397</v>
          </cell>
          <cell r="BF52">
            <v>4459.5061895007839</v>
          </cell>
          <cell r="BH52">
            <v>35.835301372463817</v>
          </cell>
          <cell r="BJ52">
            <v>0</v>
          </cell>
          <cell r="BN52">
            <v>0</v>
          </cell>
          <cell r="BP52">
            <v>0</v>
          </cell>
          <cell r="BR52">
            <v>3917.7309162875194</v>
          </cell>
          <cell r="BT52">
            <v>541.77527321326397</v>
          </cell>
          <cell r="BV52">
            <v>4459.5061895007839</v>
          </cell>
          <cell r="BX52">
            <v>35.835301372463817</v>
          </cell>
          <cell r="CB52">
            <v>38.507849999999998</v>
          </cell>
          <cell r="CD52">
            <v>38.507849999999998</v>
          </cell>
          <cell r="CG52" t="str">
            <v>DEL</v>
          </cell>
          <cell r="CO52" t="str">
            <v>DEL</v>
          </cell>
          <cell r="CP52">
            <v>3956.2387662875194</v>
          </cell>
          <cell r="CR52">
            <v>541.77527321326397</v>
          </cell>
          <cell r="CT52">
            <v>4498.0140395007838</v>
          </cell>
          <cell r="CV52">
            <v>35.835301372463817</v>
          </cell>
          <cell r="DJ52">
            <v>3956.2387662875194</v>
          </cell>
          <cell r="DL52">
            <v>0</v>
          </cell>
        </row>
        <row r="53">
          <cell r="B53" t="str">
            <v>OR</v>
          </cell>
          <cell r="D53" t="str">
            <v>OPERATING ROOM</v>
          </cell>
          <cell r="F53" t="str">
            <v>D24</v>
          </cell>
          <cell r="H53">
            <v>12188690.118795445</v>
          </cell>
          <cell r="J53">
            <v>1084395.921549208</v>
          </cell>
          <cell r="L53">
            <v>13273086.040344654</v>
          </cell>
          <cell r="N53">
            <v>113.10909828406339</v>
          </cell>
          <cell r="O53" t="str">
            <v>OR</v>
          </cell>
          <cell r="P53">
            <v>12188.7</v>
          </cell>
          <cell r="R53">
            <v>1084.4000000000001</v>
          </cell>
          <cell r="T53">
            <v>13273.1</v>
          </cell>
          <cell r="AD53">
            <v>12188.7</v>
          </cell>
          <cell r="AF53">
            <v>1084.4000000000001</v>
          </cell>
          <cell r="AH53">
            <v>13273.1</v>
          </cell>
          <cell r="AJ53">
            <v>113.10909828406339</v>
          </cell>
          <cell r="AL53">
            <v>0</v>
          </cell>
          <cell r="AN53">
            <v>0</v>
          </cell>
          <cell r="AP53">
            <v>0</v>
          </cell>
          <cell r="AR53">
            <v>0</v>
          </cell>
          <cell r="AT53">
            <v>65.720673331329422</v>
          </cell>
          <cell r="AV53">
            <v>1200.1506116324595</v>
          </cell>
          <cell r="AX53">
            <v>1265.8712849637889</v>
          </cell>
          <cell r="AZ53">
            <v>0.49514875287465898</v>
          </cell>
          <cell r="BB53">
            <v>12254.420673331329</v>
          </cell>
          <cell r="BD53">
            <v>2284.5506116324595</v>
          </cell>
          <cell r="BF53">
            <v>14538.971284963789</v>
          </cell>
          <cell r="BH53">
            <v>113.60424703693805</v>
          </cell>
          <cell r="BJ53">
            <v>729.41424355090919</v>
          </cell>
          <cell r="BN53">
            <v>729.41424355090919</v>
          </cell>
          <cell r="BP53">
            <v>2.4486179836628605</v>
          </cell>
          <cell r="BR53">
            <v>12983.834916882239</v>
          </cell>
          <cell r="BT53">
            <v>2284.5506116324595</v>
          </cell>
          <cell r="BV53">
            <v>15268.385528514698</v>
          </cell>
          <cell r="BX53">
            <v>116.0528650206009</v>
          </cell>
          <cell r="CB53">
            <v>124.70793</v>
          </cell>
          <cell r="CD53">
            <v>124.70793</v>
          </cell>
          <cell r="CG53" t="str">
            <v>OR</v>
          </cell>
          <cell r="CO53" t="str">
            <v>OR</v>
          </cell>
          <cell r="CP53">
            <v>13108.542846882239</v>
          </cell>
          <cell r="CR53">
            <v>2284.5506116324595</v>
          </cell>
          <cell r="CT53">
            <v>15393.093458514699</v>
          </cell>
          <cell r="CV53">
            <v>116.0528650206009</v>
          </cell>
          <cell r="DJ53">
            <v>12376.497370745652</v>
          </cell>
          <cell r="DL53">
            <v>732.0454761365861</v>
          </cell>
        </row>
        <row r="54">
          <cell r="B54" t="str">
            <v>ORC</v>
          </cell>
          <cell r="D54" t="str">
            <v>OPERATING ROOM CLINIC</v>
          </cell>
          <cell r="F54" t="str">
            <v>D24a</v>
          </cell>
          <cell r="H54">
            <v>5628.1214925613449</v>
          </cell>
          <cell r="J54">
            <v>1166.121791641599</v>
          </cell>
          <cell r="L54">
            <v>6794.2432842029439</v>
          </cell>
          <cell r="N54">
            <v>5.8849474125397837E-2</v>
          </cell>
          <cell r="O54" t="str">
            <v>ORC</v>
          </cell>
          <cell r="P54">
            <v>5.6</v>
          </cell>
          <cell r="R54">
            <v>1.2</v>
          </cell>
          <cell r="T54">
            <v>6.8</v>
          </cell>
          <cell r="AD54">
            <v>5.6</v>
          </cell>
          <cell r="AF54">
            <v>1.2</v>
          </cell>
          <cell r="AH54">
            <v>6.8</v>
          </cell>
          <cell r="AJ54">
            <v>5.8849474125397837E-2</v>
          </cell>
          <cell r="AL54">
            <v>0</v>
          </cell>
          <cell r="AN54">
            <v>0</v>
          </cell>
          <cell r="AP54">
            <v>0</v>
          </cell>
          <cell r="AR54">
            <v>0</v>
          </cell>
          <cell r="AT54">
            <v>3.419377506664048E-2</v>
          </cell>
          <cell r="AV54">
            <v>0.6244257397266868</v>
          </cell>
          <cell r="AX54">
            <v>0.65861951479332725</v>
          </cell>
          <cell r="AZ54">
            <v>2.5762068801344029E-4</v>
          </cell>
          <cell r="BB54">
            <v>5.63419377506664</v>
          </cell>
          <cell r="BD54">
            <v>1.8244257397266868</v>
          </cell>
          <cell r="BF54">
            <v>7.4586195147933267</v>
          </cell>
          <cell r="BH54">
            <v>5.9107094813411275E-2</v>
          </cell>
          <cell r="BJ54">
            <v>0</v>
          </cell>
          <cell r="BN54">
            <v>0</v>
          </cell>
          <cell r="BP54">
            <v>0</v>
          </cell>
          <cell r="BR54">
            <v>5.63419377506664</v>
          </cell>
          <cell r="BT54">
            <v>1.8244257397266868</v>
          </cell>
          <cell r="BV54">
            <v>7.4586195147933267</v>
          </cell>
          <cell r="BX54">
            <v>5.9107094813411275E-2</v>
          </cell>
          <cell r="CB54">
            <v>6.3519999999999993E-2</v>
          </cell>
          <cell r="CD54">
            <v>6.3519999999999993E-2</v>
          </cell>
          <cell r="CG54" t="str">
            <v>ORC</v>
          </cell>
          <cell r="CO54" t="str">
            <v>OR</v>
          </cell>
          <cell r="CP54">
            <v>5.6977137750666396</v>
          </cell>
          <cell r="CR54">
            <v>1.8244257397266868</v>
          </cell>
          <cell r="CT54">
            <v>7.5221395147933263</v>
          </cell>
          <cell r="CV54">
            <v>5.9107094813411275E-2</v>
          </cell>
          <cell r="DJ54">
            <v>5.6977137750666396</v>
          </cell>
          <cell r="DL54">
            <v>0</v>
          </cell>
        </row>
        <row r="55">
          <cell r="B55" t="str">
            <v>ANS</v>
          </cell>
          <cell r="D55" t="str">
            <v>ANESTHESIOLOGY</v>
          </cell>
          <cell r="F55" t="str">
            <v>D25</v>
          </cell>
          <cell r="H55">
            <v>809958.36943964683</v>
          </cell>
          <cell r="J55">
            <v>321939.4740000001</v>
          </cell>
          <cell r="L55">
            <v>1131897.843439647</v>
          </cell>
          <cell r="N55">
            <v>11.131958403010033</v>
          </cell>
          <cell r="O55" t="str">
            <v>ANS</v>
          </cell>
          <cell r="P55">
            <v>810</v>
          </cell>
          <cell r="R55">
            <v>321.89999999999998</v>
          </cell>
          <cell r="T55">
            <v>1131.9000000000001</v>
          </cell>
          <cell r="AD55">
            <v>810</v>
          </cell>
          <cell r="AF55">
            <v>321.89999999999998</v>
          </cell>
          <cell r="AH55">
            <v>1131.9000000000001</v>
          </cell>
          <cell r="AJ55">
            <v>11.131958403010033</v>
          </cell>
          <cell r="AL55">
            <v>0</v>
          </cell>
          <cell r="AN55">
            <v>0</v>
          </cell>
          <cell r="AP55">
            <v>0</v>
          </cell>
          <cell r="AR55">
            <v>0</v>
          </cell>
          <cell r="AT55">
            <v>6.4680897720961621</v>
          </cell>
          <cell r="AV55">
            <v>118.11628674191245</v>
          </cell>
          <cell r="AX55">
            <v>124.58437651400861</v>
          </cell>
          <cell r="AZ55">
            <v>4.8731493787176741E-2</v>
          </cell>
          <cell r="BB55">
            <v>816.46808977209616</v>
          </cell>
          <cell r="BD55">
            <v>440.01628674191244</v>
          </cell>
          <cell r="BF55">
            <v>1256.4843765140085</v>
          </cell>
          <cell r="BH55">
            <v>11.18068989679721</v>
          </cell>
          <cell r="BJ55">
            <v>0</v>
          </cell>
          <cell r="BN55">
            <v>0</v>
          </cell>
          <cell r="BP55">
            <v>0</v>
          </cell>
          <cell r="BR55">
            <v>816.46808977209616</v>
          </cell>
          <cell r="BT55">
            <v>440.01628674191244</v>
          </cell>
          <cell r="BV55">
            <v>1256.4843765140085</v>
          </cell>
          <cell r="BX55">
            <v>11.18068989679721</v>
          </cell>
          <cell r="CB55">
            <v>12.014530000000001</v>
          </cell>
          <cell r="CD55">
            <v>12.014530000000001</v>
          </cell>
          <cell r="CG55" t="str">
            <v>ANS</v>
          </cell>
          <cell r="CO55" t="str">
            <v>ANS</v>
          </cell>
          <cell r="CP55">
            <v>828.4826197720962</v>
          </cell>
          <cell r="CR55">
            <v>440.01628674191244</v>
          </cell>
          <cell r="CT55">
            <v>1268.4989065140087</v>
          </cell>
          <cell r="CV55">
            <v>11.18068989679721</v>
          </cell>
          <cell r="DJ55">
            <v>828.4826197720962</v>
          </cell>
          <cell r="DL55">
            <v>0</v>
          </cell>
        </row>
        <row r="56">
          <cell r="B56" t="str">
            <v>MSS</v>
          </cell>
          <cell r="D56" t="str">
            <v>MEDICAL SUPPLIES SOLD</v>
          </cell>
          <cell r="F56" t="str">
            <v>D26</v>
          </cell>
          <cell r="H56">
            <v>0</v>
          </cell>
          <cell r="J56">
            <v>47322986.169999987</v>
          </cell>
          <cell r="L56">
            <v>47322986.169999987</v>
          </cell>
          <cell r="N56">
            <v>0</v>
          </cell>
          <cell r="O56" t="str">
            <v>MSS</v>
          </cell>
          <cell r="P56">
            <v>0</v>
          </cell>
          <cell r="R56">
            <v>47323</v>
          </cell>
          <cell r="T56">
            <v>47323</v>
          </cell>
          <cell r="AD56">
            <v>0</v>
          </cell>
          <cell r="AF56">
            <v>47323</v>
          </cell>
          <cell r="AH56">
            <v>47323</v>
          </cell>
          <cell r="AJ56">
            <v>0</v>
          </cell>
          <cell r="AL56">
            <v>0</v>
          </cell>
          <cell r="AN56">
            <v>0</v>
          </cell>
          <cell r="AP56">
            <v>0</v>
          </cell>
          <cell r="AR56">
            <v>0</v>
          </cell>
          <cell r="AT56">
            <v>0</v>
          </cell>
          <cell r="AV56">
            <v>0</v>
          </cell>
          <cell r="AX56">
            <v>0</v>
          </cell>
          <cell r="AZ56">
            <v>0</v>
          </cell>
          <cell r="BB56">
            <v>0</v>
          </cell>
          <cell r="BD56">
            <v>47323</v>
          </cell>
          <cell r="BF56">
            <v>47323</v>
          </cell>
          <cell r="BH56">
            <v>0</v>
          </cell>
          <cell r="BJ56">
            <v>0</v>
          </cell>
          <cell r="BN56">
            <v>0</v>
          </cell>
          <cell r="BR56">
            <v>0</v>
          </cell>
          <cell r="BT56">
            <v>47323</v>
          </cell>
          <cell r="BV56">
            <v>47323</v>
          </cell>
          <cell r="BX56">
            <v>0</v>
          </cell>
          <cell r="CD56">
            <v>0</v>
          </cell>
          <cell r="CG56" t="str">
            <v>MSS</v>
          </cell>
          <cell r="CO56" t="str">
            <v>MSS</v>
          </cell>
          <cell r="CP56">
            <v>0</v>
          </cell>
          <cell r="CR56">
            <v>47323</v>
          </cell>
          <cell r="CT56">
            <v>47323</v>
          </cell>
          <cell r="CV56">
            <v>0</v>
          </cell>
          <cell r="DJ56">
            <v>0</v>
          </cell>
          <cell r="DL56">
            <v>0</v>
          </cell>
        </row>
        <row r="57">
          <cell r="B57" t="str">
            <v>CDS</v>
          </cell>
          <cell r="D57" t="str">
            <v>DRUGS SOLD</v>
          </cell>
          <cell r="F57" t="str">
            <v>D27</v>
          </cell>
          <cell r="H57">
            <v>0</v>
          </cell>
          <cell r="J57">
            <v>22020247.089999996</v>
          </cell>
          <cell r="L57">
            <v>22020247.089999996</v>
          </cell>
          <cell r="N57">
            <v>0</v>
          </cell>
          <cell r="O57" t="str">
            <v>CDS</v>
          </cell>
          <cell r="P57">
            <v>0</v>
          </cell>
          <cell r="R57">
            <v>22020.2</v>
          </cell>
          <cell r="T57">
            <v>22020.2</v>
          </cell>
          <cell r="AD57">
            <v>0</v>
          </cell>
          <cell r="AF57">
            <v>22020.2</v>
          </cell>
          <cell r="AH57">
            <v>22020.2</v>
          </cell>
          <cell r="AJ57">
            <v>0</v>
          </cell>
          <cell r="AL57">
            <v>0</v>
          </cell>
          <cell r="AN57">
            <v>0</v>
          </cell>
          <cell r="AP57">
            <v>0</v>
          </cell>
          <cell r="AR57">
            <v>0</v>
          </cell>
          <cell r="AT57">
            <v>0</v>
          </cell>
          <cell r="AV57">
            <v>0</v>
          </cell>
          <cell r="AX57">
            <v>0</v>
          </cell>
          <cell r="AZ57">
            <v>0</v>
          </cell>
          <cell r="BB57">
            <v>0</v>
          </cell>
          <cell r="BD57">
            <v>22020.2</v>
          </cell>
          <cell r="BF57">
            <v>22020.2</v>
          </cell>
          <cell r="BH57">
            <v>0</v>
          </cell>
          <cell r="BJ57">
            <v>0</v>
          </cell>
          <cell r="BN57">
            <v>0</v>
          </cell>
          <cell r="BR57">
            <v>0</v>
          </cell>
          <cell r="BT57">
            <v>22020.2</v>
          </cell>
          <cell r="BV57">
            <v>22020.2</v>
          </cell>
          <cell r="BX57">
            <v>0</v>
          </cell>
          <cell r="CD57">
            <v>0</v>
          </cell>
          <cell r="CG57" t="str">
            <v>CDS</v>
          </cell>
          <cell r="CO57" t="str">
            <v>CDS</v>
          </cell>
          <cell r="CP57">
            <v>0</v>
          </cell>
          <cell r="CR57">
            <v>22020.2</v>
          </cell>
          <cell r="CT57">
            <v>22020.2</v>
          </cell>
          <cell r="CV57">
            <v>0</v>
          </cell>
          <cell r="DJ57">
            <v>0</v>
          </cell>
          <cell r="DL57">
            <v>0</v>
          </cell>
        </row>
        <row r="58">
          <cell r="B58" t="str">
            <v>LAB</v>
          </cell>
          <cell r="D58" t="str">
            <v>LABORATORY SERVICES</v>
          </cell>
          <cell r="F58" t="str">
            <v>D28</v>
          </cell>
          <cell r="H58">
            <v>4657537.300390657</v>
          </cell>
          <cell r="J58">
            <v>4626505.8683149256</v>
          </cell>
          <cell r="L58">
            <v>9284043.1687055826</v>
          </cell>
          <cell r="N58">
            <v>58.448611373904015</v>
          </cell>
          <cell r="O58" t="str">
            <v>LAB</v>
          </cell>
          <cell r="P58">
            <v>4657.5</v>
          </cell>
          <cell r="R58">
            <v>4626.5</v>
          </cell>
          <cell r="T58">
            <v>9284</v>
          </cell>
          <cell r="AD58">
            <v>4657.5</v>
          </cell>
          <cell r="AF58">
            <v>4626.5</v>
          </cell>
          <cell r="AH58">
            <v>9284</v>
          </cell>
          <cell r="AJ58">
            <v>58.448611373904015</v>
          </cell>
          <cell r="AL58">
            <v>0</v>
          </cell>
          <cell r="AN58">
            <v>0</v>
          </cell>
          <cell r="AP58">
            <v>0</v>
          </cell>
          <cell r="AR58">
            <v>0</v>
          </cell>
          <cell r="AT58">
            <v>33.960858613929837</v>
          </cell>
          <cell r="AV58">
            <v>620.17236237964312</v>
          </cell>
          <cell r="AX58">
            <v>654.13322099357299</v>
          </cell>
          <cell r="AZ58">
            <v>0.25586586285359691</v>
          </cell>
          <cell r="BB58">
            <v>4691.4608586139302</v>
          </cell>
          <cell r="BD58">
            <v>5246.6723623796433</v>
          </cell>
          <cell r="BF58">
            <v>9938.1332209935736</v>
          </cell>
          <cell r="BH58">
            <v>58.704477236757612</v>
          </cell>
          <cell r="BJ58">
            <v>4.5599999999999996</v>
          </cell>
          <cell r="BN58">
            <v>4.5599999999999996</v>
          </cell>
          <cell r="BP58">
            <v>2.7305389221556887E-2</v>
          </cell>
          <cell r="BR58">
            <v>4696.0208586139306</v>
          </cell>
          <cell r="BT58">
            <v>5246.6723623796433</v>
          </cell>
          <cell r="BV58">
            <v>9942.693220993573</v>
          </cell>
          <cell r="BX58">
            <v>58.731782625979172</v>
          </cell>
          <cell r="CB58">
            <v>63.111919999999998</v>
          </cell>
          <cell r="CD58">
            <v>63.111919999999998</v>
          </cell>
          <cell r="CG58" t="str">
            <v>LAB</v>
          </cell>
          <cell r="CO58" t="str">
            <v>LAB</v>
          </cell>
          <cell r="CP58">
            <v>4759.1327786139309</v>
          </cell>
          <cell r="CR58">
            <v>5246.6723623796433</v>
          </cell>
          <cell r="CT58">
            <v>10005.805140993574</v>
          </cell>
          <cell r="CV58">
            <v>58.731782625979172</v>
          </cell>
          <cell r="DJ58">
            <v>4754.5434368254973</v>
          </cell>
          <cell r="DL58">
            <v>4.589341788433261</v>
          </cell>
        </row>
        <row r="59">
          <cell r="H59" t="str">
            <v>XXXXXXXXX</v>
          </cell>
          <cell r="J59" t="str">
            <v>XXXXXXXXX</v>
          </cell>
          <cell r="L59">
            <v>0</v>
          </cell>
          <cell r="O59">
            <v>0</v>
          </cell>
          <cell r="P59">
            <v>0</v>
          </cell>
          <cell r="R59">
            <v>0</v>
          </cell>
          <cell r="T59">
            <v>0</v>
          </cell>
          <cell r="AD59">
            <v>0</v>
          </cell>
          <cell r="AF59">
            <v>0</v>
          </cell>
          <cell r="AH59">
            <v>0</v>
          </cell>
          <cell r="AJ59">
            <v>0</v>
          </cell>
          <cell r="AL59">
            <v>0</v>
          </cell>
          <cell r="AN59">
            <v>0</v>
          </cell>
          <cell r="AP59">
            <v>0</v>
          </cell>
          <cell r="AR59">
            <v>0</v>
          </cell>
          <cell r="AT59">
            <v>0</v>
          </cell>
          <cell r="AV59">
            <v>0</v>
          </cell>
          <cell r="AX59">
            <v>0</v>
          </cell>
          <cell r="AZ59">
            <v>0</v>
          </cell>
          <cell r="BB59">
            <v>0</v>
          </cell>
          <cell r="BD59">
            <v>0</v>
          </cell>
          <cell r="BF59">
            <v>0</v>
          </cell>
          <cell r="BH59">
            <v>0</v>
          </cell>
          <cell r="BJ59">
            <v>0</v>
          </cell>
          <cell r="BN59">
            <v>0</v>
          </cell>
          <cell r="BP59">
            <v>0</v>
          </cell>
          <cell r="BR59">
            <v>0</v>
          </cell>
          <cell r="BT59">
            <v>0</v>
          </cell>
          <cell r="BV59">
            <v>0</v>
          </cell>
          <cell r="BX59">
            <v>0</v>
          </cell>
          <cell r="CD59">
            <v>0</v>
          </cell>
          <cell r="CG59">
            <v>0</v>
          </cell>
          <cell r="CO59" t="str">
            <v>BB</v>
          </cell>
          <cell r="CP59">
            <v>0</v>
          </cell>
          <cell r="CR59">
            <v>0</v>
          </cell>
          <cell r="CT59">
            <v>0</v>
          </cell>
          <cell r="CV59">
            <v>0</v>
          </cell>
          <cell r="DJ59">
            <v>0</v>
          </cell>
          <cell r="DL59">
            <v>0</v>
          </cell>
        </row>
        <row r="60">
          <cell r="B60" t="str">
            <v>EKG</v>
          </cell>
          <cell r="D60" t="str">
            <v>ELECTROCARDIOLOGY</v>
          </cell>
          <cell r="F60" t="str">
            <v>D30</v>
          </cell>
          <cell r="H60">
            <v>716155.10063122213</v>
          </cell>
          <cell r="J60">
            <v>11352.883758226391</v>
          </cell>
          <cell r="L60">
            <v>727507.98438944854</v>
          </cell>
          <cell r="N60">
            <v>10.517716413012774</v>
          </cell>
          <cell r="O60" t="str">
            <v>EKG</v>
          </cell>
          <cell r="P60">
            <v>716.2</v>
          </cell>
          <cell r="R60">
            <v>11.4</v>
          </cell>
          <cell r="T60">
            <v>727.6</v>
          </cell>
          <cell r="AD60">
            <v>716.2</v>
          </cell>
          <cell r="AF60">
            <v>11.4</v>
          </cell>
          <cell r="AH60">
            <v>727.6</v>
          </cell>
          <cell r="AJ60">
            <v>10.517716413012774</v>
          </cell>
          <cell r="AL60">
            <v>0</v>
          </cell>
          <cell r="AN60">
            <v>0</v>
          </cell>
          <cell r="AP60">
            <v>0</v>
          </cell>
          <cell r="AR60">
            <v>0</v>
          </cell>
          <cell r="AT60">
            <v>6.1111918939996182</v>
          </cell>
          <cell r="AV60">
            <v>111.59883667671802</v>
          </cell>
          <cell r="AX60">
            <v>117.71002857071764</v>
          </cell>
          <cell r="AZ60">
            <v>4.6042575212770206E-2</v>
          </cell>
          <cell r="BB60">
            <v>722.31119189399965</v>
          </cell>
          <cell r="BD60">
            <v>122.99883667671803</v>
          </cell>
          <cell r="BF60">
            <v>845.31002857071769</v>
          </cell>
          <cell r="BH60">
            <v>10.563758988225544</v>
          </cell>
          <cell r="BJ60">
            <v>0</v>
          </cell>
          <cell r="BN60">
            <v>0</v>
          </cell>
          <cell r="BP60">
            <v>0</v>
          </cell>
          <cell r="BR60">
            <v>722.31119189399965</v>
          </cell>
          <cell r="BT60">
            <v>122.99883667671803</v>
          </cell>
          <cell r="BV60">
            <v>845.31002857071769</v>
          </cell>
          <cell r="BX60">
            <v>10.563758988225544</v>
          </cell>
          <cell r="CB60">
            <v>11.35159</v>
          </cell>
          <cell r="CD60">
            <v>11.35159</v>
          </cell>
          <cell r="CG60" t="str">
            <v>EKG</v>
          </cell>
          <cell r="CO60" t="str">
            <v>EKG</v>
          </cell>
          <cell r="CP60">
            <v>733.66278189399964</v>
          </cell>
          <cell r="CR60">
            <v>122.99883667671803</v>
          </cell>
          <cell r="CT60">
            <v>856.66161857071768</v>
          </cell>
          <cell r="CV60">
            <v>10.563758988225544</v>
          </cell>
          <cell r="DJ60">
            <v>733.66278189399964</v>
          </cell>
          <cell r="DL60">
            <v>0</v>
          </cell>
        </row>
        <row r="61">
          <cell r="B61" t="str">
            <v>IRC</v>
          </cell>
          <cell r="D61" t="str">
            <v>INVASIVE RADIOLOGY/CARDIOVASCULAR</v>
          </cell>
          <cell r="F61" t="str">
            <v>D31</v>
          </cell>
          <cell r="H61">
            <v>4953151.7226840975</v>
          </cell>
          <cell r="J61">
            <v>615914.75111824193</v>
          </cell>
          <cell r="L61">
            <v>5569066.4738023393</v>
          </cell>
          <cell r="N61">
            <v>40.55487400825006</v>
          </cell>
          <cell r="O61" t="str">
            <v>IRC</v>
          </cell>
          <cell r="P61">
            <v>4953.2</v>
          </cell>
          <cell r="R61">
            <v>615.9</v>
          </cell>
          <cell r="T61">
            <v>5569.0999999999995</v>
          </cell>
          <cell r="AD61">
            <v>4953.2</v>
          </cell>
          <cell r="AF61">
            <v>615.9</v>
          </cell>
          <cell r="AH61">
            <v>5569.0999999999995</v>
          </cell>
          <cell r="AJ61">
            <v>40.55487400825006</v>
          </cell>
          <cell r="AL61">
            <v>0</v>
          </cell>
          <cell r="AN61">
            <v>0</v>
          </cell>
          <cell r="AP61">
            <v>0</v>
          </cell>
          <cell r="AR61">
            <v>0</v>
          </cell>
          <cell r="AT61">
            <v>23.56391896959321</v>
          </cell>
          <cell r="AV61">
            <v>430.30982992582409</v>
          </cell>
          <cell r="AX61">
            <v>453.87374889541729</v>
          </cell>
          <cell r="AZ61">
            <v>0.17753386414365241</v>
          </cell>
          <cell r="BB61">
            <v>4976.7639189695929</v>
          </cell>
          <cell r="BD61">
            <v>1046.2098299258241</v>
          </cell>
          <cell r="BF61">
            <v>6022.973748895417</v>
          </cell>
          <cell r="BH61">
            <v>40.732407872393715</v>
          </cell>
          <cell r="BJ61">
            <v>0</v>
          </cell>
          <cell r="BN61">
            <v>0</v>
          </cell>
          <cell r="BP61">
            <v>0</v>
          </cell>
          <cell r="BR61">
            <v>4976.7639189695929</v>
          </cell>
          <cell r="BT61">
            <v>1046.2098299258241</v>
          </cell>
          <cell r="BV61">
            <v>6022.973748895417</v>
          </cell>
          <cell r="BX61">
            <v>40.732407872393715</v>
          </cell>
          <cell r="CB61">
            <v>43.77017</v>
          </cell>
          <cell r="CD61">
            <v>43.77017</v>
          </cell>
          <cell r="CG61" t="str">
            <v>IRC</v>
          </cell>
          <cell r="CO61" t="str">
            <v>IRC</v>
          </cell>
          <cell r="CP61">
            <v>5020.5340889695926</v>
          </cell>
          <cell r="CR61">
            <v>1046.2098299258241</v>
          </cell>
          <cell r="CT61">
            <v>6066.7439188954168</v>
          </cell>
          <cell r="CV61">
            <v>40.732407872393715</v>
          </cell>
          <cell r="DJ61">
            <v>5020.5340889695926</v>
          </cell>
          <cell r="DL61">
            <v>0</v>
          </cell>
        </row>
        <row r="62">
          <cell r="B62" t="str">
            <v>RAD</v>
          </cell>
          <cell r="D62" t="str">
            <v>RADIOLOGY DIAGNOSTIC</v>
          </cell>
          <cell r="F62" t="str">
            <v>D32</v>
          </cell>
          <cell r="H62">
            <v>3882803.6331418739</v>
          </cell>
          <cell r="J62">
            <v>351828.19049274933</v>
          </cell>
          <cell r="L62">
            <v>4234631.8236346235</v>
          </cell>
          <cell r="N62">
            <v>41.375440664238887</v>
          </cell>
          <cell r="O62" t="str">
            <v>RAD</v>
          </cell>
          <cell r="P62">
            <v>3882.8</v>
          </cell>
          <cell r="R62">
            <v>351.8</v>
          </cell>
          <cell r="T62">
            <v>4234.6000000000004</v>
          </cell>
          <cell r="AD62">
            <v>3882.8</v>
          </cell>
          <cell r="AF62">
            <v>351.8</v>
          </cell>
          <cell r="AH62">
            <v>4234.6000000000004</v>
          </cell>
          <cell r="AJ62">
            <v>41.375440664238887</v>
          </cell>
          <cell r="AL62">
            <v>0</v>
          </cell>
          <cell r="AN62">
            <v>0</v>
          </cell>
          <cell r="AP62">
            <v>0</v>
          </cell>
          <cell r="AR62">
            <v>0</v>
          </cell>
          <cell r="AT62">
            <v>24.040699299053419</v>
          </cell>
          <cell r="AV62">
            <v>439.01649976061447</v>
          </cell>
          <cell r="AX62">
            <v>463.05719905966788</v>
          </cell>
          <cell r="AZ62">
            <v>0.18112599388853823</v>
          </cell>
          <cell r="BB62">
            <v>3906.8406992990535</v>
          </cell>
          <cell r="BD62">
            <v>790.81649976061453</v>
          </cell>
          <cell r="BF62">
            <v>4697.6571990596676</v>
          </cell>
          <cell r="BH62">
            <v>41.556566658127423</v>
          </cell>
          <cell r="BJ62">
            <v>5.0039110754847789</v>
          </cell>
          <cell r="BN62">
            <v>5.0039110754847789</v>
          </cell>
          <cell r="BP62">
            <v>1.515877332773335E-2</v>
          </cell>
          <cell r="BR62">
            <v>3911.8446103745382</v>
          </cell>
          <cell r="BT62">
            <v>790.81649976061453</v>
          </cell>
          <cell r="BV62">
            <v>4702.6611101351527</v>
          </cell>
          <cell r="BX62">
            <v>41.571725431455157</v>
          </cell>
          <cell r="CB62">
            <v>44.672089999999997</v>
          </cell>
          <cell r="CD62">
            <v>44.672089999999997</v>
          </cell>
          <cell r="CG62" t="str">
            <v>RAD</v>
          </cell>
          <cell r="CO62" t="str">
            <v>RAD</v>
          </cell>
          <cell r="CP62">
            <v>3956.5167003745382</v>
          </cell>
          <cell r="CR62">
            <v>790.81649976061453</v>
          </cell>
          <cell r="CT62">
            <v>4747.3332001351528</v>
          </cell>
          <cell r="CV62">
            <v>41.571725431455157</v>
          </cell>
          <cell r="DJ62">
            <v>3951.4965000043621</v>
          </cell>
          <cell r="DL62">
            <v>5.020200370176255</v>
          </cell>
        </row>
        <row r="63">
          <cell r="B63" t="str">
            <v>CAT</v>
          </cell>
          <cell r="D63" t="str">
            <v>CT SCANNER</v>
          </cell>
          <cell r="F63" t="str">
            <v>D33</v>
          </cell>
          <cell r="H63">
            <v>857384.82322950312</v>
          </cell>
          <cell r="J63">
            <v>259702.59758257837</v>
          </cell>
          <cell r="L63">
            <v>1117087.4208120815</v>
          </cell>
          <cell r="N63">
            <v>8.7595071093120538</v>
          </cell>
          <cell r="O63" t="str">
            <v>CAT</v>
          </cell>
          <cell r="P63">
            <v>857.4</v>
          </cell>
          <cell r="R63">
            <v>259.7</v>
          </cell>
          <cell r="T63">
            <v>1117.0999999999999</v>
          </cell>
          <cell r="AD63">
            <v>857.4</v>
          </cell>
          <cell r="AF63">
            <v>259.7</v>
          </cell>
          <cell r="AH63">
            <v>1117.0999999999999</v>
          </cell>
          <cell r="AJ63">
            <v>8.7595071093120538</v>
          </cell>
          <cell r="AL63">
            <v>0</v>
          </cell>
          <cell r="AN63">
            <v>0</v>
          </cell>
          <cell r="AP63">
            <v>0</v>
          </cell>
          <cell r="AR63">
            <v>0</v>
          </cell>
          <cell r="AT63">
            <v>5.0896056463007469</v>
          </cell>
          <cell r="AV63">
            <v>92.943255443854412</v>
          </cell>
          <cell r="AX63">
            <v>98.032861090155166</v>
          </cell>
          <cell r="AZ63">
            <v>3.8345801414488637E-2</v>
          </cell>
          <cell r="BB63">
            <v>862.48960564630067</v>
          </cell>
          <cell r="BD63">
            <v>352.6432554438544</v>
          </cell>
          <cell r="BF63">
            <v>1215.1328610901551</v>
          </cell>
          <cell r="BH63">
            <v>8.797852910726542</v>
          </cell>
          <cell r="BJ63">
            <v>0</v>
          </cell>
          <cell r="BN63">
            <v>0</v>
          </cell>
          <cell r="BP63">
            <v>0</v>
          </cell>
          <cell r="BR63">
            <v>862.48960564630067</v>
          </cell>
          <cell r="BT63">
            <v>352.6432554438544</v>
          </cell>
          <cell r="BV63">
            <v>1215.1328610901551</v>
          </cell>
          <cell r="BX63">
            <v>8.797852910726542</v>
          </cell>
          <cell r="CB63">
            <v>9.4539799999999996</v>
          </cell>
          <cell r="CD63">
            <v>9.4539799999999996</v>
          </cell>
          <cell r="CG63" t="str">
            <v>CAT</v>
          </cell>
          <cell r="CO63" t="str">
            <v>CT</v>
          </cell>
          <cell r="CP63">
            <v>871.94358564630068</v>
          </cell>
          <cell r="CR63">
            <v>352.6432554438544</v>
          </cell>
          <cell r="CT63">
            <v>1224.5868410901551</v>
          </cell>
          <cell r="CV63">
            <v>8.797852910726542</v>
          </cell>
          <cell r="DJ63">
            <v>871.94358564630068</v>
          </cell>
          <cell r="DL63">
            <v>0</v>
          </cell>
        </row>
        <row r="64">
          <cell r="B64" t="str">
            <v>RAT</v>
          </cell>
          <cell r="D64" t="str">
            <v>RADIOLOGY THERAPEUTIC</v>
          </cell>
          <cell r="F64" t="str">
            <v>D34</v>
          </cell>
          <cell r="H64">
            <v>1380471.6973430191</v>
          </cell>
          <cell r="J64">
            <v>906812.43000000017</v>
          </cell>
          <cell r="L64">
            <v>2287284.1273430195</v>
          </cell>
          <cell r="N64">
            <v>5.5066105769230766</v>
          </cell>
          <cell r="O64" t="str">
            <v>RAT</v>
          </cell>
          <cell r="P64">
            <v>1380.5</v>
          </cell>
          <cell r="R64">
            <v>906.8</v>
          </cell>
          <cell r="T64">
            <v>2287.3000000000002</v>
          </cell>
          <cell r="AD64">
            <v>1380.5</v>
          </cell>
          <cell r="AF64">
            <v>906.8</v>
          </cell>
          <cell r="AH64">
            <v>2287.3000000000002</v>
          </cell>
          <cell r="AJ64">
            <v>5.5066105769230766</v>
          </cell>
          <cell r="AL64">
            <v>0</v>
          </cell>
          <cell r="AN64">
            <v>0</v>
          </cell>
          <cell r="AP64">
            <v>0</v>
          </cell>
          <cell r="AR64">
            <v>0</v>
          </cell>
          <cell r="AT64">
            <v>3.1995494648885812</v>
          </cell>
          <cell r="AV64">
            <v>58.428209155365074</v>
          </cell>
          <cell r="AX64">
            <v>61.627758620253658</v>
          </cell>
          <cell r="AZ64">
            <v>2.4105853561684997E-2</v>
          </cell>
          <cell r="BB64">
            <v>1383.6995494648886</v>
          </cell>
          <cell r="BD64">
            <v>965.22820915536499</v>
          </cell>
          <cell r="BF64">
            <v>2348.9277586202534</v>
          </cell>
          <cell r="BH64">
            <v>5.5307164304847616</v>
          </cell>
          <cell r="BJ64">
            <v>0</v>
          </cell>
          <cell r="BN64">
            <v>0</v>
          </cell>
          <cell r="BP64">
            <v>0</v>
          </cell>
          <cell r="BR64">
            <v>1383.6995494648886</v>
          </cell>
          <cell r="BT64">
            <v>965.22820915536499</v>
          </cell>
          <cell r="BV64">
            <v>2348.9277586202534</v>
          </cell>
          <cell r="BX64">
            <v>5.5307164304847616</v>
          </cell>
          <cell r="CB64">
            <v>5.9431900000000004</v>
          </cell>
          <cell r="CD64">
            <v>5.9431900000000004</v>
          </cell>
          <cell r="CG64" t="str">
            <v>RAT</v>
          </cell>
          <cell r="CO64" t="str">
            <v>RAT</v>
          </cell>
          <cell r="CP64">
            <v>1389.6427394648886</v>
          </cell>
          <cell r="CR64">
            <v>965.22820915536499</v>
          </cell>
          <cell r="CT64">
            <v>2354.8709486202533</v>
          </cell>
          <cell r="CV64">
            <v>5.5307164304847616</v>
          </cell>
          <cell r="DJ64">
            <v>1389.6427394648886</v>
          </cell>
          <cell r="DL64">
            <v>0</v>
          </cell>
        </row>
        <row r="65">
          <cell r="B65" t="str">
            <v>NUC</v>
          </cell>
          <cell r="D65" t="str">
            <v>NUCLEAR MEDICINE</v>
          </cell>
          <cell r="F65" t="str">
            <v>D35</v>
          </cell>
          <cell r="H65">
            <v>482740.75151204836</v>
          </cell>
          <cell r="J65">
            <v>2141852.3861803403</v>
          </cell>
          <cell r="L65">
            <v>2624593.1376923886</v>
          </cell>
          <cell r="N65">
            <v>5.9117765292077333</v>
          </cell>
          <cell r="O65" t="str">
            <v>NUC</v>
          </cell>
          <cell r="P65">
            <v>482.7</v>
          </cell>
          <cell r="R65">
            <v>2141.9</v>
          </cell>
          <cell r="T65">
            <v>2624.6</v>
          </cell>
          <cell r="AD65">
            <v>482.7</v>
          </cell>
          <cell r="AF65">
            <v>2141.9</v>
          </cell>
          <cell r="AH65">
            <v>2624.6</v>
          </cell>
          <cell r="AJ65">
            <v>5.9117765292077333</v>
          </cell>
          <cell r="AL65">
            <v>0</v>
          </cell>
          <cell r="AN65">
            <v>0</v>
          </cell>
          <cell r="AP65">
            <v>0</v>
          </cell>
          <cell r="AR65">
            <v>0</v>
          </cell>
          <cell r="AT65">
            <v>3.434966240364977</v>
          </cell>
          <cell r="AV65">
            <v>62.727245862614566</v>
          </cell>
          <cell r="AX65">
            <v>66.162212102979538</v>
          </cell>
          <cell r="AZ65">
            <v>2.587951650325658E-2</v>
          </cell>
          <cell r="BB65">
            <v>486.13496624036497</v>
          </cell>
          <cell r="BD65">
            <v>2204.6272458626145</v>
          </cell>
          <cell r="BF65">
            <v>2690.7622121029794</v>
          </cell>
          <cell r="BH65">
            <v>5.9376560457109901</v>
          </cell>
          <cell r="BJ65">
            <v>0</v>
          </cell>
          <cell r="BN65">
            <v>0</v>
          </cell>
          <cell r="BP65">
            <v>0</v>
          </cell>
          <cell r="BR65">
            <v>486.13496624036497</v>
          </cell>
          <cell r="BT65">
            <v>2204.6272458626145</v>
          </cell>
          <cell r="BV65">
            <v>2690.7622121029794</v>
          </cell>
          <cell r="BX65">
            <v>5.9376560457109901</v>
          </cell>
          <cell r="CB65">
            <v>6.3804800000000004</v>
          </cell>
          <cell r="CD65">
            <v>6.3804800000000004</v>
          </cell>
          <cell r="CG65" t="str">
            <v>NUC</v>
          </cell>
          <cell r="CO65" t="str">
            <v>NUC</v>
          </cell>
          <cell r="CP65">
            <v>492.51544624036495</v>
          </cell>
          <cell r="CR65">
            <v>2204.6272458626145</v>
          </cell>
          <cell r="CT65">
            <v>2697.1426921029793</v>
          </cell>
          <cell r="CV65">
            <v>5.9376560457109901</v>
          </cell>
          <cell r="DJ65">
            <v>492.51544624036495</v>
          </cell>
          <cell r="DL65">
            <v>0</v>
          </cell>
        </row>
        <row r="66">
          <cell r="B66" t="str">
            <v>RES</v>
          </cell>
          <cell r="D66" t="str">
            <v>RESPIRATORY THERAPY</v>
          </cell>
          <cell r="F66" t="str">
            <v>D36</v>
          </cell>
          <cell r="H66">
            <v>2365263.0104284957</v>
          </cell>
          <cell r="J66">
            <v>115744.93</v>
          </cell>
          <cell r="L66">
            <v>2481007.9404284959</v>
          </cell>
          <cell r="N66">
            <v>25.454692307692309</v>
          </cell>
          <cell r="O66" t="str">
            <v>RES</v>
          </cell>
          <cell r="P66">
            <v>2365.3000000000002</v>
          </cell>
          <cell r="R66">
            <v>115.7</v>
          </cell>
          <cell r="T66">
            <v>2481</v>
          </cell>
          <cell r="AD66">
            <v>2365.3000000000002</v>
          </cell>
          <cell r="AF66">
            <v>115.7</v>
          </cell>
          <cell r="AH66">
            <v>2481</v>
          </cell>
          <cell r="AJ66">
            <v>25.454692307692309</v>
          </cell>
          <cell r="AL66">
            <v>0</v>
          </cell>
          <cell r="AN66">
            <v>0</v>
          </cell>
          <cell r="AP66">
            <v>0</v>
          </cell>
          <cell r="AR66">
            <v>0</v>
          </cell>
          <cell r="AT66">
            <v>14.790141052154906</v>
          </cell>
          <cell r="AV66">
            <v>270.0884809926672</v>
          </cell>
          <cell r="AX66">
            <v>284.87862204482212</v>
          </cell>
          <cell r="AZ66">
            <v>0.11143099310462679</v>
          </cell>
          <cell r="BB66">
            <v>2380.0901410521551</v>
          </cell>
          <cell r="BD66">
            <v>385.78848099266719</v>
          </cell>
          <cell r="BF66">
            <v>2765.8786220448224</v>
          </cell>
          <cell r="BH66">
            <v>25.566123300796935</v>
          </cell>
          <cell r="BJ66">
            <v>0</v>
          </cell>
          <cell r="BN66">
            <v>0</v>
          </cell>
          <cell r="BP66">
            <v>0</v>
          </cell>
          <cell r="BR66">
            <v>2380.0901410521551</v>
          </cell>
          <cell r="BT66">
            <v>385.78848099266719</v>
          </cell>
          <cell r="BV66">
            <v>2765.8786220448224</v>
          </cell>
          <cell r="BX66">
            <v>25.566123300796935</v>
          </cell>
          <cell r="CB66">
            <v>27.472809999999999</v>
          </cell>
          <cell r="CD66">
            <v>27.472809999999999</v>
          </cell>
          <cell r="CG66" t="str">
            <v>RES</v>
          </cell>
          <cell r="CO66" t="str">
            <v>RES</v>
          </cell>
          <cell r="CP66">
            <v>2407.5629510521553</v>
          </cell>
          <cell r="CR66">
            <v>385.78848099266719</v>
          </cell>
          <cell r="CT66">
            <v>2793.3514320448226</v>
          </cell>
          <cell r="CV66">
            <v>25.566123300796935</v>
          </cell>
          <cell r="DJ66">
            <v>2407.5629510521553</v>
          </cell>
          <cell r="DL66">
            <v>0</v>
          </cell>
        </row>
        <row r="67">
          <cell r="B67" t="str">
            <v>PUL</v>
          </cell>
          <cell r="D67" t="str">
            <v>PULMONARY FUNCTION</v>
          </cell>
          <cell r="F67" t="str">
            <v>D37</v>
          </cell>
          <cell r="H67">
            <v>121368.30246640104</v>
          </cell>
          <cell r="J67">
            <v>6940.1097150610585</v>
          </cell>
          <cell r="L67">
            <v>128308.4121814621</v>
          </cell>
          <cell r="N67">
            <v>1.2094179618128336</v>
          </cell>
          <cell r="O67" t="str">
            <v>PUL</v>
          </cell>
          <cell r="P67">
            <v>121.4</v>
          </cell>
          <cell r="R67">
            <v>6.9</v>
          </cell>
          <cell r="T67">
            <v>128.30000000000001</v>
          </cell>
          <cell r="AD67">
            <v>121.4</v>
          </cell>
          <cell r="AF67">
            <v>6.9</v>
          </cell>
          <cell r="AH67">
            <v>128.30000000000001</v>
          </cell>
          <cell r="AJ67">
            <v>1.2094179618128336</v>
          </cell>
          <cell r="AL67">
            <v>0</v>
          </cell>
          <cell r="AN67">
            <v>0</v>
          </cell>
          <cell r="AP67">
            <v>0</v>
          </cell>
          <cell r="AR67">
            <v>0</v>
          </cell>
          <cell r="AT67">
            <v>0.70271767696111498</v>
          </cell>
          <cell r="AV67">
            <v>12.832599044717719</v>
          </cell>
          <cell r="AX67">
            <v>13.535316721678834</v>
          </cell>
          <cell r="AZ67">
            <v>5.2943733490996344E-3</v>
          </cell>
          <cell r="BB67">
            <v>122.10271767696112</v>
          </cell>
          <cell r="BD67">
            <v>19.73259904471772</v>
          </cell>
          <cell r="BF67">
            <v>141.83531672167885</v>
          </cell>
          <cell r="BH67">
            <v>1.2147123351619331</v>
          </cell>
          <cell r="BJ67">
            <v>0</v>
          </cell>
          <cell r="BN67">
            <v>0</v>
          </cell>
          <cell r="BP67">
            <v>0</v>
          </cell>
          <cell r="BR67">
            <v>122.10271767696112</v>
          </cell>
          <cell r="BT67">
            <v>19.73259904471772</v>
          </cell>
          <cell r="BV67">
            <v>141.83531672167885</v>
          </cell>
          <cell r="BX67">
            <v>1.2147123351619331</v>
          </cell>
          <cell r="CB67">
            <v>1.3052999999999999</v>
          </cell>
          <cell r="CD67">
            <v>1.3052999999999999</v>
          </cell>
          <cell r="CG67" t="str">
            <v>PUL</v>
          </cell>
          <cell r="CO67" t="str">
            <v>PUL</v>
          </cell>
          <cell r="CP67">
            <v>123.40801767696112</v>
          </cell>
          <cell r="CR67">
            <v>19.73259904471772</v>
          </cell>
          <cell r="CT67">
            <v>143.14061672167884</v>
          </cell>
          <cell r="CV67">
            <v>1.2147123351619331</v>
          </cell>
          <cell r="DJ67">
            <v>123.40801767696112</v>
          </cell>
          <cell r="DL67">
            <v>0</v>
          </cell>
        </row>
        <row r="68">
          <cell r="B68" t="str">
            <v>EEG</v>
          </cell>
          <cell r="D68" t="str">
            <v>ELECTROENCEPHALOGRAPHY</v>
          </cell>
          <cell r="F68" t="str">
            <v>D38</v>
          </cell>
          <cell r="H68">
            <v>331175.98710951238</v>
          </cell>
          <cell r="J68">
            <v>16024.740000000003</v>
          </cell>
          <cell r="L68">
            <v>347200.72710951237</v>
          </cell>
          <cell r="N68">
            <v>3.3504035087719295</v>
          </cell>
          <cell r="O68" t="str">
            <v>EEG</v>
          </cell>
          <cell r="P68">
            <v>331.2</v>
          </cell>
          <cell r="R68">
            <v>16</v>
          </cell>
          <cell r="T68">
            <v>347.2</v>
          </cell>
          <cell r="AD68">
            <v>331.2</v>
          </cell>
          <cell r="AF68">
            <v>16</v>
          </cell>
          <cell r="AH68">
            <v>347.2</v>
          </cell>
          <cell r="AJ68">
            <v>3.3504035087719295</v>
          </cell>
          <cell r="AL68">
            <v>0</v>
          </cell>
          <cell r="AN68">
            <v>0</v>
          </cell>
          <cell r="AP68">
            <v>0</v>
          </cell>
          <cell r="AR68">
            <v>0</v>
          </cell>
          <cell r="AT68">
            <v>1.9467114305442559</v>
          </cell>
          <cell r="AV68">
            <v>35.549649685738061</v>
          </cell>
          <cell r="AX68">
            <v>37.496361116282316</v>
          </cell>
          <cell r="AZ68">
            <v>1.4666796430725692E-2</v>
          </cell>
          <cell r="BB68">
            <v>333.14671143054426</v>
          </cell>
          <cell r="BD68">
            <v>51.549649685738061</v>
          </cell>
          <cell r="BF68">
            <v>384.69636111628233</v>
          </cell>
          <cell r="BH68">
            <v>3.3650703052026554</v>
          </cell>
          <cell r="BJ68">
            <v>0</v>
          </cell>
          <cell r="BN68">
            <v>0</v>
          </cell>
          <cell r="BP68">
            <v>0</v>
          </cell>
          <cell r="BR68">
            <v>333.14671143054426</v>
          </cell>
          <cell r="BT68">
            <v>51.549649685738061</v>
          </cell>
          <cell r="BV68">
            <v>384.69636111628233</v>
          </cell>
          <cell r="BX68">
            <v>3.3650703052026554</v>
          </cell>
          <cell r="CB68">
            <v>3.6160299999999999</v>
          </cell>
          <cell r="CD68">
            <v>3.6160299999999999</v>
          </cell>
          <cell r="CG68" t="str">
            <v>EEG</v>
          </cell>
          <cell r="CO68" t="str">
            <v>EEG</v>
          </cell>
          <cell r="CP68">
            <v>336.76274143054428</v>
          </cell>
          <cell r="CR68">
            <v>51.549649685738061</v>
          </cell>
          <cell r="CT68">
            <v>388.31239111628236</v>
          </cell>
          <cell r="CV68">
            <v>3.3650703052026554</v>
          </cell>
          <cell r="DJ68">
            <v>336.76274143054428</v>
          </cell>
          <cell r="DL68">
            <v>0</v>
          </cell>
        </row>
        <row r="69">
          <cell r="B69" t="str">
            <v>PTH</v>
          </cell>
          <cell r="D69" t="str">
            <v>PHYSICAL THERAPY</v>
          </cell>
          <cell r="F69" t="str">
            <v>D39</v>
          </cell>
          <cell r="H69">
            <v>1557235.7452897704</v>
          </cell>
          <cell r="J69">
            <v>76249.032891193056</v>
          </cell>
          <cell r="L69">
            <v>1633484.7781809634</v>
          </cell>
          <cell r="N69">
            <v>13.375576654680829</v>
          </cell>
          <cell r="O69" t="str">
            <v>PTH</v>
          </cell>
          <cell r="P69">
            <v>1557.2</v>
          </cell>
          <cell r="R69">
            <v>76.2</v>
          </cell>
          <cell r="T69">
            <v>1633.4</v>
          </cell>
          <cell r="AD69">
            <v>1557.2</v>
          </cell>
          <cell r="AF69">
            <v>76.2</v>
          </cell>
          <cell r="AH69">
            <v>1633.4</v>
          </cell>
          <cell r="AJ69">
            <v>13.375576654680829</v>
          </cell>
          <cell r="AL69">
            <v>0</v>
          </cell>
          <cell r="AN69">
            <v>0</v>
          </cell>
          <cell r="AP69">
            <v>0</v>
          </cell>
          <cell r="AR69">
            <v>0</v>
          </cell>
          <cell r="AT69">
            <v>7.7717170172533292</v>
          </cell>
          <cell r="AV69">
            <v>141.92232761627281</v>
          </cell>
          <cell r="AX69">
            <v>149.69404463352615</v>
          </cell>
          <cell r="AZ69">
            <v>5.8553203942195653E-2</v>
          </cell>
          <cell r="BB69">
            <v>1564.9717170172535</v>
          </cell>
          <cell r="BD69">
            <v>218.1223276162728</v>
          </cell>
          <cell r="BF69">
            <v>1783.0940446335262</v>
          </cell>
          <cell r="BH69">
            <v>13.434129858623026</v>
          </cell>
          <cell r="BJ69">
            <v>0</v>
          </cell>
          <cell r="BN69">
            <v>0</v>
          </cell>
          <cell r="BP69">
            <v>0</v>
          </cell>
          <cell r="BR69">
            <v>1564.9717170172535</v>
          </cell>
          <cell r="BT69">
            <v>218.1223276162728</v>
          </cell>
          <cell r="BV69">
            <v>1783.0940446335262</v>
          </cell>
          <cell r="BX69">
            <v>13.434129858623026</v>
          </cell>
          <cell r="CB69">
            <v>14.436030000000001</v>
          </cell>
          <cell r="CD69">
            <v>14.436030000000001</v>
          </cell>
          <cell r="CG69" t="str">
            <v>PTH</v>
          </cell>
          <cell r="CO69" t="str">
            <v>PTH</v>
          </cell>
          <cell r="CP69">
            <v>1579.4077470172535</v>
          </cell>
          <cell r="CR69">
            <v>218.1223276162728</v>
          </cell>
          <cell r="CT69">
            <v>1797.5300746335263</v>
          </cell>
          <cell r="CV69">
            <v>13.434129858623026</v>
          </cell>
          <cell r="DJ69">
            <v>1579.4077470172535</v>
          </cell>
          <cell r="DL69">
            <v>0</v>
          </cell>
        </row>
        <row r="70">
          <cell r="B70" t="str">
            <v>OTH</v>
          </cell>
          <cell r="D70" t="str">
            <v>OCCUPATIONAL THERAPY</v>
          </cell>
          <cell r="F70" t="str">
            <v>D40</v>
          </cell>
          <cell r="H70">
            <v>1398910.1875309795</v>
          </cell>
          <cell r="J70">
            <v>58523.497203321684</v>
          </cell>
          <cell r="L70">
            <v>1457433.6847343012</v>
          </cell>
          <cell r="N70">
            <v>13.911778846153846</v>
          </cell>
          <cell r="O70" t="str">
            <v>OTH</v>
          </cell>
          <cell r="P70">
            <v>1398.9</v>
          </cell>
          <cell r="R70">
            <v>58.5</v>
          </cell>
          <cell r="T70">
            <v>1457.4</v>
          </cell>
          <cell r="AD70">
            <v>1398.9</v>
          </cell>
          <cell r="AF70">
            <v>58.5</v>
          </cell>
          <cell r="AH70">
            <v>1457.4</v>
          </cell>
          <cell r="AJ70">
            <v>13.911778846153846</v>
          </cell>
          <cell r="AL70">
            <v>0</v>
          </cell>
          <cell r="AN70">
            <v>0</v>
          </cell>
          <cell r="AP70">
            <v>0</v>
          </cell>
          <cell r="AR70">
            <v>0</v>
          </cell>
          <cell r="AT70">
            <v>8.0832708144274523</v>
          </cell>
          <cell r="AV70">
            <v>147.61173189778208</v>
          </cell>
          <cell r="AX70">
            <v>155.69500271220954</v>
          </cell>
          <cell r="AZ70">
            <v>6.0900493863380804E-2</v>
          </cell>
          <cell r="BB70">
            <v>1406.9832708144274</v>
          </cell>
          <cell r="BD70">
            <v>206.11173189778208</v>
          </cell>
          <cell r="BF70">
            <v>1613.0950027122094</v>
          </cell>
          <cell r="BH70">
            <v>13.972679340017226</v>
          </cell>
          <cell r="BJ70">
            <v>0</v>
          </cell>
          <cell r="BN70">
            <v>0</v>
          </cell>
          <cell r="BP70">
            <v>0</v>
          </cell>
          <cell r="BR70">
            <v>1406.9832708144274</v>
          </cell>
          <cell r="BT70">
            <v>206.11173189778208</v>
          </cell>
          <cell r="BV70">
            <v>1613.0950027122094</v>
          </cell>
          <cell r="BX70">
            <v>13.972679340017226</v>
          </cell>
          <cell r="CB70">
            <v>15.01474</v>
          </cell>
          <cell r="CD70">
            <v>15.01474</v>
          </cell>
          <cell r="CG70" t="str">
            <v>OTH</v>
          </cell>
          <cell r="CO70" t="str">
            <v>OTH</v>
          </cell>
          <cell r="CP70">
            <v>1421.9980108144275</v>
          </cell>
          <cell r="CR70">
            <v>206.11173189778208</v>
          </cell>
          <cell r="CT70">
            <v>1628.1097427122095</v>
          </cell>
          <cell r="CV70">
            <v>13.972679340017226</v>
          </cell>
          <cell r="DJ70">
            <v>1421.9980108144275</v>
          </cell>
          <cell r="DL70">
            <v>0</v>
          </cell>
        </row>
        <row r="71">
          <cell r="B71" t="str">
            <v>STH</v>
          </cell>
          <cell r="D71" t="str">
            <v>SPEECH LANGUAGE PATHOLOGY</v>
          </cell>
          <cell r="F71" t="str">
            <v>D41</v>
          </cell>
          <cell r="H71">
            <v>213999.58535357102</v>
          </cell>
          <cell r="J71">
            <v>1664.1</v>
          </cell>
          <cell r="L71">
            <v>215663.68535357103</v>
          </cell>
          <cell r="N71">
            <v>1.4227163461538461</v>
          </cell>
          <cell r="O71" t="str">
            <v>STH</v>
          </cell>
          <cell r="P71">
            <v>214</v>
          </cell>
          <cell r="R71">
            <v>1.7</v>
          </cell>
          <cell r="T71">
            <v>215.7</v>
          </cell>
          <cell r="AD71">
            <v>214</v>
          </cell>
          <cell r="AF71">
            <v>1.7</v>
          </cell>
          <cell r="AH71">
            <v>215.7</v>
          </cell>
          <cell r="AJ71">
            <v>1.4227163461538461</v>
          </cell>
          <cell r="AL71">
            <v>0</v>
          </cell>
          <cell r="AN71">
            <v>0</v>
          </cell>
          <cell r="AP71">
            <v>0</v>
          </cell>
          <cell r="AR71">
            <v>0</v>
          </cell>
          <cell r="AT71">
            <v>0.82665212301399404</v>
          </cell>
          <cell r="AV71">
            <v>15.095813855114187</v>
          </cell>
          <cell r="AX71">
            <v>15.922465978128182</v>
          </cell>
          <cell r="AZ71">
            <v>6.2281128147913421E-3</v>
          </cell>
          <cell r="BB71">
            <v>214.82665212301399</v>
          </cell>
          <cell r="BD71">
            <v>16.795813855114186</v>
          </cell>
          <cell r="BF71">
            <v>231.62246597812816</v>
          </cell>
          <cell r="BH71">
            <v>1.4289444589686375</v>
          </cell>
          <cell r="BJ71">
            <v>0</v>
          </cell>
          <cell r="BN71">
            <v>0</v>
          </cell>
          <cell r="BP71">
            <v>0</v>
          </cell>
          <cell r="BR71">
            <v>214.82665212301399</v>
          </cell>
          <cell r="BT71">
            <v>16.795813855114186</v>
          </cell>
          <cell r="BV71">
            <v>231.62246597812816</v>
          </cell>
          <cell r="BX71">
            <v>1.4289444589686375</v>
          </cell>
          <cell r="CB71">
            <v>1.5355099999999999</v>
          </cell>
          <cell r="CD71">
            <v>1.5355099999999999</v>
          </cell>
          <cell r="CG71" t="str">
            <v>STH</v>
          </cell>
          <cell r="CO71" t="str">
            <v>STH</v>
          </cell>
          <cell r="CP71">
            <v>216.36216212301397</v>
          </cell>
          <cell r="CR71">
            <v>16.795813855114186</v>
          </cell>
          <cell r="CT71">
            <v>233.15797597812815</v>
          </cell>
          <cell r="CV71">
            <v>1.4289444589686375</v>
          </cell>
          <cell r="DJ71">
            <v>216.36216212301397</v>
          </cell>
          <cell r="DL71">
            <v>0</v>
          </cell>
        </row>
        <row r="72">
          <cell r="B72" t="str">
            <v>REC</v>
          </cell>
          <cell r="D72" t="str">
            <v>RECREATIONAL THERAPY</v>
          </cell>
          <cell r="F72" t="str">
            <v>D42</v>
          </cell>
          <cell r="H72">
            <v>0</v>
          </cell>
          <cell r="J72">
            <v>0</v>
          </cell>
          <cell r="L72">
            <v>0</v>
          </cell>
          <cell r="N72">
            <v>0</v>
          </cell>
          <cell r="O72" t="str">
            <v>REC</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REC</v>
          </cell>
          <cell r="CO72" t="str">
            <v>REC</v>
          </cell>
          <cell r="CP72">
            <v>0</v>
          </cell>
          <cell r="CR72">
            <v>0</v>
          </cell>
          <cell r="CT72">
            <v>0</v>
          </cell>
          <cell r="CV72">
            <v>0</v>
          </cell>
          <cell r="DJ72">
            <v>0</v>
          </cell>
          <cell r="DL72">
            <v>0</v>
          </cell>
        </row>
        <row r="73">
          <cell r="B73" t="str">
            <v>AUD</v>
          </cell>
          <cell r="D73" t="str">
            <v>AUDIOLOGY</v>
          </cell>
          <cell r="F73" t="str">
            <v>D43</v>
          </cell>
          <cell r="H73">
            <v>0</v>
          </cell>
          <cell r="J73">
            <v>91450</v>
          </cell>
          <cell r="L73">
            <v>91450</v>
          </cell>
          <cell r="N73">
            <v>0</v>
          </cell>
          <cell r="O73" t="str">
            <v>AUD</v>
          </cell>
          <cell r="P73">
            <v>0</v>
          </cell>
          <cell r="R73">
            <v>91.5</v>
          </cell>
          <cell r="T73">
            <v>91.5</v>
          </cell>
          <cell r="AD73">
            <v>0</v>
          </cell>
          <cell r="AF73">
            <v>91.5</v>
          </cell>
          <cell r="AH73">
            <v>91.5</v>
          </cell>
          <cell r="AJ73">
            <v>0</v>
          </cell>
          <cell r="AL73">
            <v>0</v>
          </cell>
          <cell r="AN73">
            <v>0</v>
          </cell>
          <cell r="AP73">
            <v>0</v>
          </cell>
          <cell r="AR73">
            <v>0</v>
          </cell>
          <cell r="AT73">
            <v>0</v>
          </cell>
          <cell r="AV73">
            <v>0</v>
          </cell>
          <cell r="AX73">
            <v>0</v>
          </cell>
          <cell r="AZ73">
            <v>0</v>
          </cell>
          <cell r="BB73">
            <v>0</v>
          </cell>
          <cell r="BD73">
            <v>91.5</v>
          </cell>
          <cell r="BF73">
            <v>91.5</v>
          </cell>
          <cell r="BH73">
            <v>0</v>
          </cell>
          <cell r="BJ73">
            <v>0</v>
          </cell>
          <cell r="BN73">
            <v>0</v>
          </cell>
          <cell r="BP73">
            <v>0</v>
          </cell>
          <cell r="BR73">
            <v>0</v>
          </cell>
          <cell r="BT73">
            <v>91.5</v>
          </cell>
          <cell r="BV73">
            <v>91.5</v>
          </cell>
          <cell r="BX73">
            <v>0</v>
          </cell>
          <cell r="CB73">
            <v>0</v>
          </cell>
          <cell r="CD73">
            <v>0</v>
          </cell>
          <cell r="CG73" t="str">
            <v>AUD</v>
          </cell>
          <cell r="CO73" t="str">
            <v>AUD</v>
          </cell>
          <cell r="CP73">
            <v>0</v>
          </cell>
          <cell r="CR73">
            <v>91.5</v>
          </cell>
          <cell r="CT73">
            <v>91.5</v>
          </cell>
          <cell r="CV73">
            <v>0</v>
          </cell>
          <cell r="DJ73">
            <v>0</v>
          </cell>
          <cell r="DL73">
            <v>0</v>
          </cell>
        </row>
        <row r="74">
          <cell r="B74" t="str">
            <v>OPM</v>
          </cell>
          <cell r="D74" t="str">
            <v>OTHER PHYSICAL MEDICINE</v>
          </cell>
          <cell r="F74" t="str">
            <v>D44</v>
          </cell>
          <cell r="H74">
            <v>0</v>
          </cell>
          <cell r="J74">
            <v>0</v>
          </cell>
          <cell r="L74">
            <v>0</v>
          </cell>
          <cell r="N74">
            <v>0</v>
          </cell>
          <cell r="O74" t="str">
            <v>OPM</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OPM</v>
          </cell>
          <cell r="CO74" t="str">
            <v>OPM</v>
          </cell>
          <cell r="CP74">
            <v>0</v>
          </cell>
          <cell r="CR74">
            <v>0</v>
          </cell>
          <cell r="CT74">
            <v>0</v>
          </cell>
          <cell r="CV74">
            <v>0</v>
          </cell>
          <cell r="DJ74">
            <v>0</v>
          </cell>
          <cell r="DL74">
            <v>0</v>
          </cell>
        </row>
        <row r="75">
          <cell r="B75" t="str">
            <v>RDL</v>
          </cell>
          <cell r="D75" t="str">
            <v>RENAL DIALYSIS</v>
          </cell>
          <cell r="F75" t="str">
            <v>D45</v>
          </cell>
          <cell r="H75">
            <v>0</v>
          </cell>
          <cell r="J75">
            <v>616572.1100000001</v>
          </cell>
          <cell r="L75">
            <v>616572.1100000001</v>
          </cell>
          <cell r="N75">
            <v>0</v>
          </cell>
          <cell r="O75" t="str">
            <v>RDL</v>
          </cell>
          <cell r="P75">
            <v>0</v>
          </cell>
          <cell r="R75">
            <v>616.6</v>
          </cell>
          <cell r="T75">
            <v>616.6</v>
          </cell>
          <cell r="AD75">
            <v>0</v>
          </cell>
          <cell r="AF75">
            <v>616.6</v>
          </cell>
          <cell r="AH75">
            <v>616.6</v>
          </cell>
          <cell r="AJ75">
            <v>0</v>
          </cell>
          <cell r="AL75">
            <v>0</v>
          </cell>
          <cell r="AN75">
            <v>0</v>
          </cell>
          <cell r="AP75">
            <v>0</v>
          </cell>
          <cell r="AR75">
            <v>0</v>
          </cell>
          <cell r="AT75">
            <v>0</v>
          </cell>
          <cell r="AV75">
            <v>0</v>
          </cell>
          <cell r="AX75">
            <v>0</v>
          </cell>
          <cell r="AZ75">
            <v>0</v>
          </cell>
          <cell r="BB75">
            <v>0</v>
          </cell>
          <cell r="BD75">
            <v>616.6</v>
          </cell>
          <cell r="BF75">
            <v>616.6</v>
          </cell>
          <cell r="BH75">
            <v>0</v>
          </cell>
          <cell r="BJ75">
            <v>0</v>
          </cell>
          <cell r="BN75">
            <v>0</v>
          </cell>
          <cell r="BP75">
            <v>0</v>
          </cell>
          <cell r="BR75">
            <v>0</v>
          </cell>
          <cell r="BT75">
            <v>616.6</v>
          </cell>
          <cell r="BV75">
            <v>616.6</v>
          </cell>
          <cell r="BX75">
            <v>0</v>
          </cell>
          <cell r="CB75">
            <v>0</v>
          </cell>
          <cell r="CD75">
            <v>0</v>
          </cell>
          <cell r="CG75" t="str">
            <v>RDL</v>
          </cell>
          <cell r="CO75" t="str">
            <v>RDL</v>
          </cell>
          <cell r="CP75">
            <v>0</v>
          </cell>
          <cell r="CR75">
            <v>616.6</v>
          </cell>
          <cell r="CT75">
            <v>616.6</v>
          </cell>
          <cell r="CV75">
            <v>0</v>
          </cell>
          <cell r="DJ75">
            <v>0</v>
          </cell>
          <cell r="DL75">
            <v>0</v>
          </cell>
        </row>
        <row r="76">
          <cell r="B76" t="str">
            <v>OA</v>
          </cell>
          <cell r="D76" t="str">
            <v>ORGAN ACQUISITION</v>
          </cell>
          <cell r="F76" t="str">
            <v>D46</v>
          </cell>
          <cell r="H76">
            <v>0</v>
          </cell>
          <cell r="J76">
            <v>0</v>
          </cell>
          <cell r="L76">
            <v>0</v>
          </cell>
          <cell r="N76">
            <v>0</v>
          </cell>
          <cell r="O76" t="str">
            <v>OA</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OA</v>
          </cell>
          <cell r="CO76" t="str">
            <v>OA</v>
          </cell>
          <cell r="CP76">
            <v>0</v>
          </cell>
          <cell r="CR76">
            <v>0</v>
          </cell>
          <cell r="CT76">
            <v>0</v>
          </cell>
          <cell r="CV76">
            <v>0</v>
          </cell>
          <cell r="DJ76">
            <v>0</v>
          </cell>
          <cell r="DL76">
            <v>0</v>
          </cell>
        </row>
        <row r="77">
          <cell r="B77" t="str">
            <v>AOR</v>
          </cell>
          <cell r="D77" t="str">
            <v>AMBULATORY SURGERY SVCS</v>
          </cell>
          <cell r="F77" t="str">
            <v>D47</v>
          </cell>
          <cell r="H77">
            <v>0</v>
          </cell>
          <cell r="J77">
            <v>0</v>
          </cell>
          <cell r="L77">
            <v>0</v>
          </cell>
          <cell r="N77">
            <v>0</v>
          </cell>
          <cell r="O77" t="str">
            <v>AOR</v>
          </cell>
          <cell r="P77">
            <v>0</v>
          </cell>
          <cell r="R77">
            <v>0</v>
          </cell>
          <cell r="T77">
            <v>0</v>
          </cell>
          <cell r="AD77">
            <v>0</v>
          </cell>
          <cell r="AF77">
            <v>0</v>
          </cell>
          <cell r="AH77">
            <v>0</v>
          </cell>
          <cell r="AJ77">
            <v>0</v>
          </cell>
          <cell r="AL77">
            <v>0</v>
          </cell>
          <cell r="AN77">
            <v>0</v>
          </cell>
          <cell r="AP77">
            <v>0</v>
          </cell>
          <cell r="AR77">
            <v>0</v>
          </cell>
          <cell r="AT77">
            <v>0</v>
          </cell>
          <cell r="AV77">
            <v>0</v>
          </cell>
          <cell r="AX77">
            <v>0</v>
          </cell>
          <cell r="AZ77">
            <v>0</v>
          </cell>
          <cell r="BB77">
            <v>0</v>
          </cell>
          <cell r="BD77">
            <v>0</v>
          </cell>
          <cell r="BF77">
            <v>0</v>
          </cell>
          <cell r="BH77">
            <v>0</v>
          </cell>
          <cell r="BJ77">
            <v>0</v>
          </cell>
          <cell r="BN77">
            <v>0</v>
          </cell>
          <cell r="BP77">
            <v>0</v>
          </cell>
          <cell r="BR77">
            <v>0</v>
          </cell>
          <cell r="BT77">
            <v>0</v>
          </cell>
          <cell r="BV77">
            <v>0</v>
          </cell>
          <cell r="BX77">
            <v>0</v>
          </cell>
          <cell r="CB77">
            <v>0</v>
          </cell>
          <cell r="CD77">
            <v>0</v>
          </cell>
          <cell r="CG77" t="str">
            <v>AOR</v>
          </cell>
          <cell r="CO77" t="str">
            <v>AOR</v>
          </cell>
          <cell r="CP77">
            <v>0</v>
          </cell>
          <cell r="CR77">
            <v>0</v>
          </cell>
          <cell r="CT77">
            <v>0</v>
          </cell>
          <cell r="CV77">
            <v>0</v>
          </cell>
          <cell r="DJ77">
            <v>0</v>
          </cell>
          <cell r="DL77">
            <v>0</v>
          </cell>
        </row>
        <row r="78">
          <cell r="B78" t="str">
            <v>LEU</v>
          </cell>
          <cell r="D78" t="str">
            <v>LEUKOPHERESIS</v>
          </cell>
          <cell r="F78" t="str">
            <v>D48</v>
          </cell>
          <cell r="H78">
            <v>0</v>
          </cell>
          <cell r="J78">
            <v>0</v>
          </cell>
          <cell r="L78">
            <v>0</v>
          </cell>
          <cell r="N78">
            <v>0</v>
          </cell>
          <cell r="O78" t="str">
            <v>LEU</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LEU</v>
          </cell>
          <cell r="CO78" t="str">
            <v>LEU</v>
          </cell>
          <cell r="CP78">
            <v>0</v>
          </cell>
          <cell r="CR78">
            <v>0</v>
          </cell>
          <cell r="CT78">
            <v>0</v>
          </cell>
          <cell r="CV78">
            <v>0</v>
          </cell>
          <cell r="DJ78">
            <v>0</v>
          </cell>
          <cell r="DL78">
            <v>0</v>
          </cell>
        </row>
        <row r="79">
          <cell r="B79" t="str">
            <v>HYP</v>
          </cell>
          <cell r="D79" t="str">
            <v>HYPERBARIC CHAMBER</v>
          </cell>
          <cell r="F79" t="str">
            <v>D49</v>
          </cell>
          <cell r="H79">
            <v>0</v>
          </cell>
          <cell r="J79">
            <v>0</v>
          </cell>
          <cell r="L79">
            <v>0</v>
          </cell>
          <cell r="N79">
            <v>0</v>
          </cell>
          <cell r="O79" t="str">
            <v>HYP</v>
          </cell>
          <cell r="P79">
            <v>0</v>
          </cell>
          <cell r="R79">
            <v>0</v>
          </cell>
          <cell r="T79">
            <v>0</v>
          </cell>
          <cell r="AD79">
            <v>0</v>
          </cell>
          <cell r="AF79">
            <v>0</v>
          </cell>
          <cell r="AH79">
            <v>0</v>
          </cell>
          <cell r="AJ79">
            <v>0</v>
          </cell>
          <cell r="AL79">
            <v>0</v>
          </cell>
          <cell r="AN79">
            <v>0</v>
          </cell>
          <cell r="AP79">
            <v>0</v>
          </cell>
          <cell r="AR79">
            <v>0</v>
          </cell>
          <cell r="AT79">
            <v>0</v>
          </cell>
          <cell r="AV79">
            <v>0</v>
          </cell>
          <cell r="AX79">
            <v>0</v>
          </cell>
          <cell r="AZ79">
            <v>0</v>
          </cell>
          <cell r="BB79">
            <v>0</v>
          </cell>
          <cell r="BD79">
            <v>0</v>
          </cell>
          <cell r="BF79">
            <v>0</v>
          </cell>
          <cell r="BH79">
            <v>0</v>
          </cell>
          <cell r="BJ79">
            <v>0</v>
          </cell>
          <cell r="BN79">
            <v>0</v>
          </cell>
          <cell r="BP79">
            <v>0</v>
          </cell>
          <cell r="BR79">
            <v>0</v>
          </cell>
          <cell r="BT79">
            <v>0</v>
          </cell>
          <cell r="BV79">
            <v>0</v>
          </cell>
          <cell r="BX79">
            <v>0</v>
          </cell>
          <cell r="CB79">
            <v>0</v>
          </cell>
          <cell r="CD79">
            <v>0</v>
          </cell>
          <cell r="CG79" t="str">
            <v>HYP</v>
          </cell>
          <cell r="CO79" t="str">
            <v>HYP</v>
          </cell>
          <cell r="CP79">
            <v>0</v>
          </cell>
          <cell r="CR79">
            <v>0</v>
          </cell>
          <cell r="CT79">
            <v>0</v>
          </cell>
          <cell r="CV79">
            <v>0</v>
          </cell>
          <cell r="DJ79">
            <v>0</v>
          </cell>
          <cell r="DL79">
            <v>0</v>
          </cell>
        </row>
        <row r="80">
          <cell r="B80" t="str">
            <v>FSE</v>
          </cell>
          <cell r="D80" t="str">
            <v>FREE STANDING EMERGENCY</v>
          </cell>
          <cell r="F80" t="str">
            <v>D50</v>
          </cell>
          <cell r="H80">
            <v>0</v>
          </cell>
          <cell r="J80">
            <v>0</v>
          </cell>
          <cell r="L80">
            <v>0</v>
          </cell>
          <cell r="N80">
            <v>0</v>
          </cell>
          <cell r="O80" t="str">
            <v>FSE</v>
          </cell>
          <cell r="P80">
            <v>0</v>
          </cell>
          <cell r="R80">
            <v>0</v>
          </cell>
          <cell r="T80">
            <v>0</v>
          </cell>
          <cell r="AD80">
            <v>0</v>
          </cell>
          <cell r="AF80">
            <v>0</v>
          </cell>
          <cell r="AH80">
            <v>0</v>
          </cell>
          <cell r="AJ80">
            <v>0</v>
          </cell>
          <cell r="AL80">
            <v>0</v>
          </cell>
          <cell r="AN80">
            <v>0</v>
          </cell>
          <cell r="AP80">
            <v>0</v>
          </cell>
          <cell r="AR80">
            <v>0</v>
          </cell>
          <cell r="AT80">
            <v>0</v>
          </cell>
          <cell r="AV80">
            <v>0</v>
          </cell>
          <cell r="AX80">
            <v>0</v>
          </cell>
          <cell r="AZ80">
            <v>0</v>
          </cell>
          <cell r="BB80">
            <v>0</v>
          </cell>
          <cell r="BD80">
            <v>0</v>
          </cell>
          <cell r="BF80">
            <v>0</v>
          </cell>
          <cell r="BH80">
            <v>0</v>
          </cell>
          <cell r="BJ80">
            <v>0</v>
          </cell>
          <cell r="BN80">
            <v>0</v>
          </cell>
          <cell r="BP80">
            <v>0</v>
          </cell>
          <cell r="BR80">
            <v>0</v>
          </cell>
          <cell r="BT80">
            <v>0</v>
          </cell>
          <cell r="BV80">
            <v>0</v>
          </cell>
          <cell r="BX80">
            <v>0</v>
          </cell>
          <cell r="CB80">
            <v>0</v>
          </cell>
          <cell r="CD80">
            <v>0</v>
          </cell>
          <cell r="CG80" t="str">
            <v>FSE</v>
          </cell>
          <cell r="CO80" t="str">
            <v>FSE</v>
          </cell>
          <cell r="CP80">
            <v>0</v>
          </cell>
          <cell r="CR80">
            <v>0</v>
          </cell>
          <cell r="CT80">
            <v>0</v>
          </cell>
          <cell r="CV80">
            <v>0</v>
          </cell>
          <cell r="DJ80">
            <v>0</v>
          </cell>
          <cell r="DL80">
            <v>0</v>
          </cell>
        </row>
        <row r="81">
          <cell r="B81" t="str">
            <v>MRI</v>
          </cell>
          <cell r="D81" t="str">
            <v>MAGNETIC RESONANCE IMAGING</v>
          </cell>
          <cell r="F81" t="str">
            <v>D51</v>
          </cell>
          <cell r="H81">
            <v>14561.57342486169</v>
          </cell>
          <cell r="J81">
            <v>1281756.9993351423</v>
          </cell>
          <cell r="L81">
            <v>1296318.5727600041</v>
          </cell>
          <cell r="N81">
            <v>0.3801421157356325</v>
          </cell>
          <cell r="O81" t="str">
            <v>MRI</v>
          </cell>
          <cell r="P81">
            <v>14.6</v>
          </cell>
          <cell r="R81">
            <v>1281.8</v>
          </cell>
          <cell r="T81">
            <v>1296.3999999999999</v>
          </cell>
          <cell r="AD81">
            <v>14.6</v>
          </cell>
          <cell r="AF81">
            <v>1281.8</v>
          </cell>
          <cell r="AH81">
            <v>1296.3999999999999</v>
          </cell>
          <cell r="AJ81">
            <v>0.3801421157356325</v>
          </cell>
          <cell r="AL81">
            <v>0</v>
          </cell>
          <cell r="AN81">
            <v>0</v>
          </cell>
          <cell r="AP81">
            <v>0</v>
          </cell>
          <cell r="AR81">
            <v>0</v>
          </cell>
          <cell r="AT81">
            <v>0.22087697795095901</v>
          </cell>
          <cell r="AV81">
            <v>4.0335198461365254</v>
          </cell>
          <cell r="AX81">
            <v>4.2543968240874843</v>
          </cell>
          <cell r="AZ81">
            <v>1.6641180716419266E-3</v>
          </cell>
          <cell r="BB81">
            <v>14.820876977950959</v>
          </cell>
          <cell r="BD81">
            <v>1285.8335198461364</v>
          </cell>
          <cell r="BF81">
            <v>1300.6543968240874</v>
          </cell>
          <cell r="BH81">
            <v>0.38180623380727441</v>
          </cell>
          <cell r="BJ81">
            <v>0</v>
          </cell>
          <cell r="BN81">
            <v>0</v>
          </cell>
          <cell r="BP81">
            <v>0</v>
          </cell>
          <cell r="BR81">
            <v>14.820876977950959</v>
          </cell>
          <cell r="BT81">
            <v>1285.8335198461364</v>
          </cell>
          <cell r="BV81">
            <v>1300.6543968240874</v>
          </cell>
          <cell r="BX81">
            <v>0.38180623380727441</v>
          </cell>
          <cell r="CB81">
            <v>0.41027999999999998</v>
          </cell>
          <cell r="CD81">
            <v>0.41027999999999998</v>
          </cell>
          <cell r="CG81" t="str">
            <v>MRI</v>
          </cell>
          <cell r="CO81" t="str">
            <v>MRI</v>
          </cell>
          <cell r="CP81">
            <v>15.23115697795096</v>
          </cell>
          <cell r="CR81">
            <v>1285.8335198461364</v>
          </cell>
          <cell r="CT81">
            <v>1301.0646768240874</v>
          </cell>
          <cell r="CV81">
            <v>0.38180623380727441</v>
          </cell>
          <cell r="DJ81">
            <v>15.23115697795096</v>
          </cell>
          <cell r="DL81">
            <v>0</v>
          </cell>
        </row>
        <row r="82">
          <cell r="B82" t="str">
            <v>ADD</v>
          </cell>
          <cell r="D82" t="str">
            <v>ADOLESCENT DUAL DIAGNOSED</v>
          </cell>
          <cell r="F82" t="str">
            <v>D52</v>
          </cell>
          <cell r="H82">
            <v>0</v>
          </cell>
          <cell r="J82">
            <v>0</v>
          </cell>
          <cell r="L82">
            <v>0</v>
          </cell>
          <cell r="N82">
            <v>0</v>
          </cell>
          <cell r="O82" t="str">
            <v>ADD</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P82">
            <v>0</v>
          </cell>
          <cell r="BR82">
            <v>0</v>
          </cell>
          <cell r="BT82">
            <v>0</v>
          </cell>
          <cell r="BV82">
            <v>0</v>
          </cell>
          <cell r="BX82">
            <v>0</v>
          </cell>
          <cell r="CB82">
            <v>0</v>
          </cell>
          <cell r="CD82">
            <v>0</v>
          </cell>
          <cell r="CG82" t="str">
            <v>ADD</v>
          </cell>
          <cell r="CO82" t="str">
            <v>CNA</v>
          </cell>
          <cell r="CP82">
            <v>0</v>
          </cell>
          <cell r="CR82">
            <v>0</v>
          </cell>
          <cell r="CT82">
            <v>0</v>
          </cell>
          <cell r="CV82">
            <v>0</v>
          </cell>
          <cell r="DJ82">
            <v>0</v>
          </cell>
          <cell r="DL82">
            <v>0</v>
          </cell>
        </row>
        <row r="83">
          <cell r="B83" t="str">
            <v>LIT</v>
          </cell>
          <cell r="D83" t="str">
            <v>LITHOTRIPSY</v>
          </cell>
          <cell r="F83" t="str">
            <v>D53</v>
          </cell>
          <cell r="H83">
            <v>0</v>
          </cell>
          <cell r="J83">
            <v>34290</v>
          </cell>
          <cell r="L83">
            <v>34290</v>
          </cell>
          <cell r="N83">
            <v>0</v>
          </cell>
          <cell r="O83" t="str">
            <v>LIT</v>
          </cell>
          <cell r="P83">
            <v>0</v>
          </cell>
          <cell r="R83">
            <v>34.299999999999997</v>
          </cell>
          <cell r="T83">
            <v>34.299999999999997</v>
          </cell>
          <cell r="AD83">
            <v>0</v>
          </cell>
          <cell r="AF83">
            <v>34.299999999999997</v>
          </cell>
          <cell r="AH83">
            <v>34.299999999999997</v>
          </cell>
          <cell r="AJ83">
            <v>0</v>
          </cell>
          <cell r="AL83">
            <v>0</v>
          </cell>
          <cell r="AN83">
            <v>0</v>
          </cell>
          <cell r="AP83">
            <v>0</v>
          </cell>
          <cell r="AR83">
            <v>0</v>
          </cell>
          <cell r="AT83">
            <v>0</v>
          </cell>
          <cell r="AV83">
            <v>0</v>
          </cell>
          <cell r="AX83">
            <v>0</v>
          </cell>
          <cell r="AZ83">
            <v>0</v>
          </cell>
          <cell r="BB83">
            <v>0</v>
          </cell>
          <cell r="BD83">
            <v>34.299999999999997</v>
          </cell>
          <cell r="BF83">
            <v>34.299999999999997</v>
          </cell>
          <cell r="BH83">
            <v>0</v>
          </cell>
          <cell r="BJ83">
            <v>0</v>
          </cell>
          <cell r="BN83">
            <v>0</v>
          </cell>
          <cell r="BP83">
            <v>0</v>
          </cell>
          <cell r="BR83">
            <v>0</v>
          </cell>
          <cell r="BT83">
            <v>34.299999999999997</v>
          </cell>
          <cell r="BV83">
            <v>34.299999999999997</v>
          </cell>
          <cell r="BX83">
            <v>0</v>
          </cell>
          <cell r="CB83">
            <v>0</v>
          </cell>
          <cell r="CD83">
            <v>0</v>
          </cell>
          <cell r="CG83" t="str">
            <v>LIT</v>
          </cell>
          <cell r="CO83" t="str">
            <v>LIT</v>
          </cell>
          <cell r="CP83">
            <v>0</v>
          </cell>
          <cell r="CR83">
            <v>34.299999999999997</v>
          </cell>
          <cell r="CT83">
            <v>34.299999999999997</v>
          </cell>
          <cell r="CV83">
            <v>0</v>
          </cell>
          <cell r="DJ83">
            <v>0</v>
          </cell>
          <cell r="DL83">
            <v>0</v>
          </cell>
        </row>
        <row r="84">
          <cell r="B84" t="str">
            <v>RHB</v>
          </cell>
          <cell r="D84" t="str">
            <v>REHABILITATION</v>
          </cell>
          <cell r="F84" t="str">
            <v>D54</v>
          </cell>
          <cell r="H84">
            <v>0</v>
          </cell>
          <cell r="J84">
            <v>0</v>
          </cell>
          <cell r="L84">
            <v>0</v>
          </cell>
          <cell r="N84">
            <v>0</v>
          </cell>
          <cell r="O84" t="str">
            <v>RHB</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RHB</v>
          </cell>
          <cell r="CO84" t="str">
            <v>RHB</v>
          </cell>
          <cell r="CP84">
            <v>0</v>
          </cell>
          <cell r="CR84">
            <v>0</v>
          </cell>
          <cell r="CT84">
            <v>0</v>
          </cell>
          <cell r="CV84">
            <v>0</v>
          </cell>
          <cell r="DJ84">
            <v>0</v>
          </cell>
          <cell r="DL84">
            <v>0</v>
          </cell>
        </row>
        <row r="85">
          <cell r="B85" t="str">
            <v>OBV</v>
          </cell>
          <cell r="D85" t="str">
            <v>OBSERVATION</v>
          </cell>
          <cell r="F85" t="str">
            <v>D55</v>
          </cell>
          <cell r="H85">
            <v>1217904.5933518717</v>
          </cell>
          <cell r="J85">
            <v>239800.22724056267</v>
          </cell>
          <cell r="L85">
            <v>1457704.8205924344</v>
          </cell>
          <cell r="N85">
            <v>14.611376337452585</v>
          </cell>
          <cell r="O85" t="str">
            <v>OBV</v>
          </cell>
          <cell r="P85">
            <v>1217.9000000000001</v>
          </cell>
          <cell r="R85">
            <v>239.8</v>
          </cell>
          <cell r="T85">
            <v>1457.7</v>
          </cell>
          <cell r="AD85">
            <v>1217.9000000000001</v>
          </cell>
          <cell r="AF85">
            <v>239.8</v>
          </cell>
          <cell r="AH85">
            <v>1457.7</v>
          </cell>
          <cell r="AJ85">
            <v>14.611376337452585</v>
          </cell>
          <cell r="AL85">
            <v>0</v>
          </cell>
          <cell r="AN85">
            <v>0</v>
          </cell>
          <cell r="AP85">
            <v>0</v>
          </cell>
          <cell r="AR85">
            <v>0</v>
          </cell>
          <cell r="AT85">
            <v>8.489763474050573</v>
          </cell>
          <cell r="AV85">
            <v>155.03485143295933</v>
          </cell>
          <cell r="AX85">
            <v>163.52461490700989</v>
          </cell>
          <cell r="AZ85">
            <v>6.3963066464400448E-2</v>
          </cell>
          <cell r="BB85">
            <v>1226.3897634740506</v>
          </cell>
          <cell r="BD85">
            <v>394.83485143295934</v>
          </cell>
          <cell r="BF85">
            <v>1621.2246149070099</v>
          </cell>
          <cell r="BH85">
            <v>14.675339403916986</v>
          </cell>
          <cell r="BJ85">
            <v>0</v>
          </cell>
          <cell r="BN85">
            <v>0</v>
          </cell>
          <cell r="BR85">
            <v>1226.3897634740506</v>
          </cell>
          <cell r="BT85">
            <v>394.83485143295934</v>
          </cell>
          <cell r="BV85">
            <v>1621.2246149070099</v>
          </cell>
          <cell r="BX85">
            <v>14.675339403916986</v>
          </cell>
          <cell r="CB85">
            <v>15.76981</v>
          </cell>
          <cell r="CD85">
            <v>15.76981</v>
          </cell>
          <cell r="CG85" t="str">
            <v>OBV</v>
          </cell>
          <cell r="CO85" t="str">
            <v>OBV</v>
          </cell>
          <cell r="CP85">
            <v>1242.1595734740506</v>
          </cell>
          <cell r="CR85">
            <v>394.83485143295934</v>
          </cell>
          <cell r="CT85">
            <v>1636.9944249070099</v>
          </cell>
          <cell r="CV85">
            <v>14.675339403916986</v>
          </cell>
          <cell r="DJ85">
            <v>1242.1595734740506</v>
          </cell>
          <cell r="DL85">
            <v>0</v>
          </cell>
        </row>
        <row r="86">
          <cell r="B86" t="str">
            <v>AMR</v>
          </cell>
          <cell r="D86" t="str">
            <v>AMBULANCE REBUNDLED SVCS</v>
          </cell>
          <cell r="F86" t="str">
            <v>D56</v>
          </cell>
          <cell r="H86">
            <v>0</v>
          </cell>
          <cell r="J86">
            <v>154917.03</v>
          </cell>
          <cell r="L86">
            <v>154917.03</v>
          </cell>
          <cell r="N86">
            <v>0</v>
          </cell>
          <cell r="O86" t="str">
            <v>AMR</v>
          </cell>
          <cell r="P86">
            <v>0</v>
          </cell>
          <cell r="R86">
            <v>154.9</v>
          </cell>
          <cell r="T86">
            <v>154.9</v>
          </cell>
          <cell r="AD86">
            <v>0</v>
          </cell>
          <cell r="AF86">
            <v>154.9</v>
          </cell>
          <cell r="AH86">
            <v>154.9</v>
          </cell>
          <cell r="AJ86">
            <v>0</v>
          </cell>
          <cell r="AL86">
            <v>0</v>
          </cell>
          <cell r="AN86">
            <v>0</v>
          </cell>
          <cell r="AP86">
            <v>0</v>
          </cell>
          <cell r="AR86">
            <v>0</v>
          </cell>
          <cell r="AT86">
            <v>0</v>
          </cell>
          <cell r="AV86">
            <v>0</v>
          </cell>
          <cell r="AX86">
            <v>0</v>
          </cell>
          <cell r="AZ86">
            <v>0</v>
          </cell>
          <cell r="BB86">
            <v>0</v>
          </cell>
          <cell r="BD86">
            <v>154.9</v>
          </cell>
          <cell r="BF86">
            <v>154.9</v>
          </cell>
          <cell r="BH86">
            <v>0</v>
          </cell>
          <cell r="BJ86">
            <v>0</v>
          </cell>
          <cell r="BN86">
            <v>0</v>
          </cell>
          <cell r="BR86">
            <v>0</v>
          </cell>
          <cell r="BT86">
            <v>154.9</v>
          </cell>
          <cell r="BV86">
            <v>154.9</v>
          </cell>
          <cell r="BX86">
            <v>0</v>
          </cell>
          <cell r="CB86">
            <v>0</v>
          </cell>
          <cell r="CD86">
            <v>0</v>
          </cell>
          <cell r="CG86" t="str">
            <v>AMR</v>
          </cell>
          <cell r="CO86" t="str">
            <v>AMR</v>
          </cell>
          <cell r="CP86">
            <v>0</v>
          </cell>
          <cell r="CR86">
            <v>154.9</v>
          </cell>
          <cell r="CT86">
            <v>154.9</v>
          </cell>
          <cell r="CV86">
            <v>0</v>
          </cell>
          <cell r="DJ86">
            <v>0</v>
          </cell>
          <cell r="DL86">
            <v>0</v>
          </cell>
        </row>
        <row r="87">
          <cell r="B87" t="str">
            <v>TMT</v>
          </cell>
          <cell r="D87" t="str">
            <v>TRANSURETHAL MICROWAVE THERMOTHERAPY</v>
          </cell>
          <cell r="F87" t="str">
            <v>D57</v>
          </cell>
          <cell r="H87">
            <v>0</v>
          </cell>
          <cell r="J87">
            <v>0</v>
          </cell>
          <cell r="L87">
            <v>0</v>
          </cell>
          <cell r="N87">
            <v>0</v>
          </cell>
          <cell r="O87" t="str">
            <v>TMT</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R87">
            <v>0</v>
          </cell>
          <cell r="BT87">
            <v>0</v>
          </cell>
          <cell r="BV87">
            <v>0</v>
          </cell>
          <cell r="BX87">
            <v>0</v>
          </cell>
          <cell r="CB87">
            <v>0</v>
          </cell>
          <cell r="CD87">
            <v>0</v>
          </cell>
          <cell r="CG87" t="str">
            <v>TMT</v>
          </cell>
          <cell r="CO87" t="str">
            <v>AMR</v>
          </cell>
          <cell r="CP87">
            <v>0</v>
          </cell>
          <cell r="CR87">
            <v>0</v>
          </cell>
          <cell r="CT87">
            <v>0</v>
          </cell>
          <cell r="CV87">
            <v>0</v>
          </cell>
          <cell r="DJ87">
            <v>0</v>
          </cell>
          <cell r="DL87">
            <v>0</v>
          </cell>
        </row>
        <row r="88">
          <cell r="B88" t="str">
            <v>OCL</v>
          </cell>
          <cell r="D88" t="str">
            <v>ONCOLOGY O/P CLINIC</v>
          </cell>
          <cell r="F88" t="str">
            <v>D58</v>
          </cell>
          <cell r="H88">
            <v>0</v>
          </cell>
          <cell r="J88">
            <v>0</v>
          </cell>
          <cell r="L88">
            <v>0</v>
          </cell>
          <cell r="N88">
            <v>0</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R88">
            <v>0</v>
          </cell>
          <cell r="BT88">
            <v>0</v>
          </cell>
          <cell r="BV88">
            <v>0</v>
          </cell>
          <cell r="BX88">
            <v>0</v>
          </cell>
          <cell r="CB88">
            <v>0</v>
          </cell>
          <cell r="CD88">
            <v>0</v>
          </cell>
          <cell r="CP88">
            <v>0</v>
          </cell>
          <cell r="CR88">
            <v>0</v>
          </cell>
          <cell r="CT88">
            <v>0</v>
          </cell>
          <cell r="CV88">
            <v>0</v>
          </cell>
          <cell r="DJ88">
            <v>0</v>
          </cell>
          <cell r="DL88">
            <v>0</v>
          </cell>
        </row>
        <row r="89">
          <cell r="B89" t="str">
            <v>TNA</v>
          </cell>
          <cell r="D89" t="str">
            <v>TRANSURETHAL NEEDLE ABLATION</v>
          </cell>
          <cell r="F89" t="str">
            <v>D59</v>
          </cell>
          <cell r="H89">
            <v>0</v>
          </cell>
          <cell r="J89">
            <v>0</v>
          </cell>
          <cell r="L89">
            <v>0</v>
          </cell>
          <cell r="N89">
            <v>0</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R89">
            <v>0</v>
          </cell>
          <cell r="BT89">
            <v>0</v>
          </cell>
          <cell r="BV89">
            <v>0</v>
          </cell>
          <cell r="BX89">
            <v>0</v>
          </cell>
          <cell r="CB89">
            <v>0</v>
          </cell>
          <cell r="CD89">
            <v>0</v>
          </cell>
          <cell r="CP89">
            <v>0</v>
          </cell>
          <cell r="CR89">
            <v>0</v>
          </cell>
          <cell r="CT89">
            <v>0</v>
          </cell>
          <cell r="CV89">
            <v>0</v>
          </cell>
          <cell r="DJ89">
            <v>0</v>
          </cell>
          <cell r="DL89">
            <v>0</v>
          </cell>
        </row>
        <row r="90">
          <cell r="B90" t="str">
            <v>PAD</v>
          </cell>
          <cell r="D90" t="str">
            <v>PSYCH ADULT</v>
          </cell>
          <cell r="F90" t="str">
            <v>D70</v>
          </cell>
          <cell r="H90">
            <v>0</v>
          </cell>
          <cell r="J90">
            <v>0</v>
          </cell>
          <cell r="L90">
            <v>0</v>
          </cell>
          <cell r="N90">
            <v>0</v>
          </cell>
          <cell r="O90" t="str">
            <v>PAD</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PAD</v>
          </cell>
          <cell r="CO90" t="str">
            <v>PAD</v>
          </cell>
          <cell r="CP90">
            <v>0</v>
          </cell>
          <cell r="CR90">
            <v>0</v>
          </cell>
          <cell r="CT90">
            <v>0</v>
          </cell>
          <cell r="CV90">
            <v>0</v>
          </cell>
          <cell r="DJ90">
            <v>0</v>
          </cell>
          <cell r="DL90">
            <v>0</v>
          </cell>
        </row>
        <row r="91">
          <cell r="B91" t="str">
            <v>PCD</v>
          </cell>
          <cell r="D91" t="str">
            <v>PSYCH CHILD/ADOLESCENT</v>
          </cell>
          <cell r="F91" t="str">
            <v>D71</v>
          </cell>
          <cell r="H91">
            <v>0</v>
          </cell>
          <cell r="J91">
            <v>0</v>
          </cell>
          <cell r="L91">
            <v>0</v>
          </cell>
          <cell r="N91">
            <v>0</v>
          </cell>
          <cell r="O91" t="str">
            <v>PCD</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PCD</v>
          </cell>
          <cell r="CO91" t="str">
            <v>PCD</v>
          </cell>
          <cell r="CP91">
            <v>0</v>
          </cell>
          <cell r="CR91">
            <v>0</v>
          </cell>
          <cell r="CT91">
            <v>0</v>
          </cell>
          <cell r="CV91">
            <v>0</v>
          </cell>
          <cell r="DJ91">
            <v>0</v>
          </cell>
          <cell r="DL91">
            <v>0</v>
          </cell>
        </row>
        <row r="92">
          <cell r="B92" t="str">
            <v>PSG</v>
          </cell>
          <cell r="D92" t="str">
            <v>PSYCH GERIATRIC</v>
          </cell>
          <cell r="F92" t="str">
            <v>D73</v>
          </cell>
          <cell r="H92">
            <v>0</v>
          </cell>
          <cell r="J92">
            <v>0</v>
          </cell>
          <cell r="L92">
            <v>0</v>
          </cell>
          <cell r="N92">
            <v>0</v>
          </cell>
          <cell r="O92" t="str">
            <v>PSG</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PSG</v>
          </cell>
          <cell r="CO92" t="str">
            <v>PSG</v>
          </cell>
          <cell r="CP92">
            <v>0</v>
          </cell>
          <cell r="CR92">
            <v>0</v>
          </cell>
          <cell r="CT92">
            <v>0</v>
          </cell>
          <cell r="CV92">
            <v>0</v>
          </cell>
          <cell r="DJ92">
            <v>0</v>
          </cell>
          <cell r="DL92">
            <v>0</v>
          </cell>
        </row>
        <row r="93">
          <cell r="B93" t="str">
            <v>ITH</v>
          </cell>
          <cell r="D93" t="str">
            <v>INDIVIDUAL THERAPIES</v>
          </cell>
          <cell r="F93" t="str">
            <v>D74</v>
          </cell>
          <cell r="H93">
            <v>0</v>
          </cell>
          <cell r="J93">
            <v>0</v>
          </cell>
          <cell r="L93">
            <v>0</v>
          </cell>
          <cell r="N93">
            <v>0</v>
          </cell>
          <cell r="O93" t="str">
            <v>ITH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ITH</v>
          </cell>
          <cell r="CO93" t="str">
            <v>ITH</v>
          </cell>
          <cell r="CP93">
            <v>0</v>
          </cell>
          <cell r="CR93">
            <v>0</v>
          </cell>
          <cell r="CT93">
            <v>0</v>
          </cell>
          <cell r="CV93">
            <v>0</v>
          </cell>
          <cell r="DJ93">
            <v>0</v>
          </cell>
          <cell r="DL93">
            <v>0</v>
          </cell>
        </row>
        <row r="94">
          <cell r="B94" t="str">
            <v>GTH</v>
          </cell>
          <cell r="D94" t="str">
            <v>GROUP THERAPIES</v>
          </cell>
          <cell r="F94" t="str">
            <v>D75</v>
          </cell>
          <cell r="H94">
            <v>0</v>
          </cell>
          <cell r="J94">
            <v>0</v>
          </cell>
          <cell r="L94">
            <v>0</v>
          </cell>
          <cell r="N94">
            <v>0</v>
          </cell>
          <cell r="O94" t="str">
            <v>GTH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GTH</v>
          </cell>
          <cell r="CO94" t="str">
            <v>GTH</v>
          </cell>
          <cell r="CP94">
            <v>0</v>
          </cell>
          <cell r="CR94">
            <v>0</v>
          </cell>
          <cell r="CT94">
            <v>0</v>
          </cell>
          <cell r="CV94">
            <v>0</v>
          </cell>
          <cell r="DJ94">
            <v>0</v>
          </cell>
          <cell r="DL94">
            <v>0</v>
          </cell>
        </row>
        <row r="95">
          <cell r="B95" t="str">
            <v>FTH</v>
          </cell>
          <cell r="D95" t="str">
            <v>FAMILY THERAPIES</v>
          </cell>
          <cell r="F95" t="str">
            <v>D76</v>
          </cell>
          <cell r="H95">
            <v>0</v>
          </cell>
          <cell r="J95">
            <v>0</v>
          </cell>
          <cell r="L95">
            <v>0</v>
          </cell>
          <cell r="N95">
            <v>0</v>
          </cell>
          <cell r="O95" t="str">
            <v>FTH</v>
          </cell>
          <cell r="P95">
            <v>0</v>
          </cell>
          <cell r="R95">
            <v>0</v>
          </cell>
          <cell r="T95">
            <v>0</v>
          </cell>
          <cell r="AD95">
            <v>0</v>
          </cell>
          <cell r="AF95">
            <v>0</v>
          </cell>
          <cell r="AH95">
            <v>0</v>
          </cell>
          <cell r="AJ95">
            <v>0</v>
          </cell>
          <cell r="AL95">
            <v>0</v>
          </cell>
          <cell r="AN95">
            <v>0</v>
          </cell>
          <cell r="AP95">
            <v>0</v>
          </cell>
          <cell r="AR95">
            <v>0</v>
          </cell>
          <cell r="AT95">
            <v>0</v>
          </cell>
          <cell r="AV95">
            <v>0</v>
          </cell>
          <cell r="AX95">
            <v>0</v>
          </cell>
          <cell r="AZ95">
            <v>0</v>
          </cell>
          <cell r="BB95">
            <v>0</v>
          </cell>
          <cell r="BD95">
            <v>0</v>
          </cell>
          <cell r="BF95">
            <v>0</v>
          </cell>
          <cell r="BH95">
            <v>0</v>
          </cell>
          <cell r="BJ95">
            <v>0</v>
          </cell>
          <cell r="BN95">
            <v>0</v>
          </cell>
          <cell r="BP95">
            <v>0</v>
          </cell>
          <cell r="BR95">
            <v>0</v>
          </cell>
          <cell r="BT95">
            <v>0</v>
          </cell>
          <cell r="BV95">
            <v>0</v>
          </cell>
          <cell r="BX95">
            <v>0</v>
          </cell>
          <cell r="CB95">
            <v>0</v>
          </cell>
          <cell r="CD95">
            <v>0</v>
          </cell>
          <cell r="CG95" t="str">
            <v>FTH</v>
          </cell>
          <cell r="CO95" t="str">
            <v>FTH</v>
          </cell>
          <cell r="CP95">
            <v>0</v>
          </cell>
          <cell r="CR95">
            <v>0</v>
          </cell>
          <cell r="CT95">
            <v>0</v>
          </cell>
          <cell r="CV95">
            <v>0</v>
          </cell>
          <cell r="DJ95">
            <v>0</v>
          </cell>
          <cell r="DL95">
            <v>0</v>
          </cell>
        </row>
        <row r="96">
          <cell r="B96" t="str">
            <v>PST</v>
          </cell>
          <cell r="D96" t="str">
            <v>PSYCHOLOGICAL TESTING</v>
          </cell>
          <cell r="F96" t="str">
            <v>D77</v>
          </cell>
          <cell r="H96">
            <v>0</v>
          </cell>
          <cell r="J96">
            <v>0</v>
          </cell>
          <cell r="L96">
            <v>0</v>
          </cell>
          <cell r="N96">
            <v>0</v>
          </cell>
          <cell r="O96" t="str">
            <v>PST</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J96">
            <v>0</v>
          </cell>
          <cell r="BN96">
            <v>0</v>
          </cell>
          <cell r="BP96">
            <v>0</v>
          </cell>
          <cell r="BR96">
            <v>0</v>
          </cell>
          <cell r="BT96">
            <v>0</v>
          </cell>
          <cell r="BV96">
            <v>0</v>
          </cell>
          <cell r="BX96">
            <v>0</v>
          </cell>
          <cell r="CB96">
            <v>0</v>
          </cell>
          <cell r="CD96">
            <v>0</v>
          </cell>
          <cell r="CG96" t="str">
            <v>PST</v>
          </cell>
          <cell r="CO96" t="str">
            <v>PST</v>
          </cell>
          <cell r="CP96">
            <v>0</v>
          </cell>
          <cell r="CR96">
            <v>0</v>
          </cell>
          <cell r="CT96">
            <v>0</v>
          </cell>
          <cell r="CV96">
            <v>0</v>
          </cell>
          <cell r="DJ96">
            <v>0</v>
          </cell>
          <cell r="DL96">
            <v>0</v>
          </cell>
        </row>
        <row r="97">
          <cell r="B97" t="str">
            <v>PSE</v>
          </cell>
          <cell r="D97" t="str">
            <v>EDUCATION</v>
          </cell>
          <cell r="F97" t="str">
            <v>D78</v>
          </cell>
          <cell r="H97">
            <v>0</v>
          </cell>
          <cell r="J97">
            <v>0</v>
          </cell>
          <cell r="L97">
            <v>0</v>
          </cell>
          <cell r="N97">
            <v>0</v>
          </cell>
          <cell r="O97" t="str">
            <v>PSE</v>
          </cell>
          <cell r="P97">
            <v>0</v>
          </cell>
          <cell r="R97">
            <v>0</v>
          </cell>
          <cell r="T97">
            <v>0</v>
          </cell>
          <cell r="AD97">
            <v>0</v>
          </cell>
          <cell r="AF97">
            <v>0</v>
          </cell>
          <cell r="AH97">
            <v>0</v>
          </cell>
          <cell r="AJ97">
            <v>0</v>
          </cell>
          <cell r="AL97">
            <v>0</v>
          </cell>
          <cell r="AN97">
            <v>0</v>
          </cell>
          <cell r="AP97">
            <v>0</v>
          </cell>
          <cell r="AR97">
            <v>0</v>
          </cell>
          <cell r="AT97">
            <v>0</v>
          </cell>
          <cell r="AV97">
            <v>0</v>
          </cell>
          <cell r="AX97">
            <v>0</v>
          </cell>
          <cell r="AZ97">
            <v>0</v>
          </cell>
          <cell r="BB97">
            <v>0</v>
          </cell>
          <cell r="BD97">
            <v>0</v>
          </cell>
          <cell r="BF97">
            <v>0</v>
          </cell>
          <cell r="BH97">
            <v>0</v>
          </cell>
          <cell r="BJ97">
            <v>0</v>
          </cell>
          <cell r="BN97">
            <v>0</v>
          </cell>
          <cell r="BP97">
            <v>0</v>
          </cell>
          <cell r="BR97">
            <v>0</v>
          </cell>
          <cell r="BT97">
            <v>0</v>
          </cell>
          <cell r="BV97">
            <v>0</v>
          </cell>
          <cell r="BX97">
            <v>0</v>
          </cell>
          <cell r="CB97">
            <v>0</v>
          </cell>
          <cell r="CD97">
            <v>0</v>
          </cell>
          <cell r="CG97" t="str">
            <v>PSE</v>
          </cell>
          <cell r="CO97" t="str">
            <v>PSE</v>
          </cell>
          <cell r="CP97">
            <v>0</v>
          </cell>
          <cell r="CR97">
            <v>0</v>
          </cell>
          <cell r="CT97">
            <v>0</v>
          </cell>
          <cell r="CV97">
            <v>0</v>
          </cell>
          <cell r="DJ97">
            <v>0</v>
          </cell>
          <cell r="DL97">
            <v>0</v>
          </cell>
        </row>
        <row r="98">
          <cell r="B98" t="str">
            <v>OPT</v>
          </cell>
          <cell r="D98" t="str">
            <v>OTHER THERAPIES</v>
          </cell>
          <cell r="F98" t="str">
            <v>D79</v>
          </cell>
          <cell r="H98">
            <v>0</v>
          </cell>
          <cell r="J98">
            <v>0</v>
          </cell>
          <cell r="L98">
            <v>0</v>
          </cell>
          <cell r="N98">
            <v>0</v>
          </cell>
          <cell r="O98" t="str">
            <v>OPT</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J98">
            <v>0</v>
          </cell>
          <cell r="BN98">
            <v>0</v>
          </cell>
          <cell r="BP98">
            <v>0</v>
          </cell>
          <cell r="BR98">
            <v>0</v>
          </cell>
          <cell r="BT98">
            <v>0</v>
          </cell>
          <cell r="BV98">
            <v>0</v>
          </cell>
          <cell r="BX98">
            <v>0</v>
          </cell>
          <cell r="CB98">
            <v>0</v>
          </cell>
          <cell r="CD98">
            <v>0</v>
          </cell>
          <cell r="CG98" t="str">
            <v>OPT</v>
          </cell>
          <cell r="CO98" t="str">
            <v>OPT</v>
          </cell>
          <cell r="CP98">
            <v>0</v>
          </cell>
          <cell r="CR98">
            <v>0</v>
          </cell>
          <cell r="CT98">
            <v>0</v>
          </cell>
          <cell r="CV98">
            <v>0</v>
          </cell>
          <cell r="DJ98">
            <v>0</v>
          </cell>
          <cell r="DL98">
            <v>0</v>
          </cell>
        </row>
        <row r="99">
          <cell r="B99" t="str">
            <v>ETH</v>
          </cell>
          <cell r="D99" t="str">
            <v>ELECTROCONVULSIVE THERAPY</v>
          </cell>
          <cell r="F99" t="str">
            <v>D80</v>
          </cell>
          <cell r="H99">
            <v>0</v>
          </cell>
          <cell r="J99">
            <v>0</v>
          </cell>
          <cell r="L99">
            <v>0</v>
          </cell>
          <cell r="N99">
            <v>0</v>
          </cell>
          <cell r="O99" t="str">
            <v>ETH</v>
          </cell>
          <cell r="P99">
            <v>0</v>
          </cell>
          <cell r="R99">
            <v>0</v>
          </cell>
          <cell r="T99">
            <v>0</v>
          </cell>
          <cell r="AD99">
            <v>0</v>
          </cell>
          <cell r="AF99">
            <v>0</v>
          </cell>
          <cell r="AH99">
            <v>0</v>
          </cell>
          <cell r="AJ99">
            <v>0</v>
          </cell>
          <cell r="AL99">
            <v>0</v>
          </cell>
          <cell r="AN99">
            <v>0</v>
          </cell>
          <cell r="AP99">
            <v>0</v>
          </cell>
          <cell r="AR99">
            <v>0</v>
          </cell>
          <cell r="AT99">
            <v>0</v>
          </cell>
          <cell r="AV99">
            <v>0</v>
          </cell>
          <cell r="AX99">
            <v>0</v>
          </cell>
          <cell r="AZ99">
            <v>0</v>
          </cell>
          <cell r="BB99">
            <v>0</v>
          </cell>
          <cell r="BD99">
            <v>0</v>
          </cell>
          <cell r="BF99">
            <v>0</v>
          </cell>
          <cell r="BH99">
            <v>0</v>
          </cell>
          <cell r="BJ99">
            <v>0</v>
          </cell>
          <cell r="BN99">
            <v>0</v>
          </cell>
          <cell r="BP99">
            <v>0</v>
          </cell>
          <cell r="BR99">
            <v>0</v>
          </cell>
          <cell r="BT99">
            <v>0</v>
          </cell>
          <cell r="BV99">
            <v>0</v>
          </cell>
          <cell r="BX99">
            <v>0</v>
          </cell>
          <cell r="CB99">
            <v>0</v>
          </cell>
          <cell r="CD99">
            <v>0</v>
          </cell>
          <cell r="CG99" t="str">
            <v>ETH</v>
          </cell>
          <cell r="CO99" t="str">
            <v>ETH</v>
          </cell>
          <cell r="CP99">
            <v>0</v>
          </cell>
          <cell r="CR99">
            <v>0</v>
          </cell>
          <cell r="CT99">
            <v>0</v>
          </cell>
          <cell r="CV99">
            <v>0</v>
          </cell>
          <cell r="DJ99">
            <v>0</v>
          </cell>
          <cell r="DL99">
            <v>0</v>
          </cell>
        </row>
        <row r="100">
          <cell r="B100" t="str">
            <v>ATH</v>
          </cell>
          <cell r="D100" t="str">
            <v>ACTIVITY THERAPIES</v>
          </cell>
          <cell r="F100" t="str">
            <v>D81</v>
          </cell>
          <cell r="H100">
            <v>0</v>
          </cell>
          <cell r="J100">
            <v>0</v>
          </cell>
          <cell r="L100">
            <v>0</v>
          </cell>
          <cell r="N100">
            <v>0</v>
          </cell>
          <cell r="O100" t="str">
            <v>ATH</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J100">
            <v>0</v>
          </cell>
          <cell r="BN100">
            <v>0</v>
          </cell>
          <cell r="BP100">
            <v>0</v>
          </cell>
          <cell r="BR100">
            <v>0</v>
          </cell>
          <cell r="BT100">
            <v>0</v>
          </cell>
          <cell r="BV100">
            <v>0</v>
          </cell>
          <cell r="BX100">
            <v>0</v>
          </cell>
          <cell r="CB100">
            <v>0</v>
          </cell>
          <cell r="CD100">
            <v>0</v>
          </cell>
          <cell r="CG100" t="str">
            <v>ATH</v>
          </cell>
          <cell r="CO100" t="str">
            <v>ATH</v>
          </cell>
          <cell r="CP100">
            <v>0</v>
          </cell>
          <cell r="CR100">
            <v>0</v>
          </cell>
          <cell r="CT100">
            <v>0</v>
          </cell>
          <cell r="CV100">
            <v>0</v>
          </cell>
          <cell r="DJ100">
            <v>0</v>
          </cell>
          <cell r="DL100">
            <v>0</v>
          </cell>
        </row>
        <row r="101">
          <cell r="B101" t="str">
            <v>EDP</v>
          </cell>
          <cell r="D101" t="str">
            <v>DATA PROCESSING</v>
          </cell>
          <cell r="F101" t="str">
            <v>DP1</v>
          </cell>
          <cell r="H101">
            <v>698159.54838663258</v>
          </cell>
          <cell r="J101">
            <v>12750129.065400634</v>
          </cell>
          <cell r="L101">
            <v>13448288.613787267</v>
          </cell>
          <cell r="N101">
            <v>5.2603365384615381</v>
          </cell>
          <cell r="O101" t="str">
            <v>EDP</v>
          </cell>
          <cell r="P101">
            <v>698.2</v>
          </cell>
          <cell r="R101">
            <v>12750.1</v>
          </cell>
          <cell r="T101">
            <v>13448.300000000001</v>
          </cell>
          <cell r="X101">
            <v>0</v>
          </cell>
          <cell r="Z101">
            <v>0</v>
          </cell>
          <cell r="AD101">
            <v>698.2</v>
          </cell>
          <cell r="AF101">
            <v>12750.1</v>
          </cell>
          <cell r="AH101">
            <v>13448.300000000001</v>
          </cell>
          <cell r="AJ101">
            <v>5.2603365384615381</v>
          </cell>
          <cell r="AL101">
            <v>0</v>
          </cell>
          <cell r="AN101">
            <v>0</v>
          </cell>
          <cell r="AP101">
            <v>0</v>
          </cell>
          <cell r="AR101">
            <v>0</v>
          </cell>
          <cell r="AT101">
            <v>-698.20000000000039</v>
          </cell>
          <cell r="AV101">
            <v>-12750.099999999997</v>
          </cell>
          <cell r="AX101">
            <v>-13448.299999999997</v>
          </cell>
          <cell r="AZ101">
            <v>-5.2603365384615381</v>
          </cell>
          <cell r="BB101">
            <v>0</v>
          </cell>
          <cell r="BD101">
            <v>0</v>
          </cell>
          <cell r="BF101">
            <v>0</v>
          </cell>
          <cell r="BH101">
            <v>0</v>
          </cell>
          <cell r="BN101">
            <v>0</v>
          </cell>
          <cell r="BR101">
            <v>0</v>
          </cell>
          <cell r="BT101">
            <v>0</v>
          </cell>
          <cell r="BV101">
            <v>0</v>
          </cell>
          <cell r="BX101">
            <v>0</v>
          </cell>
          <cell r="CD101">
            <v>0</v>
          </cell>
          <cell r="CG101" t="str">
            <v>EDP</v>
          </cell>
          <cell r="CO101" t="str">
            <v>EDP</v>
          </cell>
          <cell r="CP101">
            <v>0</v>
          </cell>
          <cell r="CR101">
            <v>0</v>
          </cell>
          <cell r="CT101">
            <v>0</v>
          </cell>
          <cell r="CV101">
            <v>0</v>
          </cell>
        </row>
        <row r="102">
          <cell r="B102" t="str">
            <v>AMB</v>
          </cell>
          <cell r="D102" t="str">
            <v>AMBULANCE SERVICE</v>
          </cell>
          <cell r="F102" t="str">
            <v>E1</v>
          </cell>
          <cell r="H102">
            <v>0</v>
          </cell>
          <cell r="J102">
            <v>0</v>
          </cell>
          <cell r="L102">
            <v>0</v>
          </cell>
          <cell r="N102">
            <v>0</v>
          </cell>
          <cell r="O102" t="str">
            <v>AMB</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B102">
            <v>0</v>
          </cell>
          <cell r="CD102">
            <v>0</v>
          </cell>
          <cell r="CG102" t="str">
            <v>AMB</v>
          </cell>
          <cell r="CH102">
            <v>0</v>
          </cell>
          <cell r="CJ102">
            <v>0</v>
          </cell>
          <cell r="CL102">
            <v>0</v>
          </cell>
          <cell r="CN102">
            <v>0</v>
          </cell>
          <cell r="CO102" t="str">
            <v>AMB</v>
          </cell>
          <cell r="CP102">
            <v>0</v>
          </cell>
          <cell r="CR102">
            <v>0</v>
          </cell>
          <cell r="CT102">
            <v>0</v>
          </cell>
          <cell r="CV102">
            <v>0</v>
          </cell>
          <cell r="CX102">
            <v>0</v>
          </cell>
          <cell r="CZ102">
            <v>0</v>
          </cell>
          <cell r="DD102">
            <v>0</v>
          </cell>
          <cell r="DF102">
            <v>0</v>
          </cell>
          <cell r="DH102">
            <v>0</v>
          </cell>
        </row>
        <row r="103">
          <cell r="B103" t="str">
            <v>PAR</v>
          </cell>
          <cell r="D103" t="str">
            <v>PARKING</v>
          </cell>
          <cell r="F103" t="str">
            <v>E2</v>
          </cell>
          <cell r="H103">
            <v>438821.80354415334</v>
          </cell>
          <cell r="J103">
            <v>287974.88999999996</v>
          </cell>
          <cell r="L103">
            <v>726796.69354415336</v>
          </cell>
          <cell r="N103">
            <v>10.98858173076923</v>
          </cell>
          <cell r="O103" t="str">
            <v>PAR</v>
          </cell>
          <cell r="P103">
            <v>438.8</v>
          </cell>
          <cell r="R103">
            <v>288</v>
          </cell>
          <cell r="T103">
            <v>726.8</v>
          </cell>
          <cell r="AD103">
            <v>438.8</v>
          </cell>
          <cell r="AF103">
            <v>288</v>
          </cell>
          <cell r="AH103">
            <v>726.8</v>
          </cell>
          <cell r="AJ103">
            <v>10.98858173076923</v>
          </cell>
          <cell r="AL103">
            <v>0</v>
          </cell>
          <cell r="AN103">
            <v>0</v>
          </cell>
          <cell r="AP103">
            <v>0</v>
          </cell>
          <cell r="AR103">
            <v>0</v>
          </cell>
          <cell r="AT103">
            <v>0</v>
          </cell>
          <cell r="AV103">
            <v>0</v>
          </cell>
          <cell r="AX103">
            <v>0</v>
          </cell>
          <cell r="AZ103">
            <v>0</v>
          </cell>
          <cell r="BB103">
            <v>438.8</v>
          </cell>
          <cell r="BD103">
            <v>288</v>
          </cell>
          <cell r="BF103">
            <v>726.8</v>
          </cell>
          <cell r="BH103">
            <v>10.98858173076923</v>
          </cell>
          <cell r="BN103">
            <v>0</v>
          </cell>
          <cell r="BR103">
            <v>438.8</v>
          </cell>
          <cell r="BT103">
            <v>288</v>
          </cell>
          <cell r="BV103">
            <v>726.8</v>
          </cell>
          <cell r="BX103">
            <v>10.98858173076923</v>
          </cell>
          <cell r="CD103">
            <v>0</v>
          </cell>
          <cell r="CG103" t="str">
            <v>PAR</v>
          </cell>
          <cell r="CH103">
            <v>22.355439302578944</v>
          </cell>
          <cell r="CJ103">
            <v>44.716492798930105</v>
          </cell>
          <cell r="CL103">
            <v>67.071932101509049</v>
          </cell>
          <cell r="CN103">
            <v>0.15888721075903409</v>
          </cell>
          <cell r="CO103" t="str">
            <v>PAR</v>
          </cell>
          <cell r="CP103">
            <v>461.15543930257894</v>
          </cell>
          <cell r="CR103">
            <v>332.71649279893012</v>
          </cell>
          <cell r="CT103">
            <v>793.87193210150906</v>
          </cell>
          <cell r="CV103">
            <v>11.147468941528263</v>
          </cell>
          <cell r="CX103">
            <v>1207.90589</v>
          </cell>
          <cell r="CZ103">
            <v>414.03395789849094</v>
          </cell>
          <cell r="DB103">
            <v>0</v>
          </cell>
          <cell r="DD103">
            <v>414.03395789849094</v>
          </cell>
          <cell r="DF103">
            <v>0</v>
          </cell>
          <cell r="DH103">
            <v>414.03395789849094</v>
          </cell>
        </row>
        <row r="104">
          <cell r="B104" t="str">
            <v>DPO</v>
          </cell>
          <cell r="D104" t="str">
            <v>DOCTOR PRIVATE OFFICE RENT</v>
          </cell>
          <cell r="F104" t="str">
            <v>E3</v>
          </cell>
          <cell r="H104">
            <v>0</v>
          </cell>
          <cell r="J104">
            <v>0</v>
          </cell>
          <cell r="L104">
            <v>0</v>
          </cell>
          <cell r="N104">
            <v>0</v>
          </cell>
          <cell r="O104" t="str">
            <v>DPO</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B104">
            <v>0</v>
          </cell>
          <cell r="CD104">
            <v>0</v>
          </cell>
          <cell r="CG104" t="str">
            <v>DPO</v>
          </cell>
          <cell r="CH104">
            <v>0</v>
          </cell>
          <cell r="CJ104">
            <v>0</v>
          </cell>
          <cell r="CL104">
            <v>0</v>
          </cell>
          <cell r="CN104">
            <v>0</v>
          </cell>
          <cell r="CO104" t="str">
            <v>DPO</v>
          </cell>
          <cell r="CP104">
            <v>0</v>
          </cell>
          <cell r="CR104">
            <v>0</v>
          </cell>
          <cell r="CT104">
            <v>0</v>
          </cell>
          <cell r="CV104">
            <v>0</v>
          </cell>
          <cell r="CX104">
            <v>0</v>
          </cell>
          <cell r="CZ104">
            <v>0</v>
          </cell>
          <cell r="DD104">
            <v>0</v>
          </cell>
          <cell r="DF104">
            <v>0</v>
          </cell>
          <cell r="DH104">
            <v>0</v>
          </cell>
        </row>
        <row r="105">
          <cell r="B105" t="str">
            <v>OOR</v>
          </cell>
          <cell r="D105" t="str">
            <v>OFFICE &amp; OTHER RENTALS</v>
          </cell>
          <cell r="F105" t="str">
            <v>E4</v>
          </cell>
          <cell r="H105">
            <v>0</v>
          </cell>
          <cell r="J105">
            <v>282588.44</v>
          </cell>
          <cell r="L105">
            <v>282588.44</v>
          </cell>
          <cell r="N105">
            <v>0</v>
          </cell>
          <cell r="O105" t="str">
            <v>OOR</v>
          </cell>
          <cell r="P105">
            <v>0</v>
          </cell>
          <cell r="R105">
            <v>282.60000000000002</v>
          </cell>
          <cell r="T105">
            <v>282.60000000000002</v>
          </cell>
          <cell r="AD105">
            <v>0</v>
          </cell>
          <cell r="AF105">
            <v>282.60000000000002</v>
          </cell>
          <cell r="AH105">
            <v>282.60000000000002</v>
          </cell>
          <cell r="AJ105">
            <v>0</v>
          </cell>
          <cell r="AL105">
            <v>0</v>
          </cell>
          <cell r="AN105">
            <v>0</v>
          </cell>
          <cell r="AP105">
            <v>0</v>
          </cell>
          <cell r="AR105">
            <v>0</v>
          </cell>
          <cell r="AT105">
            <v>0</v>
          </cell>
          <cell r="AV105">
            <v>0</v>
          </cell>
          <cell r="AX105">
            <v>0</v>
          </cell>
          <cell r="AZ105">
            <v>0</v>
          </cell>
          <cell r="BB105">
            <v>0</v>
          </cell>
          <cell r="BD105">
            <v>282.60000000000002</v>
          </cell>
          <cell r="BF105">
            <v>282.60000000000002</v>
          </cell>
          <cell r="BH105">
            <v>0</v>
          </cell>
          <cell r="BN105">
            <v>0</v>
          </cell>
          <cell r="BR105">
            <v>0</v>
          </cell>
          <cell r="BT105">
            <v>282.60000000000002</v>
          </cell>
          <cell r="BV105">
            <v>282.60000000000002</v>
          </cell>
          <cell r="BX105">
            <v>0</v>
          </cell>
          <cell r="CB105">
            <v>0</v>
          </cell>
          <cell r="CD105">
            <v>0</v>
          </cell>
          <cell r="CG105" t="str">
            <v>OOR</v>
          </cell>
          <cell r="CH105">
            <v>0</v>
          </cell>
          <cell r="CJ105">
            <v>1890.62456</v>
          </cell>
          <cell r="CL105">
            <v>1890.62456</v>
          </cell>
          <cell r="CN105">
            <v>0</v>
          </cell>
          <cell r="CO105" t="str">
            <v>OOR</v>
          </cell>
          <cell r="CP105">
            <v>0</v>
          </cell>
          <cell r="CR105">
            <v>2173.2245600000001</v>
          </cell>
          <cell r="CT105">
            <v>2173.2245600000001</v>
          </cell>
          <cell r="CV105">
            <v>0</v>
          </cell>
          <cell r="CX105">
            <v>1368.3696299999999</v>
          </cell>
          <cell r="CZ105">
            <v>-804.85493000000019</v>
          </cell>
          <cell r="DD105">
            <v>-804.85493000000019</v>
          </cell>
          <cell r="DF105">
            <v>-804.85493000000019</v>
          </cell>
          <cell r="DH105">
            <v>0</v>
          </cell>
        </row>
        <row r="106">
          <cell r="B106" t="str">
            <v>REO</v>
          </cell>
          <cell r="D106" t="str">
            <v>RETAIL OPERATIONS</v>
          </cell>
          <cell r="F106" t="str">
            <v>E5</v>
          </cell>
          <cell r="H106">
            <v>0</v>
          </cell>
          <cell r="J106">
            <v>114.95</v>
          </cell>
          <cell r="L106">
            <v>114.95</v>
          </cell>
          <cell r="N106">
            <v>0</v>
          </cell>
          <cell r="O106" t="str">
            <v>REO</v>
          </cell>
          <cell r="P106">
            <v>0</v>
          </cell>
          <cell r="R106">
            <v>0.1</v>
          </cell>
          <cell r="T106">
            <v>0.1</v>
          </cell>
          <cell r="AD106">
            <v>0</v>
          </cell>
          <cell r="AF106">
            <v>0.1</v>
          </cell>
          <cell r="AH106">
            <v>0.1</v>
          </cell>
          <cell r="AJ106">
            <v>0</v>
          </cell>
          <cell r="AL106">
            <v>0</v>
          </cell>
          <cell r="AN106">
            <v>0</v>
          </cell>
          <cell r="AP106">
            <v>0</v>
          </cell>
          <cell r="AR106">
            <v>0</v>
          </cell>
          <cell r="AT106">
            <v>0</v>
          </cell>
          <cell r="AV106">
            <v>0</v>
          </cell>
          <cell r="AX106">
            <v>0</v>
          </cell>
          <cell r="AZ106">
            <v>0</v>
          </cell>
          <cell r="BB106">
            <v>0</v>
          </cell>
          <cell r="BD106">
            <v>0.1</v>
          </cell>
          <cell r="BF106">
            <v>0.1</v>
          </cell>
          <cell r="BH106">
            <v>0</v>
          </cell>
          <cell r="BN106">
            <v>0</v>
          </cell>
          <cell r="BR106">
            <v>0</v>
          </cell>
          <cell r="BT106">
            <v>0.1</v>
          </cell>
          <cell r="BV106">
            <v>0.1</v>
          </cell>
          <cell r="BX106">
            <v>0</v>
          </cell>
          <cell r="CB106">
            <v>0.13494999999999999</v>
          </cell>
          <cell r="CD106">
            <v>0.13494999999999999</v>
          </cell>
          <cell r="CG106" t="str">
            <v>REO</v>
          </cell>
          <cell r="CH106">
            <v>9.1206265833144826</v>
          </cell>
          <cell r="CJ106">
            <v>71.171007147504554</v>
          </cell>
          <cell r="CL106">
            <v>80.291633730819029</v>
          </cell>
          <cell r="CN106">
            <v>0.12558217930579119</v>
          </cell>
          <cell r="CO106" t="str">
            <v>REO</v>
          </cell>
          <cell r="CP106">
            <v>9.2555765833144825</v>
          </cell>
          <cell r="CR106">
            <v>71.271007147504548</v>
          </cell>
          <cell r="CT106">
            <v>80.526583730819027</v>
          </cell>
          <cell r="CV106">
            <v>0.12558217930579119</v>
          </cell>
          <cell r="CX106">
            <v>0</v>
          </cell>
          <cell r="CZ106">
            <v>-80.526583730819027</v>
          </cell>
          <cell r="DD106">
            <v>-80.526583730819027</v>
          </cell>
          <cell r="DF106">
            <v>-80.526583730819027</v>
          </cell>
          <cell r="DH106">
            <v>0</v>
          </cell>
        </row>
        <row r="107">
          <cell r="B107" t="str">
            <v>PTE</v>
          </cell>
          <cell r="D107" t="str">
            <v>PATIENT TELEPHONE</v>
          </cell>
          <cell r="F107" t="str">
            <v>E6</v>
          </cell>
          <cell r="H107">
            <v>69858.08841517914</v>
          </cell>
          <cell r="J107">
            <v>-313.44863436123353</v>
          </cell>
          <cell r="L107">
            <v>69544.639780817903</v>
          </cell>
          <cell r="N107">
            <v>1.4473876137628889</v>
          </cell>
          <cell r="O107" t="str">
            <v>PTE</v>
          </cell>
          <cell r="P107">
            <v>69.900000000000006</v>
          </cell>
          <cell r="R107">
            <v>-0.3</v>
          </cell>
          <cell r="T107">
            <v>69.600000000000009</v>
          </cell>
          <cell r="AD107">
            <v>69.900000000000006</v>
          </cell>
          <cell r="AF107">
            <v>-0.3</v>
          </cell>
          <cell r="AH107">
            <v>69.600000000000009</v>
          </cell>
          <cell r="AJ107">
            <v>1.4473876137628889</v>
          </cell>
          <cell r="AL107">
            <v>0</v>
          </cell>
          <cell r="AN107">
            <v>0</v>
          </cell>
          <cell r="AP107">
            <v>0</v>
          </cell>
          <cell r="AR107">
            <v>0</v>
          </cell>
          <cell r="AT107">
            <v>0</v>
          </cell>
          <cell r="AV107">
            <v>0</v>
          </cell>
          <cell r="AX107">
            <v>0</v>
          </cell>
          <cell r="AZ107">
            <v>0</v>
          </cell>
          <cell r="BB107">
            <v>69.900000000000006</v>
          </cell>
          <cell r="BD107">
            <v>-0.3</v>
          </cell>
          <cell r="BF107">
            <v>69.600000000000009</v>
          </cell>
          <cell r="BH107">
            <v>1.4473876137628889</v>
          </cell>
          <cell r="BN107">
            <v>0</v>
          </cell>
          <cell r="BR107">
            <v>69.900000000000006</v>
          </cell>
          <cell r="BT107">
            <v>-0.3</v>
          </cell>
          <cell r="BV107">
            <v>69.600000000000009</v>
          </cell>
          <cell r="BX107">
            <v>1.4473876137628889</v>
          </cell>
          <cell r="CB107">
            <v>1.5740700000000001</v>
          </cell>
          <cell r="CD107">
            <v>1.5740700000000001</v>
          </cell>
          <cell r="CG107" t="str">
            <v>PTE</v>
          </cell>
          <cell r="CH107">
            <v>2.1331735718068723</v>
          </cell>
          <cell r="CJ107">
            <v>3.9779328330759931</v>
          </cell>
          <cell r="CL107">
            <v>6.1111064048828654</v>
          </cell>
          <cell r="CN107">
            <v>1.7437897193062601E-2</v>
          </cell>
          <cell r="CO107" t="str">
            <v>PTE</v>
          </cell>
          <cell r="CP107">
            <v>73.60724357180689</v>
          </cell>
          <cell r="CR107">
            <v>3.6779328330759933</v>
          </cell>
          <cell r="CT107">
            <v>77.28517640488289</v>
          </cell>
          <cell r="CV107">
            <v>1.4648255109559516</v>
          </cell>
          <cell r="CX107">
            <v>0</v>
          </cell>
          <cell r="CZ107">
            <v>-77.28517640488289</v>
          </cell>
          <cell r="DD107">
            <v>-77.28517640488289</v>
          </cell>
          <cell r="DF107">
            <v>-77.28517640488289</v>
          </cell>
          <cell r="DH107">
            <v>0</v>
          </cell>
        </row>
        <row r="108">
          <cell r="B108" t="str">
            <v>CAF</v>
          </cell>
          <cell r="D108" t="str">
            <v>CAFETERIA</v>
          </cell>
          <cell r="F108" t="str">
            <v>E7</v>
          </cell>
          <cell r="H108">
            <v>0</v>
          </cell>
          <cell r="J108">
            <v>886040.6897300001</v>
          </cell>
          <cell r="L108">
            <v>886040.6897300001</v>
          </cell>
          <cell r="N108">
            <v>0</v>
          </cell>
          <cell r="O108" t="str">
            <v>CAF</v>
          </cell>
          <cell r="P108">
            <v>0</v>
          </cell>
          <cell r="R108">
            <v>886</v>
          </cell>
          <cell r="T108">
            <v>886</v>
          </cell>
          <cell r="AD108">
            <v>0</v>
          </cell>
          <cell r="AF108">
            <v>886</v>
          </cell>
          <cell r="AH108">
            <v>886</v>
          </cell>
          <cell r="AJ108">
            <v>0</v>
          </cell>
          <cell r="AL108">
            <v>0</v>
          </cell>
          <cell r="AN108">
            <v>0</v>
          </cell>
          <cell r="AP108">
            <v>0</v>
          </cell>
          <cell r="AR108">
            <v>0</v>
          </cell>
          <cell r="AT108">
            <v>0</v>
          </cell>
          <cell r="AV108">
            <v>0</v>
          </cell>
          <cell r="AX108">
            <v>0</v>
          </cell>
          <cell r="AZ108">
            <v>0</v>
          </cell>
          <cell r="BB108">
            <v>0</v>
          </cell>
          <cell r="BD108">
            <v>886</v>
          </cell>
          <cell r="BF108">
            <v>886</v>
          </cell>
          <cell r="BH108">
            <v>0</v>
          </cell>
          <cell r="BN108">
            <v>0</v>
          </cell>
          <cell r="BR108">
            <v>0</v>
          </cell>
          <cell r="BT108">
            <v>886</v>
          </cell>
          <cell r="BV108">
            <v>886</v>
          </cell>
          <cell r="BX108">
            <v>0</v>
          </cell>
          <cell r="CD108">
            <v>0</v>
          </cell>
          <cell r="CG108" t="str">
            <v>CAF</v>
          </cell>
          <cell r="CH108">
            <v>30.713124345641063</v>
          </cell>
          <cell r="CJ108">
            <v>239.66379638047351</v>
          </cell>
          <cell r="CL108">
            <v>270.37692072611458</v>
          </cell>
          <cell r="CN108">
            <v>0.42288992465402475</v>
          </cell>
          <cell r="CO108" t="str">
            <v>CAF</v>
          </cell>
          <cell r="CP108">
            <v>30.713124345641063</v>
          </cell>
          <cell r="CR108">
            <v>1125.6637963804735</v>
          </cell>
          <cell r="CT108">
            <v>1156.3769207261146</v>
          </cell>
          <cell r="CV108">
            <v>0.42288992465402475</v>
          </cell>
          <cell r="CX108">
            <v>0</v>
          </cell>
          <cell r="CZ108">
            <v>-1156.3769207261146</v>
          </cell>
          <cell r="DB108">
            <v>-1156.3769207261146</v>
          </cell>
          <cell r="DD108">
            <v>0</v>
          </cell>
          <cell r="DF108">
            <v>0</v>
          </cell>
          <cell r="DH108">
            <v>0</v>
          </cell>
        </row>
        <row r="109">
          <cell r="B109" t="str">
            <v>DEB</v>
          </cell>
          <cell r="D109" t="str">
            <v>DAY CARE, REC AREAS, ECT.</v>
          </cell>
          <cell r="F109" t="str">
            <v>E8</v>
          </cell>
          <cell r="H109">
            <v>0</v>
          </cell>
          <cell r="J109">
            <v>-10545.05</v>
          </cell>
          <cell r="L109">
            <v>-10545.05</v>
          </cell>
          <cell r="N109">
            <v>0</v>
          </cell>
          <cell r="O109" t="str">
            <v>DEB</v>
          </cell>
          <cell r="P109">
            <v>0</v>
          </cell>
          <cell r="R109">
            <v>-10.5</v>
          </cell>
          <cell r="T109">
            <v>-10.5</v>
          </cell>
          <cell r="AD109">
            <v>0</v>
          </cell>
          <cell r="AF109">
            <v>-10.5</v>
          </cell>
          <cell r="AH109">
            <v>-10.5</v>
          </cell>
          <cell r="AJ109">
            <v>0</v>
          </cell>
          <cell r="AL109">
            <v>0</v>
          </cell>
          <cell r="AN109">
            <v>0</v>
          </cell>
          <cell r="AP109">
            <v>0</v>
          </cell>
          <cell r="AR109">
            <v>0</v>
          </cell>
          <cell r="AT109">
            <v>0</v>
          </cell>
          <cell r="AV109">
            <v>0</v>
          </cell>
          <cell r="AX109">
            <v>0</v>
          </cell>
          <cell r="AZ109">
            <v>0</v>
          </cell>
          <cell r="BB109">
            <v>0</v>
          </cell>
          <cell r="BD109">
            <v>-10.5</v>
          </cell>
          <cell r="BF109">
            <v>-10.5</v>
          </cell>
          <cell r="BH109">
            <v>0</v>
          </cell>
          <cell r="BN109">
            <v>0</v>
          </cell>
          <cell r="BR109">
            <v>0</v>
          </cell>
          <cell r="BT109">
            <v>-10.5</v>
          </cell>
          <cell r="BV109">
            <v>-10.5</v>
          </cell>
          <cell r="BX109">
            <v>0</v>
          </cell>
          <cell r="CD109">
            <v>0</v>
          </cell>
          <cell r="CG109" t="str">
            <v>DEB</v>
          </cell>
          <cell r="CH109">
            <v>20.623837459090865</v>
          </cell>
          <cell r="CJ109">
            <v>163.51229478358738</v>
          </cell>
          <cell r="CL109">
            <v>184.13613224267823</v>
          </cell>
          <cell r="CN109">
            <v>0.28594022052733459</v>
          </cell>
          <cell r="CO109" t="str">
            <v>DEB</v>
          </cell>
          <cell r="CP109">
            <v>20.623837459090865</v>
          </cell>
          <cell r="CR109">
            <v>153.01229478358738</v>
          </cell>
          <cell r="CT109">
            <v>173.63613224267823</v>
          </cell>
          <cell r="CV109">
            <v>0.28594022052733459</v>
          </cell>
          <cell r="CX109">
            <v>0</v>
          </cell>
          <cell r="CZ109">
            <v>-173.63613224267823</v>
          </cell>
          <cell r="DB109">
            <v>-173.63613224267823</v>
          </cell>
          <cell r="DD109">
            <v>0</v>
          </cell>
          <cell r="DF109">
            <v>0</v>
          </cell>
          <cell r="DH109">
            <v>0</v>
          </cell>
        </row>
        <row r="110">
          <cell r="B110" t="str">
            <v>HOU</v>
          </cell>
          <cell r="D110" t="str">
            <v>HOUSING</v>
          </cell>
          <cell r="F110" t="str">
            <v>E9</v>
          </cell>
          <cell r="H110">
            <v>0</v>
          </cell>
          <cell r="J110">
            <v>0</v>
          </cell>
          <cell r="L110">
            <v>0</v>
          </cell>
          <cell r="N110">
            <v>0</v>
          </cell>
          <cell r="O110" t="str">
            <v>HOU</v>
          </cell>
          <cell r="P110">
            <v>0</v>
          </cell>
          <cell r="R110">
            <v>0</v>
          </cell>
          <cell r="T110">
            <v>0</v>
          </cell>
          <cell r="AD110">
            <v>0</v>
          </cell>
          <cell r="AF110">
            <v>0</v>
          </cell>
          <cell r="AH110">
            <v>0</v>
          </cell>
          <cell r="AJ110">
            <v>0</v>
          </cell>
          <cell r="AL110">
            <v>0</v>
          </cell>
          <cell r="AN110">
            <v>0</v>
          </cell>
          <cell r="AP110">
            <v>0</v>
          </cell>
          <cell r="AR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HOU</v>
          </cell>
          <cell r="CH110">
            <v>0</v>
          </cell>
          <cell r="CJ110">
            <v>0</v>
          </cell>
          <cell r="CL110">
            <v>0</v>
          </cell>
          <cell r="CN110">
            <v>0</v>
          </cell>
          <cell r="CO110" t="str">
            <v>HOU</v>
          </cell>
          <cell r="CP110">
            <v>0</v>
          </cell>
          <cell r="CR110">
            <v>0</v>
          </cell>
          <cell r="CT110">
            <v>0</v>
          </cell>
          <cell r="CV110">
            <v>0</v>
          </cell>
          <cell r="CX110">
            <v>0</v>
          </cell>
          <cell r="CZ110">
            <v>0</v>
          </cell>
          <cell r="DB110">
            <v>0</v>
          </cell>
          <cell r="DD110">
            <v>0</v>
          </cell>
          <cell r="DF110">
            <v>0</v>
          </cell>
          <cell r="DH110">
            <v>0</v>
          </cell>
        </row>
        <row r="111">
          <cell r="B111" t="str">
            <v>REG</v>
          </cell>
          <cell r="D111" t="str">
            <v>RESEARCH</v>
          </cell>
          <cell r="F111" t="str">
            <v>F1</v>
          </cell>
          <cell r="H111">
            <v>362288.08401908906</v>
          </cell>
          <cell r="J111">
            <v>44828.75</v>
          </cell>
          <cell r="L111">
            <v>407116.83401908906</v>
          </cell>
          <cell r="N111">
            <v>3.0995192307692307</v>
          </cell>
          <cell r="O111" t="str">
            <v>REG</v>
          </cell>
          <cell r="P111">
            <v>362.3</v>
          </cell>
          <cell r="R111">
            <v>44.8</v>
          </cell>
          <cell r="T111">
            <v>407.1</v>
          </cell>
          <cell r="AD111">
            <v>362.3</v>
          </cell>
          <cell r="AF111">
            <v>44.8</v>
          </cell>
          <cell r="AH111">
            <v>407.1</v>
          </cell>
          <cell r="AJ111">
            <v>3.0995192307692307</v>
          </cell>
          <cell r="AL111">
            <v>0</v>
          </cell>
          <cell r="AN111">
            <v>0</v>
          </cell>
          <cell r="AP111">
            <v>0</v>
          </cell>
          <cell r="AR111">
            <v>0</v>
          </cell>
          <cell r="AT111">
            <v>0</v>
          </cell>
          <cell r="AV111">
            <v>0</v>
          </cell>
          <cell r="AX111">
            <v>0</v>
          </cell>
          <cell r="AZ111">
            <v>0</v>
          </cell>
          <cell r="BB111">
            <v>362.3</v>
          </cell>
          <cell r="BD111">
            <v>44.8</v>
          </cell>
          <cell r="BF111">
            <v>407.1</v>
          </cell>
          <cell r="BH111">
            <v>3.0995192307692307</v>
          </cell>
          <cell r="BJ111">
            <v>0</v>
          </cell>
          <cell r="BN111">
            <v>0</v>
          </cell>
          <cell r="BP111">
            <v>0</v>
          </cell>
          <cell r="BR111">
            <v>362.3</v>
          </cell>
          <cell r="BT111">
            <v>44.8</v>
          </cell>
          <cell r="BV111">
            <v>407.1</v>
          </cell>
          <cell r="BX111">
            <v>3.0995192307692307</v>
          </cell>
          <cell r="CB111">
            <v>3.4656400000000001</v>
          </cell>
          <cell r="CD111">
            <v>3.4656400000000001</v>
          </cell>
          <cell r="CG111" t="str">
            <v>REG</v>
          </cell>
          <cell r="CH111">
            <v>14.426032340948641</v>
          </cell>
          <cell r="CJ111">
            <v>24.310515546076108</v>
          </cell>
          <cell r="CL111">
            <v>38.736547887024749</v>
          </cell>
          <cell r="CN111">
            <v>0.12559994192684615</v>
          </cell>
          <cell r="CO111" t="str">
            <v>REG</v>
          </cell>
          <cell r="CP111">
            <v>380.19167234094868</v>
          </cell>
          <cell r="CR111">
            <v>69.110515546076101</v>
          </cell>
          <cell r="CT111">
            <v>449.30218788702479</v>
          </cell>
          <cell r="CV111">
            <v>3.2251191726960768</v>
          </cell>
          <cell r="CX111">
            <v>34.071510000000004</v>
          </cell>
          <cell r="CZ111">
            <v>-415.2306778870248</v>
          </cell>
          <cell r="DD111">
            <v>-415.2306778870248</v>
          </cell>
          <cell r="DF111">
            <v>-415.2306778870248</v>
          </cell>
          <cell r="DH111">
            <v>0</v>
          </cell>
        </row>
        <row r="112">
          <cell r="B112" t="str">
            <v>RNS</v>
          </cell>
          <cell r="D112" t="str">
            <v>NURSING EDUCATION</v>
          </cell>
          <cell r="F112" t="str">
            <v>F2</v>
          </cell>
          <cell r="H112">
            <v>0</v>
          </cell>
          <cell r="J112">
            <v>0</v>
          </cell>
          <cell r="L112">
            <v>0</v>
          </cell>
          <cell r="N112">
            <v>0</v>
          </cell>
          <cell r="O112" t="str">
            <v>RNS</v>
          </cell>
          <cell r="P112">
            <v>0</v>
          </cell>
          <cell r="R112">
            <v>0</v>
          </cell>
          <cell r="T112">
            <v>0</v>
          </cell>
          <cell r="AD112">
            <v>0</v>
          </cell>
          <cell r="AF112">
            <v>0</v>
          </cell>
          <cell r="AH112">
            <v>0</v>
          </cell>
          <cell r="AJ112">
            <v>0</v>
          </cell>
          <cell r="AL112">
            <v>0</v>
          </cell>
          <cell r="AN112">
            <v>0</v>
          </cell>
          <cell r="AP112">
            <v>0</v>
          </cell>
          <cell r="AR112">
            <v>0</v>
          </cell>
          <cell r="AT112">
            <v>0</v>
          </cell>
          <cell r="AV112">
            <v>0</v>
          </cell>
          <cell r="AX112">
            <v>0</v>
          </cell>
          <cell r="AZ112">
            <v>0</v>
          </cell>
          <cell r="BB112">
            <v>0</v>
          </cell>
          <cell r="BD112">
            <v>0</v>
          </cell>
          <cell r="BF112">
            <v>0</v>
          </cell>
          <cell r="BH112">
            <v>0</v>
          </cell>
          <cell r="BN112">
            <v>0</v>
          </cell>
          <cell r="BR112">
            <v>0</v>
          </cell>
          <cell r="BT112">
            <v>0</v>
          </cell>
          <cell r="BV112">
            <v>0</v>
          </cell>
          <cell r="BX112">
            <v>0</v>
          </cell>
          <cell r="CB112">
            <v>0</v>
          </cell>
          <cell r="CD112">
            <v>0</v>
          </cell>
          <cell r="CG112" t="str">
            <v>RNS</v>
          </cell>
          <cell r="CH112">
            <v>0</v>
          </cell>
          <cell r="CJ112">
            <v>0</v>
          </cell>
          <cell r="CL112">
            <v>0</v>
          </cell>
          <cell r="CN112">
            <v>0</v>
          </cell>
          <cell r="CO112" t="str">
            <v>RNS</v>
          </cell>
          <cell r="CP112">
            <v>0</v>
          </cell>
          <cell r="CR112">
            <v>0</v>
          </cell>
          <cell r="CT112">
            <v>0</v>
          </cell>
          <cell r="CV112">
            <v>0</v>
          </cell>
          <cell r="CX112">
            <v>0</v>
          </cell>
          <cell r="CZ112">
            <v>0</v>
          </cell>
          <cell r="DD112">
            <v>0</v>
          </cell>
          <cell r="DF112">
            <v>0</v>
          </cell>
          <cell r="DH112">
            <v>0</v>
          </cell>
        </row>
        <row r="113">
          <cell r="B113" t="str">
            <v>OHE</v>
          </cell>
          <cell r="D113" t="str">
            <v>OTHER HEALTH PROFESSION EDUC.</v>
          </cell>
          <cell r="F113" t="str">
            <v>F3</v>
          </cell>
          <cell r="H113">
            <v>0</v>
          </cell>
          <cell r="J113">
            <v>0</v>
          </cell>
          <cell r="L113">
            <v>0</v>
          </cell>
          <cell r="N113">
            <v>0</v>
          </cell>
          <cell r="O113" t="str">
            <v>OHE</v>
          </cell>
          <cell r="P113">
            <v>0</v>
          </cell>
          <cell r="R113">
            <v>0</v>
          </cell>
          <cell r="T113">
            <v>0</v>
          </cell>
          <cell r="AD113">
            <v>0</v>
          </cell>
          <cell r="AF113">
            <v>0</v>
          </cell>
          <cell r="AH113">
            <v>0</v>
          </cell>
          <cell r="AJ113">
            <v>0</v>
          </cell>
          <cell r="AL113">
            <v>0</v>
          </cell>
          <cell r="AN113">
            <v>0</v>
          </cell>
          <cell r="AP113">
            <v>0</v>
          </cell>
          <cell r="AR113">
            <v>0</v>
          </cell>
          <cell r="AT113">
            <v>0</v>
          </cell>
          <cell r="AV113">
            <v>0</v>
          </cell>
          <cell r="AX113">
            <v>0</v>
          </cell>
          <cell r="AZ113">
            <v>0</v>
          </cell>
          <cell r="BB113">
            <v>0</v>
          </cell>
          <cell r="BD113">
            <v>0</v>
          </cell>
          <cell r="BF113">
            <v>0</v>
          </cell>
          <cell r="BH113">
            <v>0</v>
          </cell>
          <cell r="BN113">
            <v>0</v>
          </cell>
          <cell r="BR113">
            <v>0</v>
          </cell>
          <cell r="BT113">
            <v>0</v>
          </cell>
          <cell r="BV113">
            <v>0</v>
          </cell>
          <cell r="BX113">
            <v>0</v>
          </cell>
          <cell r="CB113">
            <v>0</v>
          </cell>
          <cell r="CD113">
            <v>0</v>
          </cell>
          <cell r="CG113" t="str">
            <v>OHE</v>
          </cell>
          <cell r="CH113">
            <v>0</v>
          </cell>
          <cell r="CJ113">
            <v>0</v>
          </cell>
          <cell r="CL113">
            <v>0</v>
          </cell>
          <cell r="CN113">
            <v>0</v>
          </cell>
          <cell r="CO113" t="str">
            <v>OHE</v>
          </cell>
          <cell r="CP113">
            <v>0</v>
          </cell>
          <cell r="CR113">
            <v>0</v>
          </cell>
          <cell r="CT113">
            <v>0</v>
          </cell>
          <cell r="CV113">
            <v>0</v>
          </cell>
          <cell r="CX113">
            <v>0</v>
          </cell>
          <cell r="CZ113">
            <v>0</v>
          </cell>
          <cell r="DD113">
            <v>0</v>
          </cell>
          <cell r="DF113">
            <v>0</v>
          </cell>
          <cell r="DH113">
            <v>0</v>
          </cell>
        </row>
        <row r="114">
          <cell r="B114" t="str">
            <v>CHE</v>
          </cell>
          <cell r="D114" t="str">
            <v>COMMUNITY HEALTH EDUCATION</v>
          </cell>
          <cell r="F114" t="str">
            <v>F4</v>
          </cell>
          <cell r="H114">
            <v>907343.67696549464</v>
          </cell>
          <cell r="J114">
            <v>427663.16000000003</v>
          </cell>
          <cell r="L114">
            <v>1335006.8369654948</v>
          </cell>
          <cell r="N114">
            <v>9.4969951923076934</v>
          </cell>
          <cell r="O114" t="str">
            <v>CHE</v>
          </cell>
          <cell r="P114">
            <v>907.3</v>
          </cell>
          <cell r="R114">
            <v>427.7</v>
          </cell>
          <cell r="T114">
            <v>1335</v>
          </cell>
          <cell r="AD114">
            <v>907.3</v>
          </cell>
          <cell r="AF114">
            <v>427.7</v>
          </cell>
          <cell r="AH114">
            <v>1335</v>
          </cell>
          <cell r="AJ114">
            <v>9.4969951923076934</v>
          </cell>
          <cell r="AL114">
            <v>0</v>
          </cell>
          <cell r="AN114">
            <v>0</v>
          </cell>
          <cell r="AP114">
            <v>0</v>
          </cell>
          <cell r="AR114">
            <v>0</v>
          </cell>
          <cell r="AT114">
            <v>0</v>
          </cell>
          <cell r="AV114">
            <v>0</v>
          </cell>
          <cell r="AX114">
            <v>0</v>
          </cell>
          <cell r="AZ114">
            <v>0</v>
          </cell>
          <cell r="BB114">
            <v>907.3</v>
          </cell>
          <cell r="BD114">
            <v>427.7</v>
          </cell>
          <cell r="BF114">
            <v>1335</v>
          </cell>
          <cell r="BH114">
            <v>9.4969951923076934</v>
          </cell>
          <cell r="BN114">
            <v>0</v>
          </cell>
          <cell r="BR114">
            <v>907.3</v>
          </cell>
          <cell r="BT114">
            <v>427.7</v>
          </cell>
          <cell r="BV114">
            <v>1335</v>
          </cell>
          <cell r="BX114">
            <v>9.4969951923076934</v>
          </cell>
          <cell r="CB114">
            <v>10.721170000000001</v>
          </cell>
          <cell r="CD114">
            <v>10.721170000000001</v>
          </cell>
          <cell r="CG114" t="str">
            <v>CHE</v>
          </cell>
          <cell r="CH114">
            <v>51.597313997477002</v>
          </cell>
          <cell r="CJ114">
            <v>82.879835175143796</v>
          </cell>
          <cell r="CL114">
            <v>134.47714917262078</v>
          </cell>
          <cell r="CN114">
            <v>0.48010102679575256</v>
          </cell>
          <cell r="CO114" t="str">
            <v>CHE</v>
          </cell>
          <cell r="CP114">
            <v>969.61848399747703</v>
          </cell>
          <cell r="CR114">
            <v>510.57983517514378</v>
          </cell>
          <cell r="CT114">
            <v>1480.1983191726208</v>
          </cell>
          <cell r="CV114">
            <v>9.977096219103446</v>
          </cell>
          <cell r="CX114">
            <v>35.445999999999998</v>
          </cell>
          <cell r="CZ114">
            <v>-1444.7523191726209</v>
          </cell>
          <cell r="DD114">
            <v>-1444.7523191726209</v>
          </cell>
          <cell r="DF114">
            <v>-1444.7523191726209</v>
          </cell>
          <cell r="DH114">
            <v>0</v>
          </cell>
        </row>
        <row r="115">
          <cell r="B115" t="str">
            <v>FB1</v>
          </cell>
          <cell r="D115" t="str">
            <v>FRINGE BENEFITS</v>
          </cell>
          <cell r="F115" t="str">
            <v>FB1</v>
          </cell>
          <cell r="H115" t="str">
            <v>XXXXXXXXX</v>
          </cell>
          <cell r="J115" t="str">
            <v>XXXXXXXXX</v>
          </cell>
          <cell r="L115">
            <v>0</v>
          </cell>
          <cell r="N115" t="str">
            <v>XXXXXXXXX</v>
          </cell>
          <cell r="O115" t="str">
            <v>FB1</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N115">
            <v>0</v>
          </cell>
          <cell r="BR115">
            <v>0</v>
          </cell>
          <cell r="BT115">
            <v>0</v>
          </cell>
          <cell r="BV115">
            <v>0</v>
          </cell>
          <cell r="BX115">
            <v>0</v>
          </cell>
          <cell r="CD115">
            <v>0</v>
          </cell>
          <cell r="CG115" t="str">
            <v>FB1</v>
          </cell>
          <cell r="CL115">
            <v>0</v>
          </cell>
          <cell r="CO115" t="str">
            <v>FB1</v>
          </cell>
          <cell r="CP115">
            <v>0</v>
          </cell>
          <cell r="CR115">
            <v>0</v>
          </cell>
          <cell r="CT115">
            <v>0</v>
          </cell>
          <cell r="CV115">
            <v>0</v>
          </cell>
        </row>
        <row r="116">
          <cell r="B116" t="str">
            <v>MSV</v>
          </cell>
          <cell r="D116" t="str">
            <v>MEDICAL SERVICES</v>
          </cell>
          <cell r="F116" t="str">
            <v>MS1</v>
          </cell>
          <cell r="H116" t="str">
            <v>XXXXXXXXX</v>
          </cell>
          <cell r="J116" t="str">
            <v>XXXXXXXXX</v>
          </cell>
          <cell r="L116">
            <v>0</v>
          </cell>
          <cell r="N116" t="str">
            <v>XXXXXXXXX</v>
          </cell>
          <cell r="O116" t="str">
            <v>MSV</v>
          </cell>
          <cell r="P116">
            <v>0</v>
          </cell>
          <cell r="R116">
            <v>0</v>
          </cell>
          <cell r="T116">
            <v>0</v>
          </cell>
          <cell r="AD116">
            <v>0</v>
          </cell>
          <cell r="AF116">
            <v>0</v>
          </cell>
          <cell r="AH116">
            <v>0</v>
          </cell>
          <cell r="AJ116">
            <v>0</v>
          </cell>
          <cell r="AT116">
            <v>0</v>
          </cell>
          <cell r="AV116">
            <v>0</v>
          </cell>
          <cell r="AX116">
            <v>0</v>
          </cell>
          <cell r="AZ116">
            <v>0</v>
          </cell>
          <cell r="BB116">
            <v>0</v>
          </cell>
          <cell r="BD116">
            <v>0</v>
          </cell>
          <cell r="BF116">
            <v>0</v>
          </cell>
          <cell r="BH116">
            <v>0</v>
          </cell>
          <cell r="BN116">
            <v>0</v>
          </cell>
          <cell r="BR116">
            <v>0</v>
          </cell>
          <cell r="BT116">
            <v>0</v>
          </cell>
          <cell r="BV116">
            <v>0</v>
          </cell>
          <cell r="BX116">
            <v>0</v>
          </cell>
          <cell r="CD116">
            <v>0</v>
          </cell>
          <cell r="CG116" t="str">
            <v>MSV</v>
          </cell>
          <cell r="CL116">
            <v>0</v>
          </cell>
          <cell r="CO116" t="str">
            <v>MSV</v>
          </cell>
          <cell r="CP116">
            <v>0</v>
          </cell>
          <cell r="CR116">
            <v>0</v>
          </cell>
          <cell r="CT116">
            <v>0</v>
          </cell>
          <cell r="CV116">
            <v>0</v>
          </cell>
        </row>
        <row r="117">
          <cell r="B117" t="str">
            <v>P1</v>
          </cell>
          <cell r="D117" t="str">
            <v>HOSPITAL BASED PHYSICIANS</v>
          </cell>
          <cell r="F117" t="str">
            <v>P01</v>
          </cell>
          <cell r="H117">
            <v>3891386</v>
          </cell>
          <cell r="J117" t="str">
            <v>XXXXXXXXX</v>
          </cell>
          <cell r="L117">
            <v>3891386</v>
          </cell>
          <cell r="N117">
            <v>16.920417969527719</v>
          </cell>
          <cell r="O117" t="str">
            <v>P1</v>
          </cell>
          <cell r="P117">
            <v>3891.4</v>
          </cell>
          <cell r="R117">
            <v>0</v>
          </cell>
          <cell r="T117">
            <v>3891.4</v>
          </cell>
          <cell r="AD117">
            <v>3891.4</v>
          </cell>
          <cell r="AF117">
            <v>0</v>
          </cell>
          <cell r="AH117">
            <v>3891.4</v>
          </cell>
          <cell r="AJ117">
            <v>16.920417969527719</v>
          </cell>
          <cell r="AT117">
            <v>0</v>
          </cell>
          <cell r="AV117">
            <v>0</v>
          </cell>
          <cell r="AX117">
            <v>0</v>
          </cell>
          <cell r="AZ117">
            <v>0</v>
          </cell>
          <cell r="BB117">
            <v>3891.4</v>
          </cell>
          <cell r="BD117">
            <v>0</v>
          </cell>
          <cell r="BF117">
            <v>3891.4</v>
          </cell>
          <cell r="BH117">
            <v>16.920417969527719</v>
          </cell>
          <cell r="BJ117">
            <v>-3891.3855477230186</v>
          </cell>
          <cell r="BN117">
            <v>-3891.3855477230186</v>
          </cell>
          <cell r="BP117">
            <v>-16.920417969527719</v>
          </cell>
          <cell r="BR117">
            <v>1.44522769815012E-2</v>
          </cell>
          <cell r="BT117">
            <v>0</v>
          </cell>
          <cell r="BV117">
            <v>1.44522769815012E-2</v>
          </cell>
          <cell r="BX117">
            <v>0</v>
          </cell>
          <cell r="CD117">
            <v>0</v>
          </cell>
          <cell r="CG117" t="str">
            <v>P1</v>
          </cell>
          <cell r="CL117">
            <v>0</v>
          </cell>
          <cell r="CO117" t="str">
            <v>P1</v>
          </cell>
          <cell r="CP117">
            <v>1.44522769815012E-2</v>
          </cell>
          <cell r="CR117">
            <v>0</v>
          </cell>
          <cell r="CT117">
            <v>1.44522769815012E-2</v>
          </cell>
          <cell r="CV117">
            <v>0</v>
          </cell>
        </row>
        <row r="118">
          <cell r="B118" t="str">
            <v>P2</v>
          </cell>
          <cell r="D118" t="str">
            <v>PHYSICIAN PART B SERVICES</v>
          </cell>
          <cell r="F118" t="str">
            <v>P02</v>
          </cell>
          <cell r="H118" t="str">
            <v>XXXXXXXXX</v>
          </cell>
          <cell r="J118" t="str">
            <v>XXXXXXXXX</v>
          </cell>
          <cell r="L118">
            <v>0</v>
          </cell>
          <cell r="N118" t="str">
            <v>XXXXXXXXX</v>
          </cell>
          <cell r="O118" t="str">
            <v>P2</v>
          </cell>
          <cell r="P118">
            <v>0</v>
          </cell>
          <cell r="R118">
            <v>0</v>
          </cell>
          <cell r="T118">
            <v>0</v>
          </cell>
          <cell r="X118">
            <v>0</v>
          </cell>
          <cell r="Z118">
            <v>0</v>
          </cell>
          <cell r="AD118">
            <v>0</v>
          </cell>
          <cell r="AF118">
            <v>0</v>
          </cell>
          <cell r="AH118">
            <v>0</v>
          </cell>
          <cell r="AJ118">
            <v>0</v>
          </cell>
          <cell r="AT118">
            <v>0</v>
          </cell>
          <cell r="AV118">
            <v>0</v>
          </cell>
          <cell r="AX118">
            <v>0</v>
          </cell>
          <cell r="AZ118">
            <v>0</v>
          </cell>
          <cell r="BB118">
            <v>0</v>
          </cell>
          <cell r="BD118">
            <v>0</v>
          </cell>
          <cell r="BF118">
            <v>0</v>
          </cell>
          <cell r="BH118">
            <v>0</v>
          </cell>
          <cell r="BJ118">
            <v>0</v>
          </cell>
          <cell r="BN118">
            <v>0</v>
          </cell>
          <cell r="BP118">
            <v>0</v>
          </cell>
          <cell r="BR118">
            <v>0</v>
          </cell>
          <cell r="BT118">
            <v>0</v>
          </cell>
          <cell r="BV118">
            <v>0</v>
          </cell>
          <cell r="BX118">
            <v>0</v>
          </cell>
          <cell r="CB118">
            <v>0</v>
          </cell>
          <cell r="CD118">
            <v>0</v>
          </cell>
          <cell r="CG118" t="str">
            <v>P2</v>
          </cell>
          <cell r="CL118">
            <v>0</v>
          </cell>
          <cell r="CO118" t="str">
            <v>P2</v>
          </cell>
          <cell r="CP118">
            <v>0</v>
          </cell>
          <cell r="CR118">
            <v>0</v>
          </cell>
          <cell r="CT118">
            <v>0</v>
          </cell>
          <cell r="CV118">
            <v>0</v>
          </cell>
        </row>
        <row r="119">
          <cell r="B119" t="str">
            <v>P3</v>
          </cell>
          <cell r="D119" t="str">
            <v>PHYSICIAN SUPPORT SERVICES</v>
          </cell>
          <cell r="F119" t="str">
            <v>P03</v>
          </cell>
          <cell r="H119">
            <v>668577</v>
          </cell>
          <cell r="J119" t="str">
            <v>XXXXXXXXX</v>
          </cell>
          <cell r="L119">
            <v>668577</v>
          </cell>
          <cell r="N119">
            <v>4.0580528846153854</v>
          </cell>
          <cell r="O119" t="str">
            <v>P3</v>
          </cell>
          <cell r="P119">
            <v>668.6</v>
          </cell>
          <cell r="R119">
            <v>0</v>
          </cell>
          <cell r="T119">
            <v>668.6</v>
          </cell>
          <cell r="AD119">
            <v>668.6</v>
          </cell>
          <cell r="AF119">
            <v>0</v>
          </cell>
          <cell r="AH119">
            <v>668.6</v>
          </cell>
          <cell r="AJ119">
            <v>4.0580528846153854</v>
          </cell>
          <cell r="AT119">
            <v>0</v>
          </cell>
          <cell r="AV119">
            <v>0</v>
          </cell>
          <cell r="AX119">
            <v>0</v>
          </cell>
          <cell r="AZ119">
            <v>0</v>
          </cell>
          <cell r="BB119">
            <v>668.6</v>
          </cell>
          <cell r="BD119">
            <v>0</v>
          </cell>
          <cell r="BF119">
            <v>668.6</v>
          </cell>
          <cell r="BH119">
            <v>4.0580528846153854</v>
          </cell>
          <cell r="BN119">
            <v>0</v>
          </cell>
          <cell r="BR119">
            <v>668.6</v>
          </cell>
          <cell r="BT119">
            <v>0</v>
          </cell>
          <cell r="BV119">
            <v>668.6</v>
          </cell>
          <cell r="BX119">
            <v>4.0580528846153854</v>
          </cell>
          <cell r="CB119">
            <v>4.36069</v>
          </cell>
          <cell r="CD119">
            <v>4.36069</v>
          </cell>
          <cell r="CG119" t="str">
            <v>P3</v>
          </cell>
          <cell r="CL119">
            <v>0</v>
          </cell>
          <cell r="CO119" t="str">
            <v>P3</v>
          </cell>
          <cell r="CP119">
            <v>672.96069</v>
          </cell>
          <cell r="CR119">
            <v>0</v>
          </cell>
          <cell r="CT119">
            <v>672.96069</v>
          </cell>
          <cell r="CV119">
            <v>4.0580528846153854</v>
          </cell>
        </row>
        <row r="120">
          <cell r="B120" t="str">
            <v>P4</v>
          </cell>
          <cell r="D120" t="str">
            <v>RESIDENT, INTERN SERVICES</v>
          </cell>
          <cell r="F120" t="str">
            <v>P04</v>
          </cell>
          <cell r="H120">
            <v>0</v>
          </cell>
          <cell r="J120">
            <v>0</v>
          </cell>
          <cell r="L120">
            <v>0</v>
          </cell>
          <cell r="N120">
            <v>0</v>
          </cell>
          <cell r="O120" t="str">
            <v>P4</v>
          </cell>
          <cell r="P120">
            <v>0</v>
          </cell>
          <cell r="R120">
            <v>0</v>
          </cell>
          <cell r="T120">
            <v>0</v>
          </cell>
          <cell r="AD120">
            <v>0</v>
          </cell>
          <cell r="AF120">
            <v>0</v>
          </cell>
          <cell r="AH120">
            <v>0</v>
          </cell>
          <cell r="AJ120">
            <v>0</v>
          </cell>
          <cell r="AT120">
            <v>0</v>
          </cell>
          <cell r="AV120">
            <v>0</v>
          </cell>
          <cell r="AX120">
            <v>0</v>
          </cell>
          <cell r="AZ120">
            <v>0</v>
          </cell>
          <cell r="BB120">
            <v>0</v>
          </cell>
          <cell r="BD120">
            <v>0</v>
          </cell>
          <cell r="BF120">
            <v>0</v>
          </cell>
          <cell r="BH120">
            <v>0</v>
          </cell>
          <cell r="BJ120">
            <v>0</v>
          </cell>
          <cell r="BN120">
            <v>0</v>
          </cell>
          <cell r="BP120">
            <v>0</v>
          </cell>
          <cell r="BR120">
            <v>0</v>
          </cell>
          <cell r="BT120">
            <v>0</v>
          </cell>
          <cell r="BV120">
            <v>0</v>
          </cell>
          <cell r="BX120">
            <v>0</v>
          </cell>
          <cell r="CB120">
            <v>0</v>
          </cell>
          <cell r="CD120">
            <v>0</v>
          </cell>
          <cell r="CG120" t="str">
            <v>P4</v>
          </cell>
          <cell r="CL120">
            <v>0</v>
          </cell>
          <cell r="CO120" t="str">
            <v>P4</v>
          </cell>
          <cell r="CP120">
            <v>0</v>
          </cell>
          <cell r="CR120">
            <v>0</v>
          </cell>
          <cell r="CT120">
            <v>0</v>
          </cell>
          <cell r="CV120">
            <v>0</v>
          </cell>
        </row>
        <row r="121">
          <cell r="B121" t="str">
            <v>P5</v>
          </cell>
          <cell r="D121" t="str">
            <v>RESIDENT, INTERN INELIGIBLE</v>
          </cell>
          <cell r="F121" t="str">
            <v>P05</v>
          </cell>
          <cell r="H121">
            <v>0</v>
          </cell>
          <cell r="J121">
            <v>0</v>
          </cell>
          <cell r="L121">
            <v>0</v>
          </cell>
          <cell r="N121">
            <v>0</v>
          </cell>
          <cell r="O121" t="str">
            <v>P5</v>
          </cell>
          <cell r="P121">
            <v>0</v>
          </cell>
          <cell r="R121">
            <v>0</v>
          </cell>
          <cell r="T121">
            <v>0</v>
          </cell>
          <cell r="AD121">
            <v>0</v>
          </cell>
          <cell r="AF121">
            <v>0</v>
          </cell>
          <cell r="AH121">
            <v>0</v>
          </cell>
          <cell r="AJ121">
            <v>0</v>
          </cell>
          <cell r="AT121">
            <v>0</v>
          </cell>
          <cell r="AV121">
            <v>0</v>
          </cell>
          <cell r="AX121">
            <v>0</v>
          </cell>
          <cell r="AZ121">
            <v>0</v>
          </cell>
          <cell r="BB121">
            <v>0</v>
          </cell>
          <cell r="BD121">
            <v>0</v>
          </cell>
          <cell r="BF121">
            <v>0</v>
          </cell>
          <cell r="BH121">
            <v>0</v>
          </cell>
          <cell r="BJ121">
            <v>0</v>
          </cell>
          <cell r="BN121">
            <v>0</v>
          </cell>
          <cell r="BP121">
            <v>0</v>
          </cell>
          <cell r="BR121">
            <v>0</v>
          </cell>
          <cell r="BT121">
            <v>0</v>
          </cell>
          <cell r="BV121">
            <v>0</v>
          </cell>
          <cell r="BX121">
            <v>0</v>
          </cell>
          <cell r="CB121">
            <v>0</v>
          </cell>
          <cell r="CD121">
            <v>0</v>
          </cell>
          <cell r="CG121" t="str">
            <v>P5</v>
          </cell>
          <cell r="CL121">
            <v>0</v>
          </cell>
          <cell r="CO121" t="str">
            <v>P4</v>
          </cell>
          <cell r="CP121">
            <v>0</v>
          </cell>
          <cell r="CR121">
            <v>0</v>
          </cell>
          <cell r="CT121">
            <v>0</v>
          </cell>
          <cell r="CV121">
            <v>0</v>
          </cell>
        </row>
        <row r="122">
          <cell r="B122" t="str">
            <v>MAL</v>
          </cell>
          <cell r="D122" t="str">
            <v>MALPRACTICE</v>
          </cell>
          <cell r="F122" t="str">
            <v>UAMAL</v>
          </cell>
          <cell r="H122">
            <v>0</v>
          </cell>
          <cell r="J122">
            <v>977925.71</v>
          </cell>
          <cell r="L122">
            <v>977925.71</v>
          </cell>
          <cell r="N122">
            <v>0</v>
          </cell>
          <cell r="O122" t="str">
            <v>MAL</v>
          </cell>
          <cell r="P122">
            <v>0</v>
          </cell>
          <cell r="R122">
            <v>977.9</v>
          </cell>
          <cell r="T122">
            <v>977.9</v>
          </cell>
          <cell r="AD122">
            <v>0</v>
          </cell>
          <cell r="AF122">
            <v>977.9</v>
          </cell>
          <cell r="AH122">
            <v>977.9</v>
          </cell>
          <cell r="AJ122">
            <v>0</v>
          </cell>
          <cell r="AT122">
            <v>0</v>
          </cell>
          <cell r="AV122">
            <v>0</v>
          </cell>
          <cell r="AX122">
            <v>0</v>
          </cell>
          <cell r="AZ122">
            <v>0</v>
          </cell>
          <cell r="BB122">
            <v>0</v>
          </cell>
          <cell r="BD122">
            <v>977.9</v>
          </cell>
          <cell r="BF122">
            <v>977.9</v>
          </cell>
          <cell r="BH122">
            <v>0</v>
          </cell>
          <cell r="BN122">
            <v>0</v>
          </cell>
          <cell r="BR122">
            <v>0</v>
          </cell>
          <cell r="BT122">
            <v>977.9</v>
          </cell>
          <cell r="BV122">
            <v>977.9</v>
          </cell>
          <cell r="BX122">
            <v>0</v>
          </cell>
          <cell r="CD122">
            <v>0</v>
          </cell>
          <cell r="CG122" t="str">
            <v>MAL</v>
          </cell>
          <cell r="CH122">
            <v>0</v>
          </cell>
          <cell r="CJ122">
            <v>0</v>
          </cell>
          <cell r="CL122">
            <v>0</v>
          </cell>
          <cell r="CN122">
            <v>0</v>
          </cell>
          <cell r="CO122" t="str">
            <v>MAL</v>
          </cell>
          <cell r="CP122">
            <v>0</v>
          </cell>
          <cell r="CR122">
            <v>977.9</v>
          </cell>
          <cell r="CT122">
            <v>977.9</v>
          </cell>
          <cell r="CV122">
            <v>0</v>
          </cell>
        </row>
        <row r="123">
          <cell r="B123" t="str">
            <v>OIN</v>
          </cell>
          <cell r="D123" t="str">
            <v>OTHER INSURANCE</v>
          </cell>
          <cell r="F123" t="str">
            <v>UAOIN</v>
          </cell>
          <cell r="H123">
            <v>0</v>
          </cell>
          <cell r="J123">
            <v>0</v>
          </cell>
          <cell r="L123">
            <v>0</v>
          </cell>
          <cell r="N123">
            <v>0</v>
          </cell>
          <cell r="O123" t="str">
            <v>OIN</v>
          </cell>
          <cell r="P123">
            <v>0</v>
          </cell>
          <cell r="R123">
            <v>0</v>
          </cell>
          <cell r="T123">
            <v>0</v>
          </cell>
          <cell r="AD123">
            <v>0</v>
          </cell>
          <cell r="AF123">
            <v>0</v>
          </cell>
          <cell r="AH123">
            <v>0</v>
          </cell>
          <cell r="AJ123">
            <v>0</v>
          </cell>
          <cell r="AT123">
            <v>0</v>
          </cell>
          <cell r="AV123">
            <v>0</v>
          </cell>
          <cell r="AX123">
            <v>0</v>
          </cell>
          <cell r="AZ123">
            <v>0</v>
          </cell>
          <cell r="BB123">
            <v>0</v>
          </cell>
          <cell r="BD123">
            <v>0</v>
          </cell>
          <cell r="BF123">
            <v>0</v>
          </cell>
          <cell r="BH123">
            <v>0</v>
          </cell>
          <cell r="BN123">
            <v>0</v>
          </cell>
          <cell r="BR123">
            <v>0</v>
          </cell>
          <cell r="BT123">
            <v>0</v>
          </cell>
          <cell r="BV123">
            <v>0</v>
          </cell>
          <cell r="BX123">
            <v>0</v>
          </cell>
          <cell r="CD123">
            <v>0</v>
          </cell>
          <cell r="CG123" t="str">
            <v>OIN</v>
          </cell>
          <cell r="CH123">
            <v>0</v>
          </cell>
          <cell r="CJ123">
            <v>0</v>
          </cell>
          <cell r="CL123">
            <v>0</v>
          </cell>
          <cell r="CN123">
            <v>0</v>
          </cell>
          <cell r="CO123" t="str">
            <v>OIN</v>
          </cell>
          <cell r="CP123">
            <v>0</v>
          </cell>
          <cell r="CR123">
            <v>0</v>
          </cell>
          <cell r="CT123">
            <v>0</v>
          </cell>
          <cell r="CV123">
            <v>0</v>
          </cell>
        </row>
        <row r="124">
          <cell r="B124" t="str">
            <v>MCR</v>
          </cell>
          <cell r="D124" t="str">
            <v>MEDICAL CARE REVIEW</v>
          </cell>
          <cell r="F124" t="str">
            <v>UAMCR</v>
          </cell>
          <cell r="H124">
            <v>2468592.1470983606</v>
          </cell>
          <cell r="J124">
            <v>285280.0127087328</v>
          </cell>
          <cell r="L124">
            <v>2753872.1598070934</v>
          </cell>
          <cell r="N124">
            <v>22.674999999999997</v>
          </cell>
          <cell r="O124" t="str">
            <v>MCR</v>
          </cell>
          <cell r="P124">
            <v>2468.6</v>
          </cell>
          <cell r="R124">
            <v>285.3</v>
          </cell>
          <cell r="T124">
            <v>2753.9</v>
          </cell>
          <cell r="AD124">
            <v>2468.6</v>
          </cell>
          <cell r="AF124">
            <v>285.3</v>
          </cell>
          <cell r="AH124">
            <v>2753.9</v>
          </cell>
          <cell r="AJ124">
            <v>22.674999999999997</v>
          </cell>
          <cell r="AT124">
            <v>0</v>
          </cell>
          <cell r="AV124">
            <v>0</v>
          </cell>
          <cell r="AX124">
            <v>0</v>
          </cell>
          <cell r="AZ124">
            <v>0</v>
          </cell>
          <cell r="BB124">
            <v>2468.6</v>
          </cell>
          <cell r="BD124">
            <v>285.3</v>
          </cell>
          <cell r="BF124">
            <v>2753.9</v>
          </cell>
          <cell r="BH124">
            <v>22.674999999999997</v>
          </cell>
          <cell r="BJ124">
            <v>422.95379068330408</v>
          </cell>
          <cell r="BN124">
            <v>422.95379068330408</v>
          </cell>
          <cell r="BP124">
            <v>0</v>
          </cell>
          <cell r="BR124">
            <v>2891.5537906833042</v>
          </cell>
          <cell r="BT124">
            <v>285.3</v>
          </cell>
          <cell r="BV124">
            <v>3176.8537906833044</v>
          </cell>
          <cell r="BX124">
            <v>22.674999999999997</v>
          </cell>
          <cell r="CD124">
            <v>0</v>
          </cell>
          <cell r="CG124" t="str">
            <v>MCR</v>
          </cell>
          <cell r="CH124">
            <v>0</v>
          </cell>
          <cell r="CJ124">
            <v>0</v>
          </cell>
          <cell r="CL124">
            <v>0</v>
          </cell>
          <cell r="CN124">
            <v>0</v>
          </cell>
          <cell r="CO124" t="str">
            <v>MCR</v>
          </cell>
          <cell r="CP124">
            <v>2891.5537906833042</v>
          </cell>
          <cell r="CR124">
            <v>285.3</v>
          </cell>
          <cell r="CT124">
            <v>3176.8537906833044</v>
          </cell>
          <cell r="CV124">
            <v>22.674999999999997</v>
          </cell>
        </row>
        <row r="125">
          <cell r="B125" t="str">
            <v>DEP</v>
          </cell>
          <cell r="D125" t="str">
            <v>DEPRECIATION</v>
          </cell>
          <cell r="F125" t="str">
            <v>UADEP</v>
          </cell>
          <cell r="H125">
            <v>0</v>
          </cell>
          <cell r="J125">
            <v>13285937.189999999</v>
          </cell>
          <cell r="L125">
            <v>13285937.189999999</v>
          </cell>
          <cell r="N125">
            <v>0</v>
          </cell>
          <cell r="O125" t="str">
            <v>DEP</v>
          </cell>
          <cell r="P125">
            <v>0</v>
          </cell>
          <cell r="R125">
            <v>13285.9</v>
          </cell>
          <cell r="T125">
            <v>13285.9</v>
          </cell>
          <cell r="AD125">
            <v>0</v>
          </cell>
          <cell r="AF125">
            <v>13285.9</v>
          </cell>
          <cell r="AH125">
            <v>13285.9</v>
          </cell>
          <cell r="AJ125">
            <v>0</v>
          </cell>
          <cell r="AT125">
            <v>0</v>
          </cell>
          <cell r="AV125">
            <v>0</v>
          </cell>
          <cell r="AX125">
            <v>0</v>
          </cell>
          <cell r="AZ125">
            <v>0</v>
          </cell>
          <cell r="BB125">
            <v>0</v>
          </cell>
          <cell r="BD125">
            <v>13285.9</v>
          </cell>
          <cell r="BF125">
            <v>13285.9</v>
          </cell>
          <cell r="BH125">
            <v>0</v>
          </cell>
          <cell r="BN125">
            <v>0</v>
          </cell>
          <cell r="BR125">
            <v>0</v>
          </cell>
          <cell r="BT125">
            <v>13285.9</v>
          </cell>
          <cell r="BV125">
            <v>13285.9</v>
          </cell>
          <cell r="BX125">
            <v>0</v>
          </cell>
          <cell r="CD125">
            <v>0</v>
          </cell>
          <cell r="CG125" t="str">
            <v>DEP</v>
          </cell>
          <cell r="CH125">
            <v>0</v>
          </cell>
          <cell r="CJ125">
            <v>-306.15415148351599</v>
          </cell>
          <cell r="CL125">
            <v>-306.15415148351599</v>
          </cell>
          <cell r="CN125">
            <v>0</v>
          </cell>
          <cell r="CO125" t="str">
            <v>DEP</v>
          </cell>
          <cell r="CP125">
            <v>0</v>
          </cell>
          <cell r="CR125">
            <v>12979.745848516484</v>
          </cell>
          <cell r="CT125">
            <v>12979.745848516484</v>
          </cell>
          <cell r="CV125">
            <v>0</v>
          </cell>
        </row>
        <row r="126">
          <cell r="B126" t="str">
            <v>LEA</v>
          </cell>
          <cell r="D126" t="str">
            <v>LEASES &amp; RENTALS</v>
          </cell>
          <cell r="F126" t="str">
            <v>UALEASE</v>
          </cell>
          <cell r="H126">
            <v>0.38073660706064782</v>
          </cell>
          <cell r="J126">
            <v>5221218.2799999993</v>
          </cell>
          <cell r="L126">
            <v>5221218.6607366065</v>
          </cell>
          <cell r="N126">
            <v>0</v>
          </cell>
          <cell r="O126" t="str">
            <v>LEA</v>
          </cell>
          <cell r="P126">
            <v>0</v>
          </cell>
          <cell r="R126">
            <v>5221.2</v>
          </cell>
          <cell r="T126">
            <v>5221.2</v>
          </cell>
          <cell r="AD126">
            <v>0</v>
          </cell>
          <cell r="AF126">
            <v>5221.2</v>
          </cell>
          <cell r="AH126">
            <v>5221.2</v>
          </cell>
          <cell r="AJ126">
            <v>0</v>
          </cell>
          <cell r="AT126">
            <v>0</v>
          </cell>
          <cell r="AV126">
            <v>0</v>
          </cell>
          <cell r="AX126">
            <v>0</v>
          </cell>
          <cell r="AZ126">
            <v>0</v>
          </cell>
          <cell r="BB126">
            <v>0</v>
          </cell>
          <cell r="BD126">
            <v>5221.2</v>
          </cell>
          <cell r="BF126">
            <v>5221.2</v>
          </cell>
          <cell r="BH126">
            <v>0</v>
          </cell>
          <cell r="BN126">
            <v>0</v>
          </cell>
          <cell r="BR126">
            <v>0</v>
          </cell>
          <cell r="BT126">
            <v>5221.2</v>
          </cell>
          <cell r="BV126">
            <v>5221.2</v>
          </cell>
          <cell r="BX126">
            <v>0</v>
          </cell>
          <cell r="CD126">
            <v>0</v>
          </cell>
          <cell r="CG126" t="str">
            <v>LEA</v>
          </cell>
          <cell r="CH126">
            <v>0</v>
          </cell>
          <cell r="CJ126">
            <v>-2002.4093499999999</v>
          </cell>
          <cell r="CL126">
            <v>-2002.4093499999999</v>
          </cell>
          <cell r="CN126">
            <v>0</v>
          </cell>
          <cell r="CO126" t="str">
            <v>LEA</v>
          </cell>
          <cell r="CP126">
            <v>0</v>
          </cell>
          <cell r="CR126">
            <v>3218.7906499999999</v>
          </cell>
          <cell r="CT126">
            <v>3218.7906499999999</v>
          </cell>
          <cell r="CV126">
            <v>0</v>
          </cell>
        </row>
        <row r="127">
          <cell r="B127" t="str">
            <v>LIC</v>
          </cell>
          <cell r="D127" t="str">
            <v>LICENSE &amp; TAXES</v>
          </cell>
          <cell r="F127" t="str">
            <v>UALIC</v>
          </cell>
          <cell r="H127">
            <v>0</v>
          </cell>
          <cell r="J127">
            <v>406866.33</v>
          </cell>
          <cell r="L127">
            <v>406866.33</v>
          </cell>
          <cell r="M127" t="str">
            <v>Allocate</v>
          </cell>
          <cell r="N127">
            <v>0</v>
          </cell>
          <cell r="O127" t="str">
            <v>LIC</v>
          </cell>
          <cell r="P127">
            <v>0</v>
          </cell>
          <cell r="R127">
            <v>406.9</v>
          </cell>
          <cell r="T127">
            <v>406.9</v>
          </cell>
          <cell r="AD127">
            <v>0</v>
          </cell>
          <cell r="AF127">
            <v>406.9</v>
          </cell>
          <cell r="AH127">
            <v>406.9</v>
          </cell>
          <cell r="AJ127">
            <v>0</v>
          </cell>
          <cell r="AT127">
            <v>0</v>
          </cell>
          <cell r="AV127">
            <v>0</v>
          </cell>
          <cell r="AX127">
            <v>0</v>
          </cell>
          <cell r="AZ127">
            <v>0</v>
          </cell>
          <cell r="BB127">
            <v>0</v>
          </cell>
          <cell r="BD127">
            <v>406.9</v>
          </cell>
          <cell r="BF127">
            <v>406.9</v>
          </cell>
          <cell r="BH127">
            <v>0</v>
          </cell>
          <cell r="BN127">
            <v>0</v>
          </cell>
          <cell r="BR127">
            <v>0</v>
          </cell>
          <cell r="BT127">
            <v>406.9</v>
          </cell>
          <cell r="BV127">
            <v>406.9</v>
          </cell>
          <cell r="BX127">
            <v>0</v>
          </cell>
          <cell r="CD127">
            <v>0</v>
          </cell>
          <cell r="CG127" t="str">
            <v>LIC</v>
          </cell>
          <cell r="CH127">
            <v>0</v>
          </cell>
          <cell r="CJ127">
            <v>0</v>
          </cell>
          <cell r="CL127">
            <v>0</v>
          </cell>
          <cell r="CN127">
            <v>0</v>
          </cell>
          <cell r="CO127" t="str">
            <v>LIC</v>
          </cell>
          <cell r="CP127">
            <v>0</v>
          </cell>
          <cell r="CR127">
            <v>406.9</v>
          </cell>
          <cell r="CT127">
            <v>406.9</v>
          </cell>
          <cell r="CV127">
            <v>0</v>
          </cell>
        </row>
        <row r="128">
          <cell r="B128" t="str">
            <v>IST</v>
          </cell>
          <cell r="D128" t="str">
            <v>INTEREST SHORT TERM</v>
          </cell>
          <cell r="F128" t="str">
            <v>UAIST</v>
          </cell>
          <cell r="H128">
            <v>0</v>
          </cell>
          <cell r="J128">
            <v>0</v>
          </cell>
          <cell r="L128">
            <v>0</v>
          </cell>
          <cell r="M128" t="str">
            <v>Loss as</v>
          </cell>
          <cell r="N128">
            <v>0</v>
          </cell>
          <cell r="O128" t="str">
            <v>IST</v>
          </cell>
          <cell r="P128">
            <v>0</v>
          </cell>
          <cell r="R128">
            <v>0</v>
          </cell>
          <cell r="T128">
            <v>0</v>
          </cell>
          <cell r="AD128">
            <v>0</v>
          </cell>
          <cell r="AF128">
            <v>0</v>
          </cell>
          <cell r="AH128">
            <v>0</v>
          </cell>
          <cell r="AJ128">
            <v>0</v>
          </cell>
          <cell r="AT128">
            <v>0</v>
          </cell>
          <cell r="AV128">
            <v>0</v>
          </cell>
          <cell r="AX128">
            <v>0</v>
          </cell>
          <cell r="AZ128">
            <v>0</v>
          </cell>
          <cell r="BB128">
            <v>0</v>
          </cell>
          <cell r="BD128">
            <v>0</v>
          </cell>
          <cell r="BF128">
            <v>0</v>
          </cell>
          <cell r="BH128">
            <v>0</v>
          </cell>
          <cell r="BN128">
            <v>0</v>
          </cell>
          <cell r="BR128">
            <v>0</v>
          </cell>
          <cell r="BT128">
            <v>0</v>
          </cell>
          <cell r="BV128">
            <v>0</v>
          </cell>
          <cell r="BX128">
            <v>0</v>
          </cell>
          <cell r="CD128">
            <v>0</v>
          </cell>
          <cell r="CG128" t="str">
            <v>IST</v>
          </cell>
          <cell r="CH128">
            <v>0</v>
          </cell>
          <cell r="CJ128">
            <v>0</v>
          </cell>
          <cell r="CL128">
            <v>0</v>
          </cell>
          <cell r="CN128">
            <v>0</v>
          </cell>
          <cell r="CO128" t="str">
            <v>IST</v>
          </cell>
          <cell r="CP128">
            <v>0</v>
          </cell>
          <cell r="CR128">
            <v>0</v>
          </cell>
          <cell r="CT128">
            <v>0</v>
          </cell>
          <cell r="CV128">
            <v>0</v>
          </cell>
        </row>
        <row r="129">
          <cell r="B129" t="str">
            <v>ILT</v>
          </cell>
          <cell r="D129" t="str">
            <v>INTEREST LONG TERM</v>
          </cell>
          <cell r="F129" t="str">
            <v>UAILT</v>
          </cell>
          <cell r="H129">
            <v>0</v>
          </cell>
          <cell r="J129">
            <v>8851974.9900000002</v>
          </cell>
          <cell r="L129">
            <v>8851974.9900000002</v>
          </cell>
          <cell r="M129" t="str">
            <v>Fringe?</v>
          </cell>
          <cell r="N129">
            <v>0</v>
          </cell>
          <cell r="O129" t="str">
            <v>ILT</v>
          </cell>
          <cell r="P129">
            <v>0</v>
          </cell>
          <cell r="R129">
            <v>8852</v>
          </cell>
          <cell r="T129">
            <v>8852</v>
          </cell>
          <cell r="AD129">
            <v>0</v>
          </cell>
          <cell r="AF129">
            <v>8852</v>
          </cell>
          <cell r="AH129">
            <v>8852</v>
          </cell>
          <cell r="AJ129">
            <v>0</v>
          </cell>
          <cell r="AT129">
            <v>0</v>
          </cell>
          <cell r="AV129">
            <v>0</v>
          </cell>
          <cell r="AX129">
            <v>0</v>
          </cell>
          <cell r="AZ129">
            <v>0</v>
          </cell>
          <cell r="BB129">
            <v>0</v>
          </cell>
          <cell r="BD129">
            <v>8852</v>
          </cell>
          <cell r="BF129">
            <v>8852</v>
          </cell>
          <cell r="BH129">
            <v>0</v>
          </cell>
          <cell r="BN129">
            <v>0</v>
          </cell>
          <cell r="BR129">
            <v>0</v>
          </cell>
          <cell r="BT129">
            <v>8852</v>
          </cell>
          <cell r="BV129">
            <v>8852</v>
          </cell>
          <cell r="BX129">
            <v>0</v>
          </cell>
          <cell r="CD129">
            <v>0</v>
          </cell>
          <cell r="CG129" t="str">
            <v>ILT</v>
          </cell>
          <cell r="CH129">
            <v>0</v>
          </cell>
          <cell r="CJ129">
            <v>0</v>
          </cell>
          <cell r="CL129">
            <v>0</v>
          </cell>
          <cell r="CN129">
            <v>0</v>
          </cell>
          <cell r="CO129" t="str">
            <v>ILT</v>
          </cell>
          <cell r="CP129">
            <v>0</v>
          </cell>
          <cell r="CR129">
            <v>8852</v>
          </cell>
          <cell r="CT129">
            <v>8852</v>
          </cell>
          <cell r="CV129">
            <v>0</v>
          </cell>
        </row>
        <row r="130">
          <cell r="B130" t="str">
            <v>FSC1</v>
          </cell>
          <cell r="D130" t="str">
            <v>FREE STANDING CLINIC SERVICES</v>
          </cell>
          <cell r="F130" t="str">
            <v>UR1</v>
          </cell>
          <cell r="H130">
            <v>0</v>
          </cell>
          <cell r="J130">
            <v>0</v>
          </cell>
          <cell r="L130">
            <v>0</v>
          </cell>
          <cell r="N130">
            <v>0</v>
          </cell>
          <cell r="O130" t="str">
            <v>FSC1</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FSC1</v>
          </cell>
          <cell r="CH130">
            <v>0</v>
          </cell>
          <cell r="CJ130">
            <v>0</v>
          </cell>
          <cell r="CL130">
            <v>0</v>
          </cell>
          <cell r="CN130">
            <v>0</v>
          </cell>
          <cell r="CO130" t="str">
            <v>FSC</v>
          </cell>
          <cell r="CP130">
            <v>0</v>
          </cell>
          <cell r="CR130">
            <v>0</v>
          </cell>
          <cell r="CT130">
            <v>0</v>
          </cell>
          <cell r="CV130">
            <v>0</v>
          </cell>
          <cell r="CX130">
            <v>0</v>
          </cell>
          <cell r="CZ130">
            <v>0</v>
          </cell>
        </row>
        <row r="131">
          <cell r="B131" t="str">
            <v>HHC</v>
          </cell>
          <cell r="D131" t="str">
            <v>HOME HEALTH CARE</v>
          </cell>
          <cell r="F131" t="str">
            <v>UR2</v>
          </cell>
          <cell r="H131">
            <v>0</v>
          </cell>
          <cell r="J131">
            <v>0</v>
          </cell>
          <cell r="L131">
            <v>0</v>
          </cell>
          <cell r="N131">
            <v>0</v>
          </cell>
          <cell r="O131" t="str">
            <v>HHC</v>
          </cell>
          <cell r="P131">
            <v>0</v>
          </cell>
          <cell r="R131">
            <v>0</v>
          </cell>
          <cell r="T131">
            <v>0</v>
          </cell>
          <cell r="AD131">
            <v>0</v>
          </cell>
          <cell r="AF131">
            <v>0</v>
          </cell>
          <cell r="AH131">
            <v>0</v>
          </cell>
          <cell r="AJ131">
            <v>0</v>
          </cell>
          <cell r="AL131">
            <v>0</v>
          </cell>
          <cell r="AN131">
            <v>0</v>
          </cell>
          <cell r="AP131">
            <v>0</v>
          </cell>
          <cell r="AR131">
            <v>0</v>
          </cell>
          <cell r="AT131">
            <v>0</v>
          </cell>
          <cell r="AV131">
            <v>0</v>
          </cell>
          <cell r="AX131">
            <v>0</v>
          </cell>
          <cell r="AZ131">
            <v>0</v>
          </cell>
          <cell r="BB131">
            <v>0</v>
          </cell>
          <cell r="BD131">
            <v>0</v>
          </cell>
          <cell r="BF131">
            <v>0</v>
          </cell>
          <cell r="BH131">
            <v>0</v>
          </cell>
          <cell r="BN131">
            <v>0</v>
          </cell>
          <cell r="BR131">
            <v>0</v>
          </cell>
          <cell r="BT131">
            <v>0</v>
          </cell>
          <cell r="BV131">
            <v>0</v>
          </cell>
          <cell r="BX131">
            <v>0</v>
          </cell>
          <cell r="CB131">
            <v>0</v>
          </cell>
          <cell r="CD131">
            <v>0</v>
          </cell>
          <cell r="CG131" t="str">
            <v>HHC</v>
          </cell>
          <cell r="CH131">
            <v>0</v>
          </cell>
          <cell r="CJ131">
            <v>0</v>
          </cell>
          <cell r="CL131">
            <v>0</v>
          </cell>
          <cell r="CN131">
            <v>0</v>
          </cell>
          <cell r="CO131" t="str">
            <v>HHC</v>
          </cell>
          <cell r="CP131">
            <v>0</v>
          </cell>
          <cell r="CR131">
            <v>0</v>
          </cell>
          <cell r="CT131">
            <v>0</v>
          </cell>
          <cell r="CV131">
            <v>0</v>
          </cell>
          <cell r="CX131">
            <v>0</v>
          </cell>
          <cell r="CZ131">
            <v>0</v>
          </cell>
        </row>
        <row r="132">
          <cell r="B132" t="str">
            <v>ORD</v>
          </cell>
          <cell r="D132" t="str">
            <v>OUTPATIENT RENAL DIALYSIS</v>
          </cell>
          <cell r="F132" t="str">
            <v>UR3</v>
          </cell>
          <cell r="H132">
            <v>0</v>
          </cell>
          <cell r="J132">
            <v>0</v>
          </cell>
          <cell r="L132">
            <v>0</v>
          </cell>
          <cell r="N132">
            <v>0</v>
          </cell>
          <cell r="O132" t="str">
            <v>ORD</v>
          </cell>
          <cell r="P132">
            <v>0</v>
          </cell>
          <cell r="R132">
            <v>0</v>
          </cell>
          <cell r="T132">
            <v>0</v>
          </cell>
          <cell r="AD132">
            <v>0</v>
          </cell>
          <cell r="AF132">
            <v>0</v>
          </cell>
          <cell r="AH132">
            <v>0</v>
          </cell>
          <cell r="AJ132">
            <v>0</v>
          </cell>
          <cell r="AL132">
            <v>0</v>
          </cell>
          <cell r="AN132">
            <v>0</v>
          </cell>
          <cell r="AP132">
            <v>0</v>
          </cell>
          <cell r="AR132">
            <v>0</v>
          </cell>
          <cell r="AT132">
            <v>0</v>
          </cell>
          <cell r="AV132">
            <v>0</v>
          </cell>
          <cell r="AX132">
            <v>0</v>
          </cell>
          <cell r="AZ132">
            <v>0</v>
          </cell>
          <cell r="BB132">
            <v>0</v>
          </cell>
          <cell r="BD132">
            <v>0</v>
          </cell>
          <cell r="BF132">
            <v>0</v>
          </cell>
          <cell r="BH132">
            <v>0</v>
          </cell>
          <cell r="BN132">
            <v>0</v>
          </cell>
          <cell r="BR132">
            <v>0</v>
          </cell>
          <cell r="BT132">
            <v>0</v>
          </cell>
          <cell r="BV132">
            <v>0</v>
          </cell>
          <cell r="BX132">
            <v>0</v>
          </cell>
          <cell r="CB132">
            <v>0</v>
          </cell>
          <cell r="CD132">
            <v>0</v>
          </cell>
          <cell r="CG132" t="str">
            <v>ORD</v>
          </cell>
          <cell r="CH132">
            <v>0</v>
          </cell>
          <cell r="CJ132">
            <v>0</v>
          </cell>
          <cell r="CL132">
            <v>0</v>
          </cell>
          <cell r="CN132">
            <v>0</v>
          </cell>
          <cell r="CO132" t="str">
            <v>ORD</v>
          </cell>
          <cell r="CP132">
            <v>0</v>
          </cell>
          <cell r="CR132">
            <v>0</v>
          </cell>
          <cell r="CT132">
            <v>0</v>
          </cell>
          <cell r="CV132">
            <v>0</v>
          </cell>
          <cell r="CX132">
            <v>0</v>
          </cell>
          <cell r="CZ132">
            <v>0</v>
          </cell>
        </row>
        <row r="133">
          <cell r="B133" t="str">
            <v>ECF1</v>
          </cell>
          <cell r="D133" t="str">
            <v>SKILLED NURSING CARE</v>
          </cell>
          <cell r="F133" t="str">
            <v>UR4</v>
          </cell>
          <cell r="H133">
            <v>0</v>
          </cell>
          <cell r="J133">
            <v>0</v>
          </cell>
          <cell r="L133">
            <v>0</v>
          </cell>
          <cell r="N133">
            <v>0</v>
          </cell>
          <cell r="O133" t="str">
            <v>ECF1</v>
          </cell>
          <cell r="P133">
            <v>0</v>
          </cell>
          <cell r="R133">
            <v>0</v>
          </cell>
          <cell r="T133">
            <v>0</v>
          </cell>
          <cell r="AD133">
            <v>0</v>
          </cell>
          <cell r="AF133">
            <v>0</v>
          </cell>
          <cell r="AH133">
            <v>0</v>
          </cell>
          <cell r="AJ133">
            <v>0</v>
          </cell>
          <cell r="AL133">
            <v>0</v>
          </cell>
          <cell r="AN133">
            <v>0</v>
          </cell>
          <cell r="AP133">
            <v>0</v>
          </cell>
          <cell r="AR133">
            <v>0</v>
          </cell>
          <cell r="AT133">
            <v>0</v>
          </cell>
          <cell r="AV133">
            <v>0</v>
          </cell>
          <cell r="AX133">
            <v>0</v>
          </cell>
          <cell r="AZ133">
            <v>0</v>
          </cell>
          <cell r="BB133">
            <v>0</v>
          </cell>
          <cell r="BD133">
            <v>0</v>
          </cell>
          <cell r="BF133">
            <v>0</v>
          </cell>
          <cell r="BH133">
            <v>0</v>
          </cell>
          <cell r="BN133">
            <v>0</v>
          </cell>
          <cell r="BR133">
            <v>0</v>
          </cell>
          <cell r="BT133">
            <v>0</v>
          </cell>
          <cell r="BV133">
            <v>0</v>
          </cell>
          <cell r="BX133">
            <v>0</v>
          </cell>
          <cell r="CB133">
            <v>0</v>
          </cell>
          <cell r="CD133">
            <v>0</v>
          </cell>
          <cell r="CG133" t="str">
            <v>ECF1</v>
          </cell>
          <cell r="CH133">
            <v>0</v>
          </cell>
          <cell r="CJ133">
            <v>0</v>
          </cell>
          <cell r="CL133">
            <v>0</v>
          </cell>
          <cell r="CN133">
            <v>0</v>
          </cell>
          <cell r="CO133" t="str">
            <v>ECF</v>
          </cell>
          <cell r="CP133">
            <v>0</v>
          </cell>
          <cell r="CR133">
            <v>0</v>
          </cell>
          <cell r="CT133">
            <v>0</v>
          </cell>
          <cell r="CV133">
            <v>0</v>
          </cell>
          <cell r="CX133">
            <v>0</v>
          </cell>
          <cell r="CZ133">
            <v>0</v>
          </cell>
        </row>
        <row r="134">
          <cell r="B134" t="str">
            <v>ULB</v>
          </cell>
          <cell r="D134" t="str">
            <v>LAB NON-PATIENT</v>
          </cell>
          <cell r="F134" t="str">
            <v>UR5</v>
          </cell>
          <cell r="H134">
            <v>1688175.8031052698</v>
          </cell>
          <cell r="J134">
            <v>1232597.9816904822</v>
          </cell>
          <cell r="L134">
            <v>2920773.7847957518</v>
          </cell>
          <cell r="N134">
            <v>24.275772676796858</v>
          </cell>
          <cell r="O134" t="str">
            <v>ULB</v>
          </cell>
          <cell r="P134">
            <v>1688.2</v>
          </cell>
          <cell r="R134">
            <v>1232.5999999999999</v>
          </cell>
          <cell r="T134">
            <v>2920.8</v>
          </cell>
          <cell r="AD134">
            <v>1688.2</v>
          </cell>
          <cell r="AF134">
            <v>1232.5999999999999</v>
          </cell>
          <cell r="AH134">
            <v>2920.8</v>
          </cell>
          <cell r="AJ134">
            <v>24.275772676796858</v>
          </cell>
          <cell r="AL134">
            <v>0</v>
          </cell>
          <cell r="AN134">
            <v>0</v>
          </cell>
          <cell r="AP134">
            <v>0</v>
          </cell>
          <cell r="AR134">
            <v>0</v>
          </cell>
          <cell r="AT134">
            <v>0</v>
          </cell>
          <cell r="AV134">
            <v>0</v>
          </cell>
          <cell r="AX134">
            <v>0</v>
          </cell>
          <cell r="AZ134">
            <v>0</v>
          </cell>
          <cell r="BB134">
            <v>1688.2</v>
          </cell>
          <cell r="BD134">
            <v>1232.5999999999999</v>
          </cell>
          <cell r="BF134">
            <v>2920.8</v>
          </cell>
          <cell r="BH134">
            <v>24.275772676796858</v>
          </cell>
          <cell r="BN134">
            <v>0</v>
          </cell>
          <cell r="BR134">
            <v>1688.2</v>
          </cell>
          <cell r="BT134">
            <v>1232.5999999999999</v>
          </cell>
          <cell r="BV134">
            <v>2920.8</v>
          </cell>
          <cell r="BX134">
            <v>24.275772676796858</v>
          </cell>
          <cell r="CB134">
            <v>0</v>
          </cell>
          <cell r="CD134">
            <v>0</v>
          </cell>
          <cell r="CG134" t="str">
            <v>ULB</v>
          </cell>
          <cell r="CH134">
            <v>117.38802582595271</v>
          </cell>
          <cell r="CJ134">
            <v>287.49004707468299</v>
          </cell>
          <cell r="CL134">
            <v>404.87807290063569</v>
          </cell>
          <cell r="CN134">
            <v>1.1213907861360046</v>
          </cell>
          <cell r="CO134" t="str">
            <v>ULB</v>
          </cell>
          <cell r="CP134">
            <v>1805.5880258259529</v>
          </cell>
          <cell r="CR134">
            <v>1520.0900470746828</v>
          </cell>
          <cell r="CT134">
            <v>3325.6780729006359</v>
          </cell>
          <cell r="CV134">
            <v>25.397163462932863</v>
          </cell>
          <cell r="CX134">
            <v>3769.6938500000001</v>
          </cell>
          <cell r="CZ134">
            <v>444.01577709936419</v>
          </cell>
        </row>
        <row r="135">
          <cell r="B135" t="str">
            <v>UPB</v>
          </cell>
          <cell r="D135" t="str">
            <v>PHYSICIANS PART B SERVICES</v>
          </cell>
          <cell r="F135" t="str">
            <v>UR6</v>
          </cell>
          <cell r="H135">
            <v>206789.11383578976</v>
          </cell>
          <cell r="J135">
            <v>12511376.001431117</v>
          </cell>
          <cell r="L135">
            <v>12718165.115266906</v>
          </cell>
          <cell r="N135">
            <v>7.5556490384615387</v>
          </cell>
          <cell r="O135" t="str">
            <v>UPB</v>
          </cell>
          <cell r="P135">
            <v>206.8</v>
          </cell>
          <cell r="R135">
            <v>12511.4</v>
          </cell>
          <cell r="T135">
            <v>12718.199999999999</v>
          </cell>
          <cell r="X135">
            <v>0</v>
          </cell>
          <cell r="Z135">
            <v>0</v>
          </cell>
          <cell r="AD135">
            <v>206.8</v>
          </cell>
          <cell r="AF135">
            <v>12511.4</v>
          </cell>
          <cell r="AH135">
            <v>12718.199999999999</v>
          </cell>
          <cell r="AJ135">
            <v>7.5556490384615387</v>
          </cell>
          <cell r="AL135">
            <v>0</v>
          </cell>
          <cell r="AN135">
            <v>0</v>
          </cell>
          <cell r="AP135">
            <v>0</v>
          </cell>
          <cell r="AR135">
            <v>0</v>
          </cell>
          <cell r="AT135">
            <v>0</v>
          </cell>
          <cell r="AV135">
            <v>0</v>
          </cell>
          <cell r="AX135">
            <v>0</v>
          </cell>
          <cell r="AZ135">
            <v>0</v>
          </cell>
          <cell r="BB135">
            <v>206.8</v>
          </cell>
          <cell r="BD135">
            <v>12511.4</v>
          </cell>
          <cell r="BF135">
            <v>12718.199999999999</v>
          </cell>
          <cell r="BH135">
            <v>7.5556490384615387</v>
          </cell>
          <cell r="BN135">
            <v>0</v>
          </cell>
          <cell r="BR135">
            <v>206.8</v>
          </cell>
          <cell r="BT135">
            <v>12511.4</v>
          </cell>
          <cell r="BV135">
            <v>12718.199999999999</v>
          </cell>
          <cell r="BX135">
            <v>7.5556490384615387</v>
          </cell>
          <cell r="CB135">
            <v>0</v>
          </cell>
          <cell r="CD135">
            <v>0</v>
          </cell>
          <cell r="CG135" t="str">
            <v>UPB</v>
          </cell>
          <cell r="CH135">
            <v>371.62083823813214</v>
          </cell>
          <cell r="CJ135">
            <v>895.82083321378309</v>
          </cell>
          <cell r="CL135">
            <v>1267.4416714519152</v>
          </cell>
          <cell r="CN135">
            <v>2.2135676886156759</v>
          </cell>
          <cell r="CO135" t="str">
            <v>UPB</v>
          </cell>
          <cell r="CP135">
            <v>578.42083823813209</v>
          </cell>
          <cell r="CR135">
            <v>13407.220833213783</v>
          </cell>
          <cell r="CT135">
            <v>13985.641671451915</v>
          </cell>
          <cell r="CV135">
            <v>9.7692167270772146</v>
          </cell>
          <cell r="CX135">
            <v>-229.87644999999975</v>
          </cell>
          <cell r="CZ135">
            <v>-14215.518121451914</v>
          </cell>
        </row>
        <row r="136">
          <cell r="B136" t="str">
            <v>CNA</v>
          </cell>
          <cell r="D136" t="str">
            <v>CERTIFIED NURSE ANESTHETIST</v>
          </cell>
          <cell r="F136" t="str">
            <v>UR7</v>
          </cell>
          <cell r="H136">
            <v>0</v>
          </cell>
          <cell r="J136">
            <v>0</v>
          </cell>
          <cell r="L136">
            <v>0</v>
          </cell>
          <cell r="N136">
            <v>0</v>
          </cell>
          <cell r="O136" t="str">
            <v>CNA</v>
          </cell>
          <cell r="P136">
            <v>0</v>
          </cell>
          <cell r="R136">
            <v>0</v>
          </cell>
          <cell r="T136">
            <v>0</v>
          </cell>
          <cell r="AD136">
            <v>0</v>
          </cell>
          <cell r="AF136">
            <v>0</v>
          </cell>
          <cell r="AH136">
            <v>0</v>
          </cell>
          <cell r="AJ136">
            <v>0</v>
          </cell>
          <cell r="AL136">
            <v>0</v>
          </cell>
          <cell r="AN136">
            <v>0</v>
          </cell>
          <cell r="AP136">
            <v>0</v>
          </cell>
          <cell r="AR136">
            <v>0</v>
          </cell>
          <cell r="AT136">
            <v>0</v>
          </cell>
          <cell r="AV136">
            <v>0</v>
          </cell>
          <cell r="AX136">
            <v>0</v>
          </cell>
          <cell r="AZ136">
            <v>0</v>
          </cell>
          <cell r="BB136">
            <v>0</v>
          </cell>
          <cell r="BD136">
            <v>0</v>
          </cell>
          <cell r="BF136">
            <v>0</v>
          </cell>
          <cell r="BH136">
            <v>0</v>
          </cell>
          <cell r="BN136">
            <v>0</v>
          </cell>
          <cell r="BR136">
            <v>0</v>
          </cell>
          <cell r="BT136">
            <v>0</v>
          </cell>
          <cell r="BV136">
            <v>0</v>
          </cell>
          <cell r="BX136">
            <v>0</v>
          </cell>
          <cell r="CB136">
            <v>0</v>
          </cell>
          <cell r="CD136">
            <v>0</v>
          </cell>
          <cell r="CG136" t="str">
            <v>CNA</v>
          </cell>
          <cell r="CH136">
            <v>0</v>
          </cell>
          <cell r="CJ136">
            <v>0</v>
          </cell>
          <cell r="CL136">
            <v>0</v>
          </cell>
          <cell r="CN136">
            <v>0</v>
          </cell>
          <cell r="CO136" t="str">
            <v>UPB</v>
          </cell>
          <cell r="CP136">
            <v>0</v>
          </cell>
          <cell r="CR136">
            <v>0</v>
          </cell>
          <cell r="CT136">
            <v>0</v>
          </cell>
          <cell r="CV136">
            <v>0</v>
          </cell>
          <cell r="CX136">
            <v>0</v>
          </cell>
          <cell r="CZ136">
            <v>0</v>
          </cell>
        </row>
        <row r="137">
          <cell r="B137" t="str">
            <v>PSS</v>
          </cell>
          <cell r="D137" t="str">
            <v>Billable Mid Level Providers</v>
          </cell>
          <cell r="F137" t="str">
            <v>UR8</v>
          </cell>
          <cell r="H137">
            <v>93481.982850840257</v>
          </cell>
          <cell r="J137">
            <v>210.9</v>
          </cell>
          <cell r="L137">
            <v>93692.882850840251</v>
          </cell>
          <cell r="N137">
            <v>0.49074519230769231</v>
          </cell>
          <cell r="O137" t="str">
            <v>PSS</v>
          </cell>
          <cell r="P137">
            <v>93.5</v>
          </cell>
          <cell r="R137">
            <v>0.2</v>
          </cell>
          <cell r="T137">
            <v>93.7</v>
          </cell>
          <cell r="AD137">
            <v>93.5</v>
          </cell>
          <cell r="AF137">
            <v>0.2</v>
          </cell>
          <cell r="AH137">
            <v>93.7</v>
          </cell>
          <cell r="AJ137">
            <v>0.49074519230769231</v>
          </cell>
          <cell r="AL137">
            <v>0</v>
          </cell>
          <cell r="AN137">
            <v>0</v>
          </cell>
          <cell r="AP137">
            <v>0</v>
          </cell>
          <cell r="AR137">
            <v>0</v>
          </cell>
          <cell r="AT137">
            <v>0</v>
          </cell>
          <cell r="AV137">
            <v>0</v>
          </cell>
          <cell r="AX137">
            <v>0</v>
          </cell>
          <cell r="AZ137">
            <v>0</v>
          </cell>
          <cell r="BB137">
            <v>93.5</v>
          </cell>
          <cell r="BD137">
            <v>0.2</v>
          </cell>
          <cell r="BF137">
            <v>93.7</v>
          </cell>
          <cell r="BH137">
            <v>0.49074519230769231</v>
          </cell>
          <cell r="BN137">
            <v>0</v>
          </cell>
          <cell r="BR137">
            <v>93.5</v>
          </cell>
          <cell r="BT137">
            <v>0.2</v>
          </cell>
          <cell r="BV137">
            <v>93.7</v>
          </cell>
          <cell r="BX137">
            <v>0.49074519230769231</v>
          </cell>
          <cell r="CB137">
            <v>0</v>
          </cell>
          <cell r="CD137">
            <v>0</v>
          </cell>
          <cell r="CG137" t="str">
            <v>PSS</v>
          </cell>
          <cell r="CH137">
            <v>3.255458683498456</v>
          </cell>
          <cell r="CJ137">
            <v>17.830042915128097</v>
          </cell>
          <cell r="CL137">
            <v>21.085501598626553</v>
          </cell>
          <cell r="CN137">
            <v>1.617334399594594E-2</v>
          </cell>
          <cell r="CO137" t="str">
            <v>UPB</v>
          </cell>
          <cell r="CP137">
            <v>96.75545868349846</v>
          </cell>
          <cell r="CR137">
            <v>18.030042915128096</v>
          </cell>
          <cell r="CT137">
            <v>114.78550159862655</v>
          </cell>
          <cell r="CV137">
            <v>0.50691853630363826</v>
          </cell>
          <cell r="CX137">
            <v>0</v>
          </cell>
          <cell r="CZ137">
            <v>-114.78550159862655</v>
          </cell>
        </row>
        <row r="138">
          <cell r="B138" t="str">
            <v>TBA2</v>
          </cell>
          <cell r="D138" t="str">
            <v>Lactation Center Program</v>
          </cell>
          <cell r="F138" t="str">
            <v>UR9</v>
          </cell>
          <cell r="H138">
            <v>131240.00280973062</v>
          </cell>
          <cell r="J138">
            <v>470</v>
          </cell>
          <cell r="L138">
            <v>131710.00280973062</v>
          </cell>
          <cell r="N138">
            <v>1.5075721153846153</v>
          </cell>
          <cell r="O138" t="str">
            <v>TBA2</v>
          </cell>
          <cell r="P138">
            <v>131.19999999999999</v>
          </cell>
          <cell r="R138">
            <v>0.5</v>
          </cell>
          <cell r="T138">
            <v>131.69999999999999</v>
          </cell>
          <cell r="AD138">
            <v>131.19999999999999</v>
          </cell>
          <cell r="AF138">
            <v>0.5</v>
          </cell>
          <cell r="AH138">
            <v>131.69999999999999</v>
          </cell>
          <cell r="AJ138">
            <v>1.5075721153846153</v>
          </cell>
          <cell r="AL138">
            <v>0</v>
          </cell>
          <cell r="AN138">
            <v>0</v>
          </cell>
          <cell r="AP138">
            <v>0</v>
          </cell>
          <cell r="AR138">
            <v>0</v>
          </cell>
          <cell r="AT138">
            <v>0</v>
          </cell>
          <cell r="AV138">
            <v>0</v>
          </cell>
          <cell r="AX138">
            <v>0</v>
          </cell>
          <cell r="AZ138">
            <v>0</v>
          </cell>
          <cell r="BB138">
            <v>131.19999999999999</v>
          </cell>
          <cell r="BD138">
            <v>0.5</v>
          </cell>
          <cell r="BF138">
            <v>131.69999999999999</v>
          </cell>
          <cell r="BH138">
            <v>1.5075721153846153</v>
          </cell>
          <cell r="BN138">
            <v>0</v>
          </cell>
          <cell r="BR138">
            <v>131.19999999999999</v>
          </cell>
          <cell r="BT138">
            <v>0.5</v>
          </cell>
          <cell r="BV138">
            <v>131.69999999999999</v>
          </cell>
          <cell r="BX138">
            <v>1.5075721153846153</v>
          </cell>
          <cell r="CB138">
            <v>0</v>
          </cell>
          <cell r="CD138">
            <v>0</v>
          </cell>
          <cell r="CG138" t="str">
            <v>TBA2</v>
          </cell>
          <cell r="CH138">
            <v>0</v>
          </cell>
          <cell r="CJ138">
            <v>0</v>
          </cell>
          <cell r="CL138">
            <v>0</v>
          </cell>
          <cell r="CN138">
            <v>0</v>
          </cell>
          <cell r="CO138" t="str">
            <v>UPB</v>
          </cell>
          <cell r="CP138">
            <v>131.19999999999999</v>
          </cell>
          <cell r="CR138">
            <v>0.5</v>
          </cell>
          <cell r="CT138">
            <v>131.69999999999999</v>
          </cell>
          <cell r="CV138">
            <v>1.5075721153846153</v>
          </cell>
          <cell r="CX138">
            <v>0</v>
          </cell>
          <cell r="CZ138">
            <v>-131.69999999999999</v>
          </cell>
        </row>
        <row r="139">
          <cell r="B139" t="str">
            <v>TBA3</v>
          </cell>
          <cell r="F139" t="str">
            <v>UR10</v>
          </cell>
          <cell r="H139">
            <v>0</v>
          </cell>
          <cell r="J139">
            <v>0</v>
          </cell>
          <cell r="L139">
            <v>0</v>
          </cell>
          <cell r="N139">
            <v>0</v>
          </cell>
          <cell r="O139" t="str">
            <v>TBA3</v>
          </cell>
          <cell r="P139">
            <v>0</v>
          </cell>
          <cell r="R139">
            <v>0</v>
          </cell>
          <cell r="T139">
            <v>0</v>
          </cell>
          <cell r="AD139">
            <v>0</v>
          </cell>
          <cell r="AF139">
            <v>0</v>
          </cell>
          <cell r="AH139">
            <v>0</v>
          </cell>
          <cell r="AJ139">
            <v>0</v>
          </cell>
          <cell r="AL139">
            <v>0</v>
          </cell>
          <cell r="AN139">
            <v>0</v>
          </cell>
          <cell r="AP139">
            <v>0</v>
          </cell>
          <cell r="AR139">
            <v>0</v>
          </cell>
          <cell r="AT139">
            <v>0</v>
          </cell>
          <cell r="AV139">
            <v>0</v>
          </cell>
          <cell r="AX139">
            <v>0</v>
          </cell>
          <cell r="AZ139">
            <v>0</v>
          </cell>
          <cell r="BB139">
            <v>0</v>
          </cell>
          <cell r="BD139">
            <v>0</v>
          </cell>
          <cell r="BF139">
            <v>0</v>
          </cell>
          <cell r="BH139">
            <v>0</v>
          </cell>
          <cell r="BN139">
            <v>0</v>
          </cell>
          <cell r="BR139">
            <v>0</v>
          </cell>
          <cell r="BT139">
            <v>0</v>
          </cell>
          <cell r="BV139">
            <v>0</v>
          </cell>
          <cell r="BX139">
            <v>0</v>
          </cell>
          <cell r="CB139">
            <v>0</v>
          </cell>
          <cell r="CD139">
            <v>0</v>
          </cell>
          <cell r="CG139" t="str">
            <v>TBA3</v>
          </cell>
          <cell r="CH139">
            <v>0</v>
          </cell>
          <cell r="CJ139">
            <v>0</v>
          </cell>
          <cell r="CL139">
            <v>0</v>
          </cell>
          <cell r="CN139">
            <v>0</v>
          </cell>
          <cell r="CO139" t="str">
            <v>UPB</v>
          </cell>
          <cell r="CP139">
            <v>0</v>
          </cell>
          <cell r="CR139">
            <v>0</v>
          </cell>
          <cell r="CT139">
            <v>0</v>
          </cell>
          <cell r="CV139">
            <v>0</v>
          </cell>
          <cell r="CX139">
            <v>0</v>
          </cell>
          <cell r="CZ139">
            <v>0</v>
          </cell>
        </row>
        <row r="140">
          <cell r="B140" t="str">
            <v>TBA4</v>
          </cell>
          <cell r="F140" t="str">
            <v>UR11</v>
          </cell>
          <cell r="H140">
            <v>0</v>
          </cell>
          <cell r="J140">
            <v>0</v>
          </cell>
          <cell r="L140">
            <v>0</v>
          </cell>
          <cell r="N140">
            <v>0</v>
          </cell>
          <cell r="O140" t="str">
            <v>TBA4</v>
          </cell>
          <cell r="P140">
            <v>0</v>
          </cell>
          <cell r="R140">
            <v>0</v>
          </cell>
          <cell r="T140">
            <v>0</v>
          </cell>
          <cell r="AD140">
            <v>0</v>
          </cell>
          <cell r="AF140">
            <v>0</v>
          </cell>
          <cell r="AH140">
            <v>0</v>
          </cell>
          <cell r="AJ140">
            <v>0</v>
          </cell>
          <cell r="AL140">
            <v>0</v>
          </cell>
          <cell r="AN140">
            <v>0</v>
          </cell>
          <cell r="AP140">
            <v>0</v>
          </cell>
          <cell r="AR140">
            <v>0</v>
          </cell>
          <cell r="AT140">
            <v>0</v>
          </cell>
          <cell r="AV140">
            <v>0</v>
          </cell>
          <cell r="AX140">
            <v>0</v>
          </cell>
          <cell r="AZ140">
            <v>0</v>
          </cell>
          <cell r="BB140">
            <v>0</v>
          </cell>
          <cell r="BD140">
            <v>0</v>
          </cell>
          <cell r="BF140">
            <v>0</v>
          </cell>
          <cell r="BH140">
            <v>0</v>
          </cell>
          <cell r="BN140">
            <v>0</v>
          </cell>
          <cell r="BR140">
            <v>0</v>
          </cell>
          <cell r="BT140">
            <v>0</v>
          </cell>
          <cell r="BV140">
            <v>0</v>
          </cell>
          <cell r="BX140">
            <v>0</v>
          </cell>
          <cell r="CB140">
            <v>0</v>
          </cell>
          <cell r="CD140">
            <v>0</v>
          </cell>
          <cell r="CG140" t="str">
            <v>TBA4</v>
          </cell>
          <cell r="CH140">
            <v>0</v>
          </cell>
          <cell r="CJ140">
            <v>0</v>
          </cell>
          <cell r="CL140">
            <v>0</v>
          </cell>
          <cell r="CN140">
            <v>0</v>
          </cell>
          <cell r="CO140" t="str">
            <v>UPB</v>
          </cell>
          <cell r="CP140">
            <v>0</v>
          </cell>
          <cell r="CR140">
            <v>0</v>
          </cell>
          <cell r="CT140">
            <v>0</v>
          </cell>
          <cell r="CV140">
            <v>0</v>
          </cell>
          <cell r="CX140">
            <v>0</v>
          </cell>
          <cell r="CZ140">
            <v>0</v>
          </cell>
        </row>
        <row r="141">
          <cell r="B141" t="str">
            <v>TBA5</v>
          </cell>
          <cell r="F141" t="str">
            <v>UR12</v>
          </cell>
          <cell r="H141">
            <v>0</v>
          </cell>
          <cell r="J141">
            <v>0</v>
          </cell>
          <cell r="L141">
            <v>0</v>
          </cell>
          <cell r="N141">
            <v>0</v>
          </cell>
          <cell r="O141" t="str">
            <v>TBA5</v>
          </cell>
          <cell r="P141">
            <v>0</v>
          </cell>
          <cell r="R141">
            <v>0</v>
          </cell>
          <cell r="T141">
            <v>0</v>
          </cell>
          <cell r="AD141">
            <v>0</v>
          </cell>
          <cell r="AF141">
            <v>0</v>
          </cell>
          <cell r="AH141">
            <v>0</v>
          </cell>
          <cell r="AJ141">
            <v>0</v>
          </cell>
          <cell r="AL141">
            <v>0</v>
          </cell>
          <cell r="AN141">
            <v>0</v>
          </cell>
          <cell r="AP141">
            <v>0</v>
          </cell>
          <cell r="AR141">
            <v>0</v>
          </cell>
          <cell r="AT141">
            <v>0</v>
          </cell>
          <cell r="AV141">
            <v>0</v>
          </cell>
          <cell r="AX141">
            <v>0</v>
          </cell>
          <cell r="AZ141">
            <v>0</v>
          </cell>
          <cell r="BB141">
            <v>0</v>
          </cell>
          <cell r="BD141">
            <v>0</v>
          </cell>
          <cell r="BF141">
            <v>0</v>
          </cell>
          <cell r="BH141">
            <v>0</v>
          </cell>
          <cell r="BN141">
            <v>0</v>
          </cell>
          <cell r="BR141">
            <v>0</v>
          </cell>
          <cell r="BT141">
            <v>0</v>
          </cell>
          <cell r="BV141">
            <v>0</v>
          </cell>
          <cell r="BX141">
            <v>0</v>
          </cell>
          <cell r="CB141">
            <v>0</v>
          </cell>
          <cell r="CD141">
            <v>0</v>
          </cell>
          <cell r="CG141" t="str">
            <v>TBA5</v>
          </cell>
          <cell r="CH141">
            <v>0</v>
          </cell>
          <cell r="CJ141">
            <v>0</v>
          </cell>
          <cell r="CL141">
            <v>0</v>
          </cell>
          <cell r="CN141">
            <v>0</v>
          </cell>
          <cell r="CO141" t="str">
            <v>UPB</v>
          </cell>
          <cell r="CP141">
            <v>0</v>
          </cell>
          <cell r="CR141">
            <v>0</v>
          </cell>
          <cell r="CT141">
            <v>0</v>
          </cell>
          <cell r="CV141">
            <v>0</v>
          </cell>
          <cell r="CX141">
            <v>0</v>
          </cell>
          <cell r="CZ141">
            <v>0</v>
          </cell>
        </row>
        <row r="142">
          <cell r="B142" t="str">
            <v>TBA6</v>
          </cell>
          <cell r="F142" t="str">
            <v>UR13</v>
          </cell>
          <cell r="H142">
            <v>0</v>
          </cell>
          <cell r="J142">
            <v>0</v>
          </cell>
          <cell r="L142">
            <v>0</v>
          </cell>
          <cell r="N142">
            <v>0</v>
          </cell>
          <cell r="O142" t="str">
            <v>TBA6</v>
          </cell>
          <cell r="P142">
            <v>0</v>
          </cell>
          <cell r="R142">
            <v>0</v>
          </cell>
          <cell r="T142">
            <v>0</v>
          </cell>
          <cell r="AD142">
            <v>0</v>
          </cell>
          <cell r="AF142">
            <v>0</v>
          </cell>
          <cell r="AH142">
            <v>0</v>
          </cell>
          <cell r="AJ142">
            <v>0</v>
          </cell>
          <cell r="AL142">
            <v>0</v>
          </cell>
          <cell r="AN142">
            <v>0</v>
          </cell>
          <cell r="AP142">
            <v>0</v>
          </cell>
          <cell r="AR142">
            <v>0</v>
          </cell>
          <cell r="AT142">
            <v>0</v>
          </cell>
          <cell r="AV142">
            <v>0</v>
          </cell>
          <cell r="AX142">
            <v>0</v>
          </cell>
          <cell r="AZ142">
            <v>0</v>
          </cell>
          <cell r="BB142">
            <v>0</v>
          </cell>
          <cell r="BD142">
            <v>0</v>
          </cell>
          <cell r="BF142">
            <v>0</v>
          </cell>
          <cell r="BH142">
            <v>0</v>
          </cell>
          <cell r="BN142">
            <v>0</v>
          </cell>
          <cell r="BR142">
            <v>0</v>
          </cell>
          <cell r="BT142">
            <v>0</v>
          </cell>
          <cell r="BV142">
            <v>0</v>
          </cell>
          <cell r="BX142">
            <v>0</v>
          </cell>
          <cell r="CB142">
            <v>0</v>
          </cell>
          <cell r="CD142">
            <v>0</v>
          </cell>
          <cell r="CG142" t="str">
            <v>TBA6</v>
          </cell>
          <cell r="CH142">
            <v>0</v>
          </cell>
          <cell r="CJ142">
            <v>0</v>
          </cell>
          <cell r="CL142">
            <v>0</v>
          </cell>
          <cell r="CN142">
            <v>0</v>
          </cell>
          <cell r="CO142" t="str">
            <v>UPB</v>
          </cell>
          <cell r="CP142">
            <v>0</v>
          </cell>
          <cell r="CR142">
            <v>0</v>
          </cell>
          <cell r="CT142">
            <v>0</v>
          </cell>
          <cell r="CV142">
            <v>0</v>
          </cell>
          <cell r="CX142">
            <v>0</v>
          </cell>
          <cell r="CZ142">
            <v>0</v>
          </cell>
        </row>
        <row r="143">
          <cell r="B143" t="str">
            <v>TBA7</v>
          </cell>
          <cell r="F143" t="str">
            <v>UR14</v>
          </cell>
          <cell r="H143">
            <v>0</v>
          </cell>
          <cell r="J143">
            <v>0</v>
          </cell>
          <cell r="L143">
            <v>0</v>
          </cell>
          <cell r="N143">
            <v>0</v>
          </cell>
          <cell r="O143" t="str">
            <v>TBA7</v>
          </cell>
          <cell r="P143">
            <v>0</v>
          </cell>
          <cell r="R143">
            <v>0</v>
          </cell>
          <cell r="T143">
            <v>0</v>
          </cell>
          <cell r="AD143">
            <v>0</v>
          </cell>
          <cell r="AF143">
            <v>0</v>
          </cell>
          <cell r="AH143">
            <v>0</v>
          </cell>
          <cell r="AJ143">
            <v>0</v>
          </cell>
          <cell r="AL143">
            <v>0</v>
          </cell>
          <cell r="AN143">
            <v>0</v>
          </cell>
          <cell r="AP143">
            <v>0</v>
          </cell>
          <cell r="AR143">
            <v>0</v>
          </cell>
          <cell r="AT143">
            <v>0</v>
          </cell>
          <cell r="AV143">
            <v>0</v>
          </cell>
          <cell r="AX143">
            <v>0</v>
          </cell>
          <cell r="AZ143">
            <v>0</v>
          </cell>
          <cell r="BB143">
            <v>0</v>
          </cell>
          <cell r="BD143">
            <v>0</v>
          </cell>
          <cell r="BF143">
            <v>0</v>
          </cell>
          <cell r="BH143">
            <v>0</v>
          </cell>
          <cell r="BN143">
            <v>0</v>
          </cell>
          <cell r="BR143">
            <v>0</v>
          </cell>
          <cell r="BT143">
            <v>0</v>
          </cell>
          <cell r="BV143">
            <v>0</v>
          </cell>
          <cell r="BX143">
            <v>0</v>
          </cell>
          <cell r="CB143">
            <v>0</v>
          </cell>
          <cell r="CD143">
            <v>0</v>
          </cell>
          <cell r="CG143" t="str">
            <v>TBA7</v>
          </cell>
          <cell r="CH143">
            <v>0</v>
          </cell>
          <cell r="CJ143">
            <v>0</v>
          </cell>
          <cell r="CL143">
            <v>0</v>
          </cell>
          <cell r="CN143">
            <v>0</v>
          </cell>
          <cell r="CO143" t="str">
            <v>UPB</v>
          </cell>
          <cell r="CP143">
            <v>0</v>
          </cell>
          <cell r="CR143">
            <v>0</v>
          </cell>
          <cell r="CT143">
            <v>0</v>
          </cell>
          <cell r="CV143">
            <v>0</v>
          </cell>
          <cell r="CX143">
            <v>0</v>
          </cell>
          <cell r="CZ143">
            <v>0</v>
          </cell>
        </row>
        <row r="144">
          <cell r="B144" t="str">
            <v>TBA8</v>
          </cell>
          <cell r="F144" t="str">
            <v>UR15</v>
          </cell>
          <cell r="H144">
            <v>0</v>
          </cell>
          <cell r="J144">
            <v>0</v>
          </cell>
          <cell r="L144">
            <v>0</v>
          </cell>
          <cell r="N144">
            <v>0</v>
          </cell>
          <cell r="O144" t="str">
            <v>TBA8</v>
          </cell>
          <cell r="P144">
            <v>0</v>
          </cell>
          <cell r="R144">
            <v>0</v>
          </cell>
          <cell r="T144">
            <v>0</v>
          </cell>
          <cell r="AD144">
            <v>0</v>
          </cell>
          <cell r="AF144">
            <v>0</v>
          </cell>
          <cell r="AH144">
            <v>0</v>
          </cell>
          <cell r="AJ144">
            <v>0</v>
          </cell>
          <cell r="AL144">
            <v>0</v>
          </cell>
          <cell r="AN144">
            <v>0</v>
          </cell>
          <cell r="AP144">
            <v>0</v>
          </cell>
          <cell r="AR144">
            <v>0</v>
          </cell>
          <cell r="AT144">
            <v>0</v>
          </cell>
          <cell r="AV144">
            <v>0</v>
          </cell>
          <cell r="AX144">
            <v>0</v>
          </cell>
          <cell r="AZ144">
            <v>0</v>
          </cell>
          <cell r="BB144">
            <v>0</v>
          </cell>
          <cell r="BD144">
            <v>0</v>
          </cell>
          <cell r="BF144">
            <v>0</v>
          </cell>
          <cell r="BH144">
            <v>0</v>
          </cell>
          <cell r="BN144">
            <v>0</v>
          </cell>
          <cell r="BR144">
            <v>0</v>
          </cell>
          <cell r="BT144">
            <v>0</v>
          </cell>
          <cell r="BV144">
            <v>0</v>
          </cell>
          <cell r="BX144">
            <v>0</v>
          </cell>
          <cell r="CB144">
            <v>0</v>
          </cell>
          <cell r="CD144">
            <v>0</v>
          </cell>
          <cell r="CG144" t="str">
            <v>TBA8</v>
          </cell>
          <cell r="CH144">
            <v>0</v>
          </cell>
          <cell r="CJ144">
            <v>0</v>
          </cell>
          <cell r="CL144">
            <v>0</v>
          </cell>
          <cell r="CN144">
            <v>0</v>
          </cell>
          <cell r="CO144" t="str">
            <v>UPB</v>
          </cell>
          <cell r="CP144">
            <v>0</v>
          </cell>
          <cell r="CR144">
            <v>0</v>
          </cell>
          <cell r="CT144">
            <v>0</v>
          </cell>
          <cell r="CV144">
            <v>0</v>
          </cell>
          <cell r="CX144">
            <v>0</v>
          </cell>
          <cell r="CZ144">
            <v>0</v>
          </cell>
        </row>
        <row r="145">
          <cell r="B145" t="str">
            <v>GRT</v>
          </cell>
          <cell r="D145" t="str">
            <v>GRANTS</v>
          </cell>
          <cell r="F145" t="str">
            <v>ZZ1</v>
          </cell>
          <cell r="H145" t="str">
            <v>XXXXXXXXX</v>
          </cell>
          <cell r="J145" t="str">
            <v>XXXXXXXXX</v>
          </cell>
          <cell r="L145">
            <v>0</v>
          </cell>
          <cell r="N145" t="str">
            <v>XXXXXXXXX</v>
          </cell>
          <cell r="O145" t="str">
            <v>GRT</v>
          </cell>
          <cell r="P145">
            <v>0</v>
          </cell>
          <cell r="R145">
            <v>0</v>
          </cell>
          <cell r="T145">
            <v>0</v>
          </cell>
          <cell r="AD145">
            <v>0</v>
          </cell>
          <cell r="AF145">
            <v>0</v>
          </cell>
          <cell r="AH145">
            <v>0</v>
          </cell>
          <cell r="AJ145">
            <v>0</v>
          </cell>
          <cell r="AT145">
            <v>0</v>
          </cell>
          <cell r="AV145">
            <v>0</v>
          </cell>
          <cell r="AX145">
            <v>0</v>
          </cell>
          <cell r="AZ145">
            <v>0</v>
          </cell>
          <cell r="BB145">
            <v>0</v>
          </cell>
          <cell r="BD145">
            <v>0</v>
          </cell>
          <cell r="BF145">
            <v>0</v>
          </cell>
          <cell r="BH145">
            <v>0</v>
          </cell>
          <cell r="BN145">
            <v>0</v>
          </cell>
          <cell r="BR145">
            <v>0</v>
          </cell>
          <cell r="BT145">
            <v>0</v>
          </cell>
          <cell r="BV145">
            <v>0</v>
          </cell>
          <cell r="BX145">
            <v>0</v>
          </cell>
          <cell r="CD145">
            <v>0</v>
          </cell>
          <cell r="CG145" t="str">
            <v>GRT</v>
          </cell>
          <cell r="CL145">
            <v>0</v>
          </cell>
          <cell r="CO145" t="str">
            <v>GRT</v>
          </cell>
          <cell r="CP145">
            <v>0</v>
          </cell>
          <cell r="CR145">
            <v>0</v>
          </cell>
          <cell r="CT145">
            <v>0</v>
          </cell>
          <cell r="CV145">
            <v>0</v>
          </cell>
        </row>
        <row r="146">
          <cell r="B146" t="str">
            <v>ADM</v>
          </cell>
          <cell r="D146" t="str">
            <v>ADMISSIONS DEPARTMENT</v>
          </cell>
          <cell r="F146" t="str">
            <v>ZZZ</v>
          </cell>
          <cell r="H146" t="str">
            <v>XXXXXXXXX</v>
          </cell>
          <cell r="J146" t="str">
            <v>XXXXXXXXX</v>
          </cell>
          <cell r="L146">
            <v>0</v>
          </cell>
          <cell r="N146" t="str">
            <v>XXXXXXXXX</v>
          </cell>
          <cell r="O146" t="str">
            <v>ADM</v>
          </cell>
          <cell r="P146">
            <v>0</v>
          </cell>
          <cell r="R146">
            <v>0</v>
          </cell>
          <cell r="T146">
            <v>0</v>
          </cell>
          <cell r="AD146">
            <v>0</v>
          </cell>
          <cell r="AF146">
            <v>0</v>
          </cell>
          <cell r="AH146">
            <v>0</v>
          </cell>
          <cell r="AJ146">
            <v>0</v>
          </cell>
          <cell r="AT146">
            <v>0</v>
          </cell>
          <cell r="AV146">
            <v>0</v>
          </cell>
          <cell r="AX146">
            <v>0</v>
          </cell>
          <cell r="AZ146">
            <v>0</v>
          </cell>
          <cell r="BB146">
            <v>0</v>
          </cell>
          <cell r="BD146">
            <v>0</v>
          </cell>
          <cell r="BF146">
            <v>0</v>
          </cell>
          <cell r="BH146">
            <v>0</v>
          </cell>
          <cell r="BN146">
            <v>0</v>
          </cell>
          <cell r="BR146">
            <v>0</v>
          </cell>
          <cell r="BT146">
            <v>0</v>
          </cell>
          <cell r="BV146">
            <v>0</v>
          </cell>
          <cell r="BX146">
            <v>0</v>
          </cell>
          <cell r="CD146">
            <v>0</v>
          </cell>
          <cell r="CG146" t="str">
            <v>ADM</v>
          </cell>
          <cell r="CL146">
            <v>0</v>
          </cell>
          <cell r="CO146" t="str">
            <v>IHC</v>
          </cell>
          <cell r="CP146">
            <v>0</v>
          </cell>
          <cell r="CR146">
            <v>0</v>
          </cell>
          <cell r="CT146">
            <v>0</v>
          </cell>
          <cell r="CV146">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
          <cell r="A13" t="str">
            <v>MSG</v>
          </cell>
          <cell r="C13">
            <v>51197932.594653182</v>
          </cell>
          <cell r="E13">
            <v>44103.226899999994</v>
          </cell>
          <cell r="K13">
            <v>1160.8659092165701</v>
          </cell>
        </row>
        <row r="14">
          <cell r="A14" t="str">
            <v>PED</v>
          </cell>
          <cell r="C14">
            <v>0</v>
          </cell>
          <cell r="E14">
            <v>0</v>
          </cell>
          <cell r="K14">
            <v>0</v>
          </cell>
        </row>
        <row r="15">
          <cell r="A15" t="str">
            <v>PSY</v>
          </cell>
          <cell r="C15">
            <v>5892311.9872732144</v>
          </cell>
          <cell r="E15">
            <v>5527.8809999999994</v>
          </cell>
          <cell r="K15">
            <v>1065.9259827180099</v>
          </cell>
        </row>
        <row r="16">
          <cell r="A16" t="str">
            <v>OBS</v>
          </cell>
          <cell r="C16">
            <v>4004297.2183084167</v>
          </cell>
          <cell r="E16">
            <v>5601.3846999999996</v>
          </cell>
          <cell r="K16">
            <v>714.87630876494109</v>
          </cell>
        </row>
        <row r="17">
          <cell r="A17" t="str">
            <v>DEF</v>
          </cell>
          <cell r="C17">
            <v>0</v>
          </cell>
          <cell r="E17">
            <v>0</v>
          </cell>
          <cell r="K17">
            <v>0</v>
          </cell>
        </row>
        <row r="18">
          <cell r="A18" t="str">
            <v>MIS</v>
          </cell>
          <cell r="C18">
            <v>13749834.012933904</v>
          </cell>
          <cell r="E18">
            <v>5473.5083999999997</v>
          </cell>
          <cell r="K18">
            <v>2512.0695919520113</v>
          </cell>
        </row>
        <row r="19">
          <cell r="A19" t="str">
            <v>CCU</v>
          </cell>
          <cell r="C19">
            <v>0</v>
          </cell>
          <cell r="E19">
            <v>0</v>
          </cell>
          <cell r="K19">
            <v>0</v>
          </cell>
        </row>
        <row r="20">
          <cell r="A20" t="str">
            <v>PIC</v>
          </cell>
          <cell r="C20">
            <v>0</v>
          </cell>
          <cell r="E20">
            <v>0</v>
          </cell>
          <cell r="K20">
            <v>0</v>
          </cell>
        </row>
        <row r="21">
          <cell r="A21" t="str">
            <v>NEO</v>
          </cell>
          <cell r="C21">
            <v>6051484.5339589156</v>
          </cell>
          <cell r="E21">
            <v>3243.2248999999997</v>
          </cell>
          <cell r="K21">
            <v>1865.8849511049684</v>
          </cell>
        </row>
        <row r="22">
          <cell r="A22" t="str">
            <v>BUR</v>
          </cell>
          <cell r="C22">
            <v>0</v>
          </cell>
          <cell r="E22">
            <v>0</v>
          </cell>
          <cell r="K22">
            <v>0</v>
          </cell>
        </row>
        <row r="23">
          <cell r="A23" t="str">
            <v>PSI</v>
          </cell>
          <cell r="C23">
            <v>0</v>
          </cell>
          <cell r="E23">
            <v>0</v>
          </cell>
          <cell r="K23">
            <v>0</v>
          </cell>
        </row>
        <row r="24">
          <cell r="A24" t="str">
            <v>TRM</v>
          </cell>
          <cell r="C24">
            <v>0</v>
          </cell>
          <cell r="E24">
            <v>0</v>
          </cell>
          <cell r="K24">
            <v>0</v>
          </cell>
        </row>
        <row r="25">
          <cell r="A25" t="str">
            <v>ONC</v>
          </cell>
          <cell r="C25">
            <v>0</v>
          </cell>
          <cell r="E25">
            <v>0</v>
          </cell>
          <cell r="K25">
            <v>0</v>
          </cell>
        </row>
        <row r="26">
          <cell r="A26" t="str">
            <v>NUR</v>
          </cell>
          <cell r="C26">
            <v>1684047.4957746589</v>
          </cell>
          <cell r="E26">
            <v>4414.2495999999992</v>
          </cell>
          <cell r="K26">
            <v>381.50255385981325</v>
          </cell>
        </row>
        <row r="27">
          <cell r="A27" t="str">
            <v>PRE</v>
          </cell>
          <cell r="C27">
            <v>0</v>
          </cell>
          <cell r="E27">
            <v>0</v>
          </cell>
          <cell r="K27">
            <v>0</v>
          </cell>
        </row>
        <row r="28">
          <cell r="A28" t="str">
            <v>ECF</v>
          </cell>
          <cell r="C28">
            <v>0</v>
          </cell>
          <cell r="E28">
            <v>0</v>
          </cell>
          <cell r="K28">
            <v>0</v>
          </cell>
        </row>
        <row r="29">
          <cell r="A29" t="str">
            <v>CHR</v>
          </cell>
          <cell r="C29">
            <v>0</v>
          </cell>
          <cell r="E29">
            <v>0</v>
          </cell>
          <cell r="K29">
            <v>0</v>
          </cell>
        </row>
        <row r="30">
          <cell r="A30" t="str">
            <v>EMG</v>
          </cell>
          <cell r="C30">
            <v>17854678.974394519</v>
          </cell>
          <cell r="E30">
            <v>490357.27929999994</v>
          </cell>
          <cell r="K30">
            <v>36.411571170887115</v>
          </cell>
        </row>
        <row r="31">
          <cell r="A31" t="str">
            <v>CL</v>
          </cell>
          <cell r="C31">
            <v>10885063.118178509</v>
          </cell>
          <cell r="E31">
            <v>259642.25469999996</v>
          </cell>
          <cell r="K31">
            <v>41.923311483932011</v>
          </cell>
        </row>
        <row r="32">
          <cell r="A32" t="str">
            <v>PDC</v>
          </cell>
          <cell r="C32">
            <v>444258.41093330219</v>
          </cell>
          <cell r="E32">
            <v>1747.9783999999997</v>
          </cell>
          <cell r="K32">
            <v>254.15554959563704</v>
          </cell>
        </row>
        <row r="33">
          <cell r="A33" t="str">
            <v>AMS</v>
          </cell>
          <cell r="C33">
            <v>0</v>
          </cell>
          <cell r="E33">
            <v>0</v>
          </cell>
          <cell r="G33">
            <v>1</v>
          </cell>
          <cell r="K33">
            <v>0</v>
          </cell>
        </row>
        <row r="34">
          <cell r="A34" t="str">
            <v>SDS</v>
          </cell>
          <cell r="C34">
            <v>3649665.6571436771</v>
          </cell>
          <cell r="E34">
            <v>5561.1086999999998</v>
          </cell>
          <cell r="K34">
            <v>656.28381929374575</v>
          </cell>
        </row>
        <row r="35">
          <cell r="A35" t="str">
            <v>DEL</v>
          </cell>
          <cell r="C35">
            <v>8774712.5227459483</v>
          </cell>
          <cell r="E35">
            <v>97967.342399999994</v>
          </cell>
          <cell r="K35">
            <v>89.567730508794014</v>
          </cell>
        </row>
        <row r="36">
          <cell r="A36" t="str">
            <v>OR</v>
          </cell>
          <cell r="C36">
            <v>42126342.785677962</v>
          </cell>
          <cell r="E36">
            <v>1298068.2936999998</v>
          </cell>
          <cell r="K36">
            <v>32.453102036412503</v>
          </cell>
        </row>
        <row r="37">
          <cell r="A37" t="str">
            <v>ORC</v>
          </cell>
          <cell r="C37">
            <v>28009.713408623764</v>
          </cell>
          <cell r="E37">
            <v>4222.9385999999995</v>
          </cell>
          <cell r="K37">
            <v>6.6327541225969444</v>
          </cell>
        </row>
        <row r="38">
          <cell r="A38" t="str">
            <v>ANS</v>
          </cell>
          <cell r="C38">
            <v>2451824.1741557489</v>
          </cell>
          <cell r="E38">
            <v>1150230.2011999998</v>
          </cell>
          <cell r="K38">
            <v>2.1315943292028292</v>
          </cell>
        </row>
        <row r="39">
          <cell r="A39" t="str">
            <v>LAB</v>
          </cell>
          <cell r="C39">
            <v>21866939.695387281</v>
          </cell>
          <cell r="E39">
            <v>11772368.702399999</v>
          </cell>
          <cell r="K39">
            <v>1.8574800236191491</v>
          </cell>
        </row>
        <row r="40">
          <cell r="A40" t="str">
            <v>BB</v>
          </cell>
          <cell r="C40">
            <v>0</v>
          </cell>
          <cell r="E40">
            <v>0</v>
          </cell>
          <cell r="K40">
            <v>0</v>
          </cell>
        </row>
        <row r="41">
          <cell r="A41" t="str">
            <v>EKG</v>
          </cell>
          <cell r="C41">
            <v>2574458.0063404627</v>
          </cell>
          <cell r="E41">
            <v>757739.57429999998</v>
          </cell>
          <cell r="K41">
            <v>3.3975498887183604</v>
          </cell>
        </row>
        <row r="42">
          <cell r="A42" t="str">
            <v>IRC</v>
          </cell>
          <cell r="C42">
            <v>18901143.514070634</v>
          </cell>
          <cell r="E42">
            <v>180981.21289999998</v>
          </cell>
          <cell r="K42">
            <v>104.43704742168094</v>
          </cell>
        </row>
        <row r="43">
          <cell r="A43" t="str">
            <v>RAD</v>
          </cell>
          <cell r="C43">
            <v>11661783.286999183</v>
          </cell>
          <cell r="E43">
            <v>391784.79</v>
          </cell>
          <cell r="K43">
            <v>29.765788730591566</v>
          </cell>
        </row>
        <row r="44">
          <cell r="A44" t="str">
            <v>CAT</v>
          </cell>
          <cell r="C44">
            <v>3087035.7617182778</v>
          </cell>
          <cell r="E44">
            <v>587476.81189999997</v>
          </cell>
          <cell r="K44">
            <v>5.2547363558644617</v>
          </cell>
        </row>
        <row r="45">
          <cell r="A45" t="str">
            <v>RAT</v>
          </cell>
          <cell r="C45">
            <v>11514218.886008348</v>
          </cell>
          <cell r="E45">
            <v>363252.26469999994</v>
          </cell>
          <cell r="K45">
            <v>31.697583208511102</v>
          </cell>
        </row>
        <row r="46">
          <cell r="A46" t="str">
            <v>NUC</v>
          </cell>
          <cell r="C46">
            <v>6346635.7143062064</v>
          </cell>
          <cell r="E46">
            <v>182262.99659999998</v>
          </cell>
          <cell r="K46">
            <v>34.821306752871678</v>
          </cell>
        </row>
        <row r="47">
          <cell r="A47" t="str">
            <v>RES</v>
          </cell>
          <cell r="C47">
            <v>5295540.7733069388</v>
          </cell>
          <cell r="E47">
            <v>3131508.3380999998</v>
          </cell>
          <cell r="K47">
            <v>1.6910511490191134</v>
          </cell>
        </row>
        <row r="48">
          <cell r="A48" t="str">
            <v>PUL</v>
          </cell>
          <cell r="C48">
            <v>463986.99168198503</v>
          </cell>
          <cell r="E48">
            <v>98702.379399999991</v>
          </cell>
          <cell r="K48">
            <v>4.700869366093368</v>
          </cell>
        </row>
        <row r="49">
          <cell r="A49" t="str">
            <v>EEG</v>
          </cell>
          <cell r="C49">
            <v>1395005.5091121099</v>
          </cell>
          <cell r="E49">
            <v>111103.35979999999</v>
          </cell>
          <cell r="K49">
            <v>12.555925505972953</v>
          </cell>
        </row>
        <row r="50">
          <cell r="A50" t="str">
            <v>PTH</v>
          </cell>
          <cell r="C50">
            <v>2938218.9365646327</v>
          </cell>
          <cell r="E50">
            <v>350103.15759999998</v>
          </cell>
          <cell r="K50">
            <v>8.3924376938113987</v>
          </cell>
        </row>
        <row r="51">
          <cell r="A51" t="str">
            <v>OTH</v>
          </cell>
          <cell r="C51">
            <v>2329677.4674216202</v>
          </cell>
          <cell r="E51">
            <v>320183.12409999996</v>
          </cell>
          <cell r="K51">
            <v>7.2760782566854232</v>
          </cell>
        </row>
        <row r="52">
          <cell r="A52" t="str">
            <v>STH</v>
          </cell>
          <cell r="C52">
            <v>299095.02665904333</v>
          </cell>
          <cell r="E52">
            <v>35916.123</v>
          </cell>
          <cell r="K52">
            <v>8.3275977938666532</v>
          </cell>
        </row>
        <row r="53">
          <cell r="A53" t="str">
            <v>REC</v>
          </cell>
          <cell r="C53">
            <v>0</v>
          </cell>
          <cell r="E53">
            <v>0</v>
          </cell>
          <cell r="K53">
            <v>0</v>
          </cell>
        </row>
        <row r="54">
          <cell r="A54" t="str">
            <v>AUD</v>
          </cell>
          <cell r="C54">
            <v>145436.95441862743</v>
          </cell>
          <cell r="E54">
            <v>8514.3463999999985</v>
          </cell>
          <cell r="I54">
            <v>1</v>
          </cell>
          <cell r="K54">
            <v>17.081399744157398</v>
          </cell>
        </row>
        <row r="55">
          <cell r="A55" t="str">
            <v>OPM</v>
          </cell>
          <cell r="C55">
            <v>0</v>
          </cell>
          <cell r="E55">
            <v>0</v>
          </cell>
          <cell r="K55">
            <v>0</v>
          </cell>
        </row>
        <row r="56">
          <cell r="A56" t="str">
            <v>RDL</v>
          </cell>
          <cell r="C56">
            <v>703971.93646628631</v>
          </cell>
          <cell r="E56">
            <v>1006.8999999999999</v>
          </cell>
          <cell r="I56">
            <v>1</v>
          </cell>
          <cell r="K56">
            <v>699.14781653221416</v>
          </cell>
        </row>
        <row r="57">
          <cell r="A57" t="str">
            <v>AOR</v>
          </cell>
          <cell r="C57">
            <v>0</v>
          </cell>
          <cell r="E57">
            <v>0</v>
          </cell>
          <cell r="K57">
            <v>0</v>
          </cell>
        </row>
        <row r="58">
          <cell r="A58" t="str">
            <v>LEU</v>
          </cell>
          <cell r="C58">
            <v>0</v>
          </cell>
          <cell r="E58">
            <v>0</v>
          </cell>
          <cell r="K58">
            <v>0</v>
          </cell>
        </row>
        <row r="59">
          <cell r="A59" t="str">
            <v>HYP</v>
          </cell>
          <cell r="C59">
            <v>0</v>
          </cell>
          <cell r="E59">
            <v>0</v>
          </cell>
          <cell r="K59">
            <v>0</v>
          </cell>
        </row>
        <row r="60">
          <cell r="A60" t="str">
            <v>FSE</v>
          </cell>
          <cell r="C60">
            <v>0</v>
          </cell>
          <cell r="E60">
            <v>0</v>
          </cell>
          <cell r="K60">
            <v>0</v>
          </cell>
        </row>
        <row r="61">
          <cell r="A61" t="str">
            <v>OPM</v>
          </cell>
          <cell r="C61">
            <v>0</v>
          </cell>
          <cell r="E61">
            <v>0</v>
          </cell>
          <cell r="K61">
            <v>0</v>
          </cell>
        </row>
        <row r="62">
          <cell r="A62" t="str">
            <v>MRI</v>
          </cell>
          <cell r="C62">
            <v>1472945.5812056714</v>
          </cell>
          <cell r="E62">
            <v>28211.324199999999</v>
          </cell>
          <cell r="K62">
            <v>52.21114651561345</v>
          </cell>
        </row>
        <row r="63">
          <cell r="A63" t="str">
            <v>ADD</v>
          </cell>
          <cell r="C63">
            <v>0</v>
          </cell>
          <cell r="E63">
            <v>0</v>
          </cell>
          <cell r="K63">
            <v>0</v>
          </cell>
        </row>
        <row r="64">
          <cell r="A64" t="str">
            <v>LIT</v>
          </cell>
          <cell r="C64">
            <v>47007.605981429449</v>
          </cell>
          <cell r="E64">
            <v>21.1449</v>
          </cell>
          <cell r="K64">
            <v>2223.117914079965</v>
          </cell>
        </row>
        <row r="65">
          <cell r="A65" t="str">
            <v>RHB</v>
          </cell>
          <cell r="C65">
            <v>0</v>
          </cell>
          <cell r="E65">
            <v>0</v>
          </cell>
          <cell r="K65">
            <v>0</v>
          </cell>
        </row>
        <row r="66">
          <cell r="A66" t="str">
            <v>OBV</v>
          </cell>
          <cell r="C66">
            <v>3449944.2224039244</v>
          </cell>
          <cell r="E66">
            <v>45678.018499999998</v>
          </cell>
          <cell r="K66">
            <v>75.52744921288398</v>
          </cell>
        </row>
        <row r="67">
          <cell r="A67" t="str">
            <v>AMR</v>
          </cell>
          <cell r="C67">
            <v>9.5766912968901377</v>
          </cell>
          <cell r="E67">
            <v>1.0068999999999999</v>
          </cell>
          <cell r="I67">
            <v>1</v>
          </cell>
          <cell r="K67">
            <v>9.5110649487438064</v>
          </cell>
        </row>
        <row r="68">
          <cell r="A68" t="str">
            <v>TMT</v>
          </cell>
          <cell r="C68">
            <v>5051.1726207041638</v>
          </cell>
          <cell r="E68">
            <v>1.0068999999999999</v>
          </cell>
          <cell r="I68">
            <v>1</v>
          </cell>
          <cell r="K68">
            <v>5016.5583679652045</v>
          </cell>
        </row>
        <row r="69">
          <cell r="A69" t="str">
            <v>OCL</v>
          </cell>
          <cell r="C69">
            <v>0</v>
          </cell>
          <cell r="E69">
            <v>0</v>
          </cell>
          <cell r="K69">
            <v>0</v>
          </cell>
        </row>
        <row r="70">
          <cell r="A70" t="str">
            <v>TNA</v>
          </cell>
          <cell r="C70">
            <v>5021.378470002729</v>
          </cell>
          <cell r="E70">
            <v>1.0068999999999999</v>
          </cell>
          <cell r="I70">
            <v>1</v>
          </cell>
          <cell r="K70">
            <v>4986.9683881246692</v>
          </cell>
        </row>
        <row r="71">
          <cell r="A71" t="str">
            <v>PAD</v>
          </cell>
          <cell r="C71">
            <v>0</v>
          </cell>
          <cell r="E71">
            <v>0</v>
          </cell>
          <cell r="K71">
            <v>0</v>
          </cell>
        </row>
        <row r="72">
          <cell r="A72" t="str">
            <v>PCD</v>
          </cell>
          <cell r="C72">
            <v>0</v>
          </cell>
          <cell r="E72">
            <v>0</v>
          </cell>
          <cell r="K72">
            <v>0</v>
          </cell>
        </row>
        <row r="73">
          <cell r="A73" t="str">
            <v>PSG</v>
          </cell>
          <cell r="C73">
            <v>0</v>
          </cell>
          <cell r="E73">
            <v>0</v>
          </cell>
          <cell r="K73">
            <v>0</v>
          </cell>
        </row>
        <row r="74">
          <cell r="A74" t="str">
            <v>ITH</v>
          </cell>
          <cell r="C74">
            <v>0</v>
          </cell>
          <cell r="E74">
            <v>0</v>
          </cell>
          <cell r="K74">
            <v>0</v>
          </cell>
        </row>
        <row r="75">
          <cell r="A75" t="str">
            <v>GTH</v>
          </cell>
          <cell r="C75">
            <v>0</v>
          </cell>
          <cell r="E75">
            <v>0</v>
          </cell>
          <cell r="K75">
            <v>0</v>
          </cell>
        </row>
        <row r="76">
          <cell r="A76" t="str">
            <v>FTH</v>
          </cell>
          <cell r="C76">
            <v>0</v>
          </cell>
          <cell r="E76">
            <v>0</v>
          </cell>
          <cell r="K76">
            <v>0</v>
          </cell>
        </row>
        <row r="77">
          <cell r="A77" t="str">
            <v>PST</v>
          </cell>
          <cell r="C77">
            <v>0</v>
          </cell>
          <cell r="E77">
            <v>0</v>
          </cell>
          <cell r="K77">
            <v>0</v>
          </cell>
        </row>
        <row r="78">
          <cell r="A78" t="str">
            <v>PSE</v>
          </cell>
          <cell r="C78">
            <v>0</v>
          </cell>
          <cell r="E78">
            <v>0</v>
          </cell>
          <cell r="K78">
            <v>0</v>
          </cell>
        </row>
        <row r="79">
          <cell r="A79" t="str">
            <v>OPT</v>
          </cell>
          <cell r="C79">
            <v>0</v>
          </cell>
          <cell r="E79">
            <v>0</v>
          </cell>
          <cell r="K79">
            <v>0</v>
          </cell>
        </row>
        <row r="80">
          <cell r="A80" t="str">
            <v>ETH</v>
          </cell>
          <cell r="C80">
            <v>0</v>
          </cell>
          <cell r="E80">
            <v>0</v>
          </cell>
          <cell r="K80">
            <v>0</v>
          </cell>
        </row>
        <row r="81">
          <cell r="A81" t="str">
            <v>ATH</v>
          </cell>
          <cell r="C81">
            <v>0</v>
          </cell>
          <cell r="E81">
            <v>0</v>
          </cell>
          <cell r="K81">
            <v>0</v>
          </cell>
        </row>
        <row r="82">
          <cell r="A82" t="str">
            <v>AMB</v>
          </cell>
          <cell r="C82">
            <v>0</v>
          </cell>
          <cell r="E82">
            <v>0</v>
          </cell>
          <cell r="K82">
            <v>0</v>
          </cell>
        </row>
        <row r="83">
          <cell r="A83" t="str">
            <v>ADM</v>
          </cell>
          <cell r="C83">
            <v>1251328.1126899107</v>
          </cell>
          <cell r="E83">
            <v>15214.258999999998</v>
          </cell>
          <cell r="K83">
            <v>82.247062620000804</v>
          </cell>
        </row>
        <row r="84">
          <cell r="A84" t="str">
            <v>MSS</v>
          </cell>
          <cell r="C84">
            <v>67682878.018238693</v>
          </cell>
          <cell r="E84">
            <v>46702535</v>
          </cell>
          <cell r="K84">
            <v>1.4492334948892751</v>
          </cell>
        </row>
        <row r="85">
          <cell r="A85" t="str">
            <v>CDS</v>
          </cell>
          <cell r="C85">
            <v>37255961.829509526</v>
          </cell>
          <cell r="E85">
            <v>20578761</v>
          </cell>
          <cell r="K85">
            <v>1.8104084026006</v>
          </cell>
        </row>
        <row r="86">
          <cell r="A86" t="str">
            <v>OA</v>
          </cell>
          <cell r="C86">
            <v>0</v>
          </cell>
          <cell r="E86">
            <v>0</v>
          </cell>
          <cell r="K86">
            <v>0</v>
          </cell>
        </row>
      </sheetData>
      <sheetData sheetId="19" refreshError="1"/>
      <sheetData sheetId="20" refreshError="1"/>
      <sheetData sheetId="21" refreshError="1"/>
      <sheetData sheetId="22" refreshError="1"/>
      <sheetData sheetId="23" refreshError="1"/>
      <sheetData sheetId="24" refreshError="1"/>
      <sheetData sheetId="25">
        <row r="1">
          <cell r="A1" t="str">
            <v>INPUT - Supplemental Births Schedule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02">
          <cell r="J102">
            <v>3891.3855477230186</v>
          </cell>
        </row>
      </sheetData>
      <sheetData sheetId="39">
        <row r="245">
          <cell r="J245">
            <v>0</v>
          </cell>
        </row>
      </sheetData>
      <sheetData sheetId="40">
        <row r="83">
          <cell r="F83">
            <v>672.93815990542339</v>
          </cell>
        </row>
      </sheetData>
      <sheetData sheetId="41">
        <row r="283">
          <cell r="J283">
            <v>0</v>
          </cell>
        </row>
      </sheetData>
      <sheetData sheetId="42">
        <row r="284">
          <cell r="J284">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17">
          <cell r="C1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4">
          <cell r="B4" t="str">
            <v>UNITS</v>
          </cell>
          <cell r="D4" t="str">
            <v>PAT CARE</v>
          </cell>
          <cell r="E4" t="str">
            <v>OTHER</v>
          </cell>
          <cell r="G4" t="str">
            <v>PHYSICIAN</v>
          </cell>
          <cell r="H4" t="str">
            <v>RESIDENT</v>
          </cell>
          <cell r="J4" t="str">
            <v>-------- C F A --------</v>
          </cell>
          <cell r="Q4" t="str">
            <v>-------- O F C --------</v>
          </cell>
          <cell r="T4" t="str">
            <v>PAYOR</v>
          </cell>
          <cell r="Y4" t="str">
            <v>ADJUST</v>
          </cell>
        </row>
        <row r="5">
          <cell r="B5" t="str">
            <v>OF</v>
          </cell>
          <cell r="C5" t="str">
            <v>DIRECT</v>
          </cell>
          <cell r="D5" t="str">
            <v>OVERHEAD</v>
          </cell>
          <cell r="E5" t="str">
            <v>OVERHEAD</v>
          </cell>
          <cell r="F5" t="str">
            <v>N/A</v>
          </cell>
          <cell r="G5" t="str">
            <v>SUPPORT</v>
          </cell>
          <cell r="H5" t="str">
            <v>INTERN</v>
          </cell>
          <cell r="I5" t="str">
            <v>LEVEL</v>
          </cell>
          <cell r="J5" t="str">
            <v>BLDG &amp; GENRL</v>
          </cell>
          <cell r="K5" t="str">
            <v>DEPART-</v>
          </cell>
          <cell r="L5" t="str">
            <v>LEVEL</v>
          </cell>
          <cell r="S5" t="str">
            <v>LEVEL</v>
          </cell>
          <cell r="T5" t="str">
            <v>DIFFER-</v>
          </cell>
          <cell r="U5" t="str">
            <v>LEVEL</v>
          </cell>
          <cell r="V5" t="str">
            <v>CROSS</v>
          </cell>
          <cell r="W5" t="str">
            <v>MISC</v>
          </cell>
          <cell r="X5" t="str">
            <v>HSCRC</v>
          </cell>
          <cell r="Y5" t="str">
            <v>LEVEL</v>
          </cell>
          <cell r="Z5" t="str">
            <v>AVERAGE</v>
          </cell>
        </row>
        <row r="6">
          <cell r="B6" t="str">
            <v>MEASURE</v>
          </cell>
          <cell r="C6" t="str">
            <v>EXPENSES</v>
          </cell>
          <cell r="D6" t="str">
            <v>EXPENSES</v>
          </cell>
          <cell r="E6" t="str">
            <v>EXPENSES</v>
          </cell>
          <cell r="G6" t="str">
            <v>EXPENSES</v>
          </cell>
          <cell r="H6" t="str">
            <v>EXPENSES</v>
          </cell>
          <cell r="I6" t="str">
            <v>I</v>
          </cell>
          <cell r="J6" t="str">
            <v>EQUIPMENT</v>
          </cell>
          <cell r="K6" t="str">
            <v>MENTAL</v>
          </cell>
          <cell r="L6" t="str">
            <v>II</v>
          </cell>
          <cell r="Q6" t="str">
            <v>DIRECT</v>
          </cell>
          <cell r="R6" t="str">
            <v>PERCENTAGE</v>
          </cell>
          <cell r="S6" t="str">
            <v>III</v>
          </cell>
          <cell r="T6" t="str">
            <v>ENTIAL</v>
          </cell>
          <cell r="U6" t="str">
            <v>IV</v>
          </cell>
          <cell r="V6" t="str">
            <v>SUBSIDY</v>
          </cell>
          <cell r="W6" t="str">
            <v>ADJ</v>
          </cell>
          <cell r="X6" t="str">
            <v>ADJ</v>
          </cell>
          <cell r="Y6" t="str">
            <v>IV</v>
          </cell>
          <cell r="Z6" t="str">
            <v>RATES</v>
          </cell>
        </row>
        <row r="8">
          <cell r="A8" t="str">
            <v>CODE</v>
          </cell>
          <cell r="B8" t="str">
            <v>COL 1</v>
          </cell>
          <cell r="C8" t="str">
            <v>COL 2</v>
          </cell>
          <cell r="D8" t="str">
            <v>COL 3</v>
          </cell>
          <cell r="E8" t="str">
            <v>COL 4</v>
          </cell>
          <cell r="F8" t="str">
            <v>COL 5</v>
          </cell>
          <cell r="G8" t="str">
            <v>COL 6</v>
          </cell>
          <cell r="H8" t="str">
            <v>COL 7</v>
          </cell>
          <cell r="I8" t="str">
            <v>COL 8</v>
          </cell>
          <cell r="J8" t="str">
            <v>COL 9</v>
          </cell>
          <cell r="K8" t="str">
            <v>COL 10</v>
          </cell>
          <cell r="L8" t="str">
            <v>COL 11</v>
          </cell>
          <cell r="O8" t="str">
            <v>DESCRIPTION</v>
          </cell>
          <cell r="P8" t="str">
            <v>CODE</v>
          </cell>
          <cell r="Q8" t="str">
            <v>COL 1</v>
          </cell>
          <cell r="R8" t="str">
            <v>COL 2</v>
          </cell>
          <cell r="S8" t="str">
            <v>COL 3</v>
          </cell>
          <cell r="T8" t="str">
            <v>COL 4</v>
          </cell>
          <cell r="U8" t="str">
            <v>COL 5</v>
          </cell>
          <cell r="V8" t="str">
            <v>COL 6</v>
          </cell>
          <cell r="W8" t="str">
            <v>COL 7</v>
          </cell>
          <cell r="X8" t="str">
            <v>COL 8</v>
          </cell>
          <cell r="Y8" t="str">
            <v>COL 9</v>
          </cell>
          <cell r="Z8" t="str">
            <v>COL 10</v>
          </cell>
        </row>
        <row r="9">
          <cell r="A9" t="str">
            <v>MSG</v>
          </cell>
          <cell r="B9">
            <v>43801</v>
          </cell>
          <cell r="C9">
            <v>27547.702819874721</v>
          </cell>
          <cell r="D9">
            <v>7621.1544327530046</v>
          </cell>
          <cell r="E9">
            <v>8637.2075233668711</v>
          </cell>
          <cell r="F9" t="str">
            <v xml:space="preserve"> /////////</v>
          </cell>
          <cell r="G9">
            <v>466.72997993071078</v>
          </cell>
          <cell r="H9">
            <v>0</v>
          </cell>
          <cell r="I9">
            <v>44272.794755925308</v>
          </cell>
          <cell r="J9">
            <v>5331.9</v>
          </cell>
          <cell r="K9">
            <v>14.799999999999999</v>
          </cell>
          <cell r="L9">
            <v>49619.494755925312</v>
          </cell>
          <cell r="M9">
            <v>0</v>
          </cell>
          <cell r="N9" t="str">
            <v>A1</v>
          </cell>
          <cell r="O9" t="str">
            <v>Med/Surg Acute</v>
          </cell>
          <cell r="P9" t="str">
            <v>MSG</v>
          </cell>
          <cell r="Q9">
            <v>0</v>
          </cell>
          <cell r="R9">
            <v>-1952.95</v>
          </cell>
          <cell r="S9">
            <v>47666.544755925315</v>
          </cell>
          <cell r="T9">
            <v>4794.7</v>
          </cell>
          <cell r="U9">
            <v>52461.244755925312</v>
          </cell>
          <cell r="V9">
            <v>0</v>
          </cell>
          <cell r="W9">
            <v>0</v>
          </cell>
          <cell r="X9">
            <v>0</v>
          </cell>
          <cell r="Y9">
            <v>52461.244755925312</v>
          </cell>
          <cell r="Z9">
            <v>1197.7179689031143</v>
          </cell>
        </row>
        <row r="10">
          <cell r="A10" t="str">
            <v>PED</v>
          </cell>
          <cell r="B10">
            <v>0</v>
          </cell>
          <cell r="C10">
            <v>0</v>
          </cell>
          <cell r="D10">
            <v>0</v>
          </cell>
          <cell r="E10">
            <v>0</v>
          </cell>
          <cell r="F10" t="str">
            <v xml:space="preserve"> /////////</v>
          </cell>
          <cell r="G10">
            <v>0</v>
          </cell>
          <cell r="H10">
            <v>0</v>
          </cell>
          <cell r="I10">
            <v>0</v>
          </cell>
          <cell r="J10">
            <v>0</v>
          </cell>
          <cell r="K10">
            <v>0</v>
          </cell>
          <cell r="L10">
            <v>0</v>
          </cell>
          <cell r="M10">
            <v>0</v>
          </cell>
          <cell r="N10">
            <v>2</v>
          </cell>
          <cell r="O10" t="str">
            <v>Pediatric Acute</v>
          </cell>
          <cell r="P10" t="str">
            <v>PED</v>
          </cell>
          <cell r="Q10">
            <v>0</v>
          </cell>
          <cell r="R10">
            <v>0</v>
          </cell>
          <cell r="S10">
            <v>0</v>
          </cell>
          <cell r="T10">
            <v>0</v>
          </cell>
          <cell r="U10">
            <v>0</v>
          </cell>
          <cell r="V10">
            <v>0</v>
          </cell>
          <cell r="W10">
            <v>0</v>
          </cell>
          <cell r="X10">
            <v>0</v>
          </cell>
          <cell r="Y10">
            <v>0</v>
          </cell>
          <cell r="Z10">
            <v>0</v>
          </cell>
        </row>
        <row r="11">
          <cell r="A11" t="str">
            <v>PSY</v>
          </cell>
          <cell r="B11">
            <v>5490</v>
          </cell>
          <cell r="C11">
            <v>3239.0422893270052</v>
          </cell>
          <cell r="D11">
            <v>890.01961784726507</v>
          </cell>
          <cell r="E11">
            <v>1015.3528015196043</v>
          </cell>
          <cell r="F11" t="str">
            <v xml:space="preserve"> /////////</v>
          </cell>
          <cell r="G11">
            <v>0</v>
          </cell>
          <cell r="H11">
            <v>0</v>
          </cell>
          <cell r="I11">
            <v>5144.4147086938747</v>
          </cell>
          <cell r="J11">
            <v>564.29999999999995</v>
          </cell>
          <cell r="K11">
            <v>1.96</v>
          </cell>
          <cell r="L11">
            <v>5710.6747086938749</v>
          </cell>
          <cell r="M11">
            <v>0</v>
          </cell>
          <cell r="N11">
            <v>3</v>
          </cell>
          <cell r="O11" t="str">
            <v>Psychiatric Acute</v>
          </cell>
          <cell r="P11" t="str">
            <v>PSY</v>
          </cell>
          <cell r="Q11">
            <v>0</v>
          </cell>
          <cell r="R11">
            <v>-224.76400000000001</v>
          </cell>
          <cell r="S11">
            <v>5485.9107086938748</v>
          </cell>
          <cell r="T11">
            <v>551.79999999999995</v>
          </cell>
          <cell r="U11">
            <v>6037.7107086938749</v>
          </cell>
          <cell r="V11">
            <v>0</v>
          </cell>
          <cell r="W11">
            <v>0</v>
          </cell>
          <cell r="X11">
            <v>0</v>
          </cell>
          <cell r="Y11">
            <v>6037.7107086938749</v>
          </cell>
          <cell r="Z11">
            <v>1099.765156410542</v>
          </cell>
        </row>
        <row r="12">
          <cell r="A12" t="str">
            <v>OBS</v>
          </cell>
          <cell r="B12">
            <v>5563</v>
          </cell>
          <cell r="C12">
            <v>1937.8835006195845</v>
          </cell>
          <cell r="D12">
            <v>784.08116274256099</v>
          </cell>
          <cell r="E12">
            <v>615.96367050484162</v>
          </cell>
          <cell r="F12" t="str">
            <v xml:space="preserve"> /////////</v>
          </cell>
          <cell r="G12">
            <v>0</v>
          </cell>
          <cell r="H12">
            <v>0</v>
          </cell>
          <cell r="I12">
            <v>3337.928333866987</v>
          </cell>
          <cell r="J12">
            <v>541.29999999999995</v>
          </cell>
          <cell r="K12">
            <v>1.6400000000000001</v>
          </cell>
          <cell r="L12">
            <v>3880.8683338669866</v>
          </cell>
          <cell r="M12">
            <v>0</v>
          </cell>
          <cell r="N12">
            <v>4</v>
          </cell>
          <cell r="O12" t="str">
            <v>Obstetrics Acute</v>
          </cell>
          <cell r="P12" t="str">
            <v>OBS</v>
          </cell>
          <cell r="Q12">
            <v>0</v>
          </cell>
          <cell r="R12">
            <v>-152.745</v>
          </cell>
          <cell r="S12">
            <v>3728.1233338669867</v>
          </cell>
          <cell r="T12">
            <v>375</v>
          </cell>
          <cell r="U12">
            <v>4103.1233338669863</v>
          </cell>
          <cell r="V12">
            <v>0</v>
          </cell>
          <cell r="W12">
            <v>0</v>
          </cell>
          <cell r="X12">
            <v>0</v>
          </cell>
          <cell r="Y12">
            <v>4103.1233338669863</v>
          </cell>
          <cell r="Z12">
            <v>737.57385113553585</v>
          </cell>
        </row>
        <row r="13">
          <cell r="A13" t="str">
            <v>DEF</v>
          </cell>
          <cell r="B13">
            <v>0</v>
          </cell>
          <cell r="C13">
            <v>0</v>
          </cell>
          <cell r="D13">
            <v>0</v>
          </cell>
          <cell r="E13">
            <v>0</v>
          </cell>
          <cell r="F13" t="str">
            <v xml:space="preserve"> /////////</v>
          </cell>
          <cell r="G13">
            <v>0</v>
          </cell>
          <cell r="H13">
            <v>0</v>
          </cell>
          <cell r="I13">
            <v>0</v>
          </cell>
          <cell r="J13">
            <v>0</v>
          </cell>
          <cell r="K13">
            <v>0</v>
          </cell>
          <cell r="L13">
            <v>0</v>
          </cell>
          <cell r="M13">
            <v>0</v>
          </cell>
          <cell r="N13">
            <v>5</v>
          </cell>
          <cell r="O13" t="str">
            <v>Definitive Observation</v>
          </cell>
          <cell r="P13" t="str">
            <v>DEF</v>
          </cell>
          <cell r="Q13">
            <v>0</v>
          </cell>
          <cell r="R13">
            <v>0</v>
          </cell>
          <cell r="S13">
            <v>0</v>
          </cell>
          <cell r="T13">
            <v>0</v>
          </cell>
          <cell r="U13">
            <v>0</v>
          </cell>
          <cell r="V13">
            <v>0</v>
          </cell>
          <cell r="W13">
            <v>0</v>
          </cell>
          <cell r="X13">
            <v>0</v>
          </cell>
          <cell r="Y13">
            <v>0</v>
          </cell>
          <cell r="Z13">
            <v>0</v>
          </cell>
        </row>
        <row r="14">
          <cell r="A14" t="str">
            <v>MIS</v>
          </cell>
          <cell r="B14">
            <v>5436</v>
          </cell>
          <cell r="C14">
            <v>7789.4403556329953</v>
          </cell>
          <cell r="D14">
            <v>1488.7581337189581</v>
          </cell>
          <cell r="E14">
            <v>2419.7937001470655</v>
          </cell>
          <cell r="F14" t="str">
            <v xml:space="preserve"> /////////</v>
          </cell>
          <cell r="G14">
            <v>0</v>
          </cell>
          <cell r="H14">
            <v>0</v>
          </cell>
          <cell r="I14">
            <v>11697.992189499018</v>
          </cell>
          <cell r="J14">
            <v>1356.9</v>
          </cell>
          <cell r="K14">
            <v>270.956795</v>
          </cell>
          <cell r="L14">
            <v>13325.848984499018</v>
          </cell>
          <cell r="M14">
            <v>0</v>
          </cell>
          <cell r="N14">
            <v>6</v>
          </cell>
          <cell r="O14" t="str">
            <v>Med/Surg Intensive Care</v>
          </cell>
          <cell r="P14" t="str">
            <v>MIS</v>
          </cell>
          <cell r="Q14">
            <v>0</v>
          </cell>
          <cell r="R14">
            <v>-524.48599999999999</v>
          </cell>
          <cell r="S14">
            <v>12801.362984499017</v>
          </cell>
          <cell r="T14">
            <v>1287.7</v>
          </cell>
          <cell r="U14">
            <v>14089.062984499018</v>
          </cell>
          <cell r="V14">
            <v>0</v>
          </cell>
          <cell r="W14">
            <v>0</v>
          </cell>
          <cell r="X14">
            <v>0</v>
          </cell>
          <cell r="Y14">
            <v>14089.062984499018</v>
          </cell>
          <cell r="Z14">
            <v>2591.8070243743596</v>
          </cell>
        </row>
        <row r="15">
          <cell r="A15" t="str">
            <v>CCU</v>
          </cell>
          <cell r="B15">
            <v>0</v>
          </cell>
          <cell r="C15">
            <v>0</v>
          </cell>
          <cell r="D15">
            <v>0</v>
          </cell>
          <cell r="E15">
            <v>0</v>
          </cell>
          <cell r="F15" t="str">
            <v xml:space="preserve"> /////////</v>
          </cell>
          <cell r="G15">
            <v>0</v>
          </cell>
          <cell r="H15">
            <v>0</v>
          </cell>
          <cell r="I15">
            <v>0</v>
          </cell>
          <cell r="J15">
            <v>0</v>
          </cell>
          <cell r="K15">
            <v>0</v>
          </cell>
          <cell r="L15">
            <v>0</v>
          </cell>
          <cell r="M15">
            <v>0</v>
          </cell>
          <cell r="N15">
            <v>7</v>
          </cell>
          <cell r="O15" t="str">
            <v>Coronary Care</v>
          </cell>
          <cell r="P15" t="str">
            <v>CCU</v>
          </cell>
          <cell r="Q15">
            <v>0</v>
          </cell>
          <cell r="R15">
            <v>0</v>
          </cell>
          <cell r="S15">
            <v>0</v>
          </cell>
          <cell r="T15">
            <v>0</v>
          </cell>
          <cell r="U15">
            <v>0</v>
          </cell>
          <cell r="V15">
            <v>0</v>
          </cell>
          <cell r="W15">
            <v>0</v>
          </cell>
          <cell r="X15">
            <v>0</v>
          </cell>
          <cell r="Y15">
            <v>0</v>
          </cell>
          <cell r="Z15">
            <v>0</v>
          </cell>
        </row>
        <row r="16">
          <cell r="A16" t="str">
            <v>PIC</v>
          </cell>
          <cell r="B16">
            <v>0</v>
          </cell>
          <cell r="C16">
            <v>0</v>
          </cell>
          <cell r="D16">
            <v>0</v>
          </cell>
          <cell r="E16">
            <v>0</v>
          </cell>
          <cell r="F16" t="str">
            <v xml:space="preserve"> /////////</v>
          </cell>
          <cell r="G16">
            <v>0</v>
          </cell>
          <cell r="H16">
            <v>0</v>
          </cell>
          <cell r="I16">
            <v>0</v>
          </cell>
          <cell r="J16">
            <v>0</v>
          </cell>
          <cell r="K16">
            <v>0</v>
          </cell>
          <cell r="L16">
            <v>0</v>
          </cell>
          <cell r="M16">
            <v>0</v>
          </cell>
          <cell r="N16">
            <v>8</v>
          </cell>
          <cell r="O16" t="str">
            <v>Pediatric Intensive Care</v>
          </cell>
          <cell r="P16" t="str">
            <v>PIC</v>
          </cell>
          <cell r="Q16">
            <v>0</v>
          </cell>
          <cell r="R16">
            <v>0</v>
          </cell>
          <cell r="S16">
            <v>0</v>
          </cell>
          <cell r="T16">
            <v>0</v>
          </cell>
          <cell r="U16">
            <v>0</v>
          </cell>
          <cell r="V16">
            <v>0</v>
          </cell>
          <cell r="W16">
            <v>0</v>
          </cell>
          <cell r="X16">
            <v>0</v>
          </cell>
          <cell r="Y16">
            <v>0</v>
          </cell>
          <cell r="Z16">
            <v>0</v>
          </cell>
        </row>
        <row r="17">
          <cell r="A17" t="str">
            <v>NEO</v>
          </cell>
          <cell r="B17">
            <v>3221</v>
          </cell>
          <cell r="C17">
            <v>3949.5717497429428</v>
          </cell>
          <cell r="D17">
            <v>297.98910124194708</v>
          </cell>
          <cell r="E17">
            <v>1211.5207041412007</v>
          </cell>
          <cell r="F17" t="str">
            <v xml:space="preserve"> /////////</v>
          </cell>
          <cell r="G17">
            <v>2.0318942785368561</v>
          </cell>
          <cell r="H17">
            <v>0</v>
          </cell>
          <cell r="I17">
            <v>5461.1134494046273</v>
          </cell>
          <cell r="J17">
            <v>337.2</v>
          </cell>
          <cell r="K17">
            <v>66.591200000000001</v>
          </cell>
          <cell r="L17">
            <v>5864.904649404627</v>
          </cell>
          <cell r="M17">
            <v>0</v>
          </cell>
          <cell r="N17">
            <v>9</v>
          </cell>
          <cell r="O17" t="str">
            <v>Neo-Natal Intensive Care</v>
          </cell>
          <cell r="P17" t="str">
            <v>NEO</v>
          </cell>
          <cell r="Q17">
            <v>0</v>
          </cell>
          <cell r="R17">
            <v>-230.834</v>
          </cell>
          <cell r="S17">
            <v>5634.0706494046271</v>
          </cell>
          <cell r="T17">
            <v>566.70000000000005</v>
          </cell>
          <cell r="U17">
            <v>6200.770649404627</v>
          </cell>
          <cell r="V17">
            <v>0</v>
          </cell>
          <cell r="W17">
            <v>0</v>
          </cell>
          <cell r="X17">
            <v>0</v>
          </cell>
          <cell r="Y17">
            <v>6200.770649404627</v>
          </cell>
          <cell r="Z17">
            <v>1925.107311209136</v>
          </cell>
        </row>
        <row r="18">
          <cell r="A18" t="str">
            <v>BUR</v>
          </cell>
          <cell r="B18">
            <v>0</v>
          </cell>
          <cell r="C18">
            <v>0</v>
          </cell>
          <cell r="D18">
            <v>0</v>
          </cell>
          <cell r="E18">
            <v>0</v>
          </cell>
          <cell r="F18" t="str">
            <v xml:space="preserve"> /////////</v>
          </cell>
          <cell r="G18">
            <v>0</v>
          </cell>
          <cell r="H18">
            <v>0</v>
          </cell>
          <cell r="I18">
            <v>0</v>
          </cell>
          <cell r="J18">
            <v>0</v>
          </cell>
          <cell r="K18">
            <v>0</v>
          </cell>
          <cell r="L18">
            <v>0</v>
          </cell>
          <cell r="M18">
            <v>0</v>
          </cell>
          <cell r="N18">
            <v>10</v>
          </cell>
          <cell r="O18" t="str">
            <v>Burn Care</v>
          </cell>
          <cell r="P18" t="str">
            <v>BUR</v>
          </cell>
          <cell r="Q18">
            <v>0</v>
          </cell>
          <cell r="R18">
            <v>0</v>
          </cell>
          <cell r="S18">
            <v>0</v>
          </cell>
          <cell r="T18">
            <v>0</v>
          </cell>
          <cell r="U18">
            <v>0</v>
          </cell>
          <cell r="V18">
            <v>0</v>
          </cell>
          <cell r="W18">
            <v>0</v>
          </cell>
          <cell r="X18">
            <v>0</v>
          </cell>
          <cell r="Y18">
            <v>0</v>
          </cell>
          <cell r="Z18">
            <v>0</v>
          </cell>
        </row>
        <row r="19">
          <cell r="A19" t="str">
            <v>TRM</v>
          </cell>
          <cell r="B19">
            <v>0</v>
          </cell>
          <cell r="C19">
            <v>0</v>
          </cell>
          <cell r="D19">
            <v>0</v>
          </cell>
          <cell r="E19">
            <v>0</v>
          </cell>
          <cell r="F19" t="str">
            <v xml:space="preserve"> /////////</v>
          </cell>
          <cell r="G19">
            <v>0</v>
          </cell>
          <cell r="H19">
            <v>0</v>
          </cell>
          <cell r="I19">
            <v>0</v>
          </cell>
          <cell r="J19">
            <v>0</v>
          </cell>
          <cell r="K19">
            <v>0</v>
          </cell>
          <cell r="L19">
            <v>0</v>
          </cell>
          <cell r="M19">
            <v>0</v>
          </cell>
          <cell r="N19">
            <v>11</v>
          </cell>
          <cell r="O19" t="str">
            <v>Shock Trauma</v>
          </cell>
          <cell r="P19" t="str">
            <v>TRM</v>
          </cell>
          <cell r="Q19">
            <v>0</v>
          </cell>
          <cell r="R19">
            <v>0</v>
          </cell>
          <cell r="S19">
            <v>0</v>
          </cell>
          <cell r="T19">
            <v>0</v>
          </cell>
          <cell r="U19">
            <v>0</v>
          </cell>
          <cell r="V19">
            <v>0</v>
          </cell>
          <cell r="W19">
            <v>0</v>
          </cell>
          <cell r="X19">
            <v>0</v>
          </cell>
          <cell r="Y19">
            <v>0</v>
          </cell>
          <cell r="Z19">
            <v>0</v>
          </cell>
        </row>
        <row r="20">
          <cell r="A20" t="str">
            <v>ONC</v>
          </cell>
          <cell r="B20">
            <v>0</v>
          </cell>
          <cell r="C20">
            <v>0</v>
          </cell>
          <cell r="D20">
            <v>0</v>
          </cell>
          <cell r="E20">
            <v>0</v>
          </cell>
          <cell r="F20" t="str">
            <v xml:space="preserve"> /////////</v>
          </cell>
          <cell r="G20">
            <v>0</v>
          </cell>
          <cell r="H20">
            <v>0</v>
          </cell>
          <cell r="I20">
            <v>0</v>
          </cell>
          <cell r="J20">
            <v>0</v>
          </cell>
          <cell r="K20">
            <v>0</v>
          </cell>
          <cell r="L20">
            <v>0</v>
          </cell>
          <cell r="M20">
            <v>0</v>
          </cell>
          <cell r="N20">
            <v>12</v>
          </cell>
          <cell r="O20" t="str">
            <v>Oncology</v>
          </cell>
          <cell r="P20" t="str">
            <v>ONC</v>
          </cell>
          <cell r="Q20">
            <v>0</v>
          </cell>
          <cell r="R20">
            <v>0</v>
          </cell>
          <cell r="S20">
            <v>0</v>
          </cell>
          <cell r="T20">
            <v>0</v>
          </cell>
          <cell r="U20">
            <v>0</v>
          </cell>
          <cell r="V20">
            <v>0</v>
          </cell>
          <cell r="W20">
            <v>0</v>
          </cell>
          <cell r="X20">
            <v>0</v>
          </cell>
          <cell r="Y20">
            <v>0</v>
          </cell>
          <cell r="Z20">
            <v>0</v>
          </cell>
        </row>
        <row r="21">
          <cell r="A21" t="str">
            <v>NUR</v>
          </cell>
          <cell r="B21">
            <v>4384</v>
          </cell>
          <cell r="C21">
            <v>1216.09121</v>
          </cell>
          <cell r="D21">
            <v>16.676014187722195</v>
          </cell>
          <cell r="E21">
            <v>370.49954787797304</v>
          </cell>
          <cell r="F21" t="str">
            <v xml:space="preserve"> /////////</v>
          </cell>
          <cell r="G21">
            <v>0</v>
          </cell>
          <cell r="H21">
            <v>0</v>
          </cell>
          <cell r="I21">
            <v>1603.2667720656952</v>
          </cell>
          <cell r="J21">
            <v>28.9</v>
          </cell>
          <cell r="K21">
            <v>0</v>
          </cell>
          <cell r="L21">
            <v>1632.1667720656953</v>
          </cell>
          <cell r="M21">
            <v>0</v>
          </cell>
          <cell r="N21">
            <v>13</v>
          </cell>
          <cell r="O21" t="str">
            <v>Newborn Nursery</v>
          </cell>
          <cell r="P21" t="str">
            <v>NUR</v>
          </cell>
          <cell r="Q21">
            <v>0</v>
          </cell>
          <cell r="R21">
            <v>-64.239999999999995</v>
          </cell>
          <cell r="S21">
            <v>1567.9267720656953</v>
          </cell>
          <cell r="T21">
            <v>157.69999999999999</v>
          </cell>
          <cell r="U21">
            <v>1725.6267720656954</v>
          </cell>
          <cell r="V21">
            <v>0</v>
          </cell>
          <cell r="W21">
            <v>0</v>
          </cell>
          <cell r="X21">
            <v>0</v>
          </cell>
          <cell r="Y21">
            <v>1725.6267720656954</v>
          </cell>
          <cell r="Z21">
            <v>393.61924545294147</v>
          </cell>
        </row>
        <row r="22">
          <cell r="A22" t="str">
            <v>PRE</v>
          </cell>
          <cell r="B22">
            <v>0</v>
          </cell>
          <cell r="C22">
            <v>0</v>
          </cell>
          <cell r="D22">
            <v>0</v>
          </cell>
          <cell r="E22">
            <v>0</v>
          </cell>
          <cell r="F22" t="str">
            <v xml:space="preserve"> /////////</v>
          </cell>
          <cell r="G22">
            <v>0</v>
          </cell>
          <cell r="H22">
            <v>0</v>
          </cell>
          <cell r="I22">
            <v>0</v>
          </cell>
          <cell r="J22">
            <v>0</v>
          </cell>
          <cell r="K22">
            <v>0</v>
          </cell>
          <cell r="L22">
            <v>0</v>
          </cell>
          <cell r="M22">
            <v>0</v>
          </cell>
          <cell r="N22">
            <v>14</v>
          </cell>
          <cell r="O22" t="str">
            <v>Premature Nursery</v>
          </cell>
          <cell r="P22" t="str">
            <v>PRE</v>
          </cell>
          <cell r="Q22">
            <v>0</v>
          </cell>
          <cell r="R22">
            <v>0</v>
          </cell>
          <cell r="S22">
            <v>0</v>
          </cell>
          <cell r="T22">
            <v>0</v>
          </cell>
          <cell r="U22">
            <v>0</v>
          </cell>
          <cell r="V22">
            <v>0</v>
          </cell>
          <cell r="W22">
            <v>0</v>
          </cell>
          <cell r="X22">
            <v>0</v>
          </cell>
          <cell r="Y22">
            <v>0</v>
          </cell>
          <cell r="Z22">
            <v>0</v>
          </cell>
        </row>
        <row r="23">
          <cell r="A23" t="str">
            <v>CHR</v>
          </cell>
          <cell r="B23">
            <v>0</v>
          </cell>
          <cell r="C23">
            <v>0</v>
          </cell>
          <cell r="D23">
            <v>0</v>
          </cell>
          <cell r="E23">
            <v>0</v>
          </cell>
          <cell r="F23" t="str">
            <v xml:space="preserve"> /////////</v>
          </cell>
          <cell r="G23">
            <v>0</v>
          </cell>
          <cell r="H23">
            <v>0</v>
          </cell>
          <cell r="I23">
            <v>0</v>
          </cell>
          <cell r="J23">
            <v>0</v>
          </cell>
          <cell r="K23">
            <v>0</v>
          </cell>
          <cell r="L23">
            <v>0</v>
          </cell>
          <cell r="M23">
            <v>0</v>
          </cell>
          <cell r="N23">
            <v>15</v>
          </cell>
          <cell r="O23" t="str">
            <v>Intermediate Care</v>
          </cell>
          <cell r="P23" t="str">
            <v>ICC</v>
          </cell>
          <cell r="Q23">
            <v>0</v>
          </cell>
          <cell r="R23">
            <v>0</v>
          </cell>
          <cell r="S23">
            <v>0</v>
          </cell>
          <cell r="T23">
            <v>0</v>
          </cell>
          <cell r="U23">
            <v>0</v>
          </cell>
          <cell r="V23">
            <v>0</v>
          </cell>
          <cell r="W23">
            <v>0</v>
          </cell>
          <cell r="X23">
            <v>0</v>
          </cell>
          <cell r="Y23">
            <v>0</v>
          </cell>
          <cell r="Z23">
            <v>0</v>
          </cell>
        </row>
        <row r="24">
          <cell r="A24" t="str">
            <v>EMG</v>
          </cell>
          <cell r="B24">
            <v>486997</v>
          </cell>
          <cell r="C24">
            <v>9472.0940932641788</v>
          </cell>
          <cell r="D24">
            <v>1242.2166772502644</v>
          </cell>
          <cell r="E24">
            <v>3077.2870134523064</v>
          </cell>
          <cell r="F24" t="str">
            <v xml:space="preserve"> /////////</v>
          </cell>
          <cell r="G24">
            <v>0</v>
          </cell>
          <cell r="H24">
            <v>0</v>
          </cell>
          <cell r="I24">
            <v>13791.59778396675</v>
          </cell>
          <cell r="J24">
            <v>1256.7</v>
          </cell>
          <cell r="K24">
            <v>0.24000000000000002</v>
          </cell>
          <cell r="L24">
            <v>15048.537783966751</v>
          </cell>
          <cell r="M24">
            <v>0</v>
          </cell>
          <cell r="N24">
            <v>16</v>
          </cell>
          <cell r="O24" t="str">
            <v>Emergency Services</v>
          </cell>
          <cell r="P24" t="str">
            <v>EMG</v>
          </cell>
          <cell r="Q24">
            <v>0</v>
          </cell>
          <cell r="R24">
            <v>-592.28800000000001</v>
          </cell>
          <cell r="S24">
            <v>14456.24978396675</v>
          </cell>
          <cell r="T24">
            <v>1454.1</v>
          </cell>
          <cell r="U24">
            <v>15910.349783966751</v>
          </cell>
          <cell r="V24">
            <v>0</v>
          </cell>
          <cell r="W24">
            <v>0</v>
          </cell>
          <cell r="X24">
            <v>0</v>
          </cell>
          <cell r="Y24">
            <v>15910.349783966751</v>
          </cell>
          <cell r="Z24">
            <v>32.670324014248031</v>
          </cell>
        </row>
        <row r="25">
          <cell r="A25" t="str">
            <v>CL</v>
          </cell>
          <cell r="B25">
            <v>257863</v>
          </cell>
          <cell r="C25">
            <v>6276.5276017304577</v>
          </cell>
          <cell r="D25">
            <v>822.16894701876913</v>
          </cell>
          <cell r="E25">
            <v>2072.1915038225407</v>
          </cell>
          <cell r="F25" t="str">
            <v xml:space="preserve"> /////////</v>
          </cell>
          <cell r="G25">
            <v>0</v>
          </cell>
          <cell r="H25">
            <v>0</v>
          </cell>
          <cell r="I25">
            <v>9170.8880525717686</v>
          </cell>
          <cell r="J25">
            <v>859.3</v>
          </cell>
          <cell r="K25">
            <v>0.01</v>
          </cell>
          <cell r="L25">
            <v>10030.198052571768</v>
          </cell>
          <cell r="M25">
            <v>0</v>
          </cell>
          <cell r="N25">
            <v>17</v>
          </cell>
          <cell r="O25" t="str">
            <v>Clinical Services</v>
          </cell>
          <cell r="P25" t="str">
            <v>CL</v>
          </cell>
          <cell r="Q25">
            <v>0</v>
          </cell>
          <cell r="R25">
            <v>-394.774</v>
          </cell>
          <cell r="S25">
            <v>9635.4240525717687</v>
          </cell>
          <cell r="T25">
            <v>969.2</v>
          </cell>
          <cell r="U25">
            <v>10604.624052571769</v>
          </cell>
          <cell r="V25">
            <v>0</v>
          </cell>
          <cell r="W25">
            <v>0</v>
          </cell>
          <cell r="X25">
            <v>0</v>
          </cell>
          <cell r="Y25">
            <v>10604.624052571769</v>
          </cell>
          <cell r="Z25">
            <v>41.12503171285438</v>
          </cell>
        </row>
        <row r="26">
          <cell r="A26" t="str">
            <v>PDC</v>
          </cell>
          <cell r="B26">
            <v>1736</v>
          </cell>
          <cell r="C26">
            <v>234.61896250000001</v>
          </cell>
          <cell r="D26">
            <v>14.260386978501545</v>
          </cell>
          <cell r="E26">
            <v>77.552275900601984</v>
          </cell>
          <cell r="F26" t="str">
            <v xml:space="preserve"> /////////</v>
          </cell>
          <cell r="G26">
            <v>0</v>
          </cell>
          <cell r="H26">
            <v>0</v>
          </cell>
          <cell r="I26">
            <v>326.43162537910354</v>
          </cell>
          <cell r="J26">
            <v>18.600000000000001</v>
          </cell>
          <cell r="K26">
            <v>0</v>
          </cell>
          <cell r="L26">
            <v>345.03162537910356</v>
          </cell>
          <cell r="M26">
            <v>0</v>
          </cell>
          <cell r="N26">
            <v>18</v>
          </cell>
          <cell r="O26" t="str">
            <v>Psych. Day &amp; Night Care</v>
          </cell>
          <cell r="P26" t="str">
            <v>PDC</v>
          </cell>
          <cell r="Q26">
            <v>0</v>
          </cell>
          <cell r="R26">
            <v>-13.58</v>
          </cell>
          <cell r="S26">
            <v>331.45162537910358</v>
          </cell>
          <cell r="T26">
            <v>33.299999999999997</v>
          </cell>
          <cell r="U26">
            <v>364.75162537910359</v>
          </cell>
          <cell r="V26">
            <v>0</v>
          </cell>
          <cell r="W26">
            <v>0</v>
          </cell>
          <cell r="X26">
            <v>0</v>
          </cell>
          <cell r="Y26">
            <v>364.75162537910359</v>
          </cell>
          <cell r="Z26">
            <v>210.11038328289376</v>
          </cell>
        </row>
        <row r="27">
          <cell r="A27" t="str">
            <v>SDS</v>
          </cell>
          <cell r="B27">
            <v>5523</v>
          </cell>
          <cell r="C27">
            <v>1868.32448</v>
          </cell>
          <cell r="D27">
            <v>214.0682834360467</v>
          </cell>
          <cell r="E27">
            <v>575.57034416671445</v>
          </cell>
          <cell r="F27" t="str">
            <v xml:space="preserve"> /////////</v>
          </cell>
          <cell r="G27">
            <v>0</v>
          </cell>
          <cell r="H27">
            <v>0</v>
          </cell>
          <cell r="I27">
            <v>2657.9631076027608</v>
          </cell>
          <cell r="J27">
            <v>176.6</v>
          </cell>
          <cell r="K27">
            <v>0</v>
          </cell>
          <cell r="L27">
            <v>2834.5631076027607</v>
          </cell>
          <cell r="M27">
            <v>0</v>
          </cell>
          <cell r="N27">
            <v>19</v>
          </cell>
          <cell r="O27" t="str">
            <v>Same Day Surgery</v>
          </cell>
          <cell r="P27" t="str">
            <v>SDS</v>
          </cell>
          <cell r="Q27">
            <v>0</v>
          </cell>
          <cell r="R27">
            <v>-111.56399999999999</v>
          </cell>
          <cell r="S27">
            <v>2722.9991076027609</v>
          </cell>
          <cell r="T27">
            <v>273.89999999999998</v>
          </cell>
          <cell r="U27">
            <v>2996.899107602761</v>
          </cell>
          <cell r="V27">
            <v>0</v>
          </cell>
          <cell r="W27">
            <v>0</v>
          </cell>
          <cell r="X27">
            <v>0</v>
          </cell>
          <cell r="Y27">
            <v>2996.899107602761</v>
          </cell>
          <cell r="Z27">
            <v>542.62160195595891</v>
          </cell>
        </row>
        <row r="28">
          <cell r="A28" t="str">
            <v>DEL</v>
          </cell>
          <cell r="B28">
            <v>97296</v>
          </cell>
          <cell r="C28">
            <v>4211.2879685443313</v>
          </cell>
          <cell r="D28">
            <v>579.16378101559064</v>
          </cell>
          <cell r="E28">
            <v>1408.2553519949056</v>
          </cell>
          <cell r="F28" t="str">
            <v xml:space="preserve"> /////////</v>
          </cell>
          <cell r="G28">
            <v>0</v>
          </cell>
          <cell r="H28">
            <v>0</v>
          </cell>
          <cell r="I28">
            <v>6198.7071015548281</v>
          </cell>
          <cell r="J28">
            <v>616.29999999999995</v>
          </cell>
          <cell r="K28">
            <v>0.06</v>
          </cell>
          <cell r="L28">
            <v>6815.0671015548287</v>
          </cell>
          <cell r="M28">
            <v>0</v>
          </cell>
          <cell r="N28">
            <v>20</v>
          </cell>
          <cell r="O28" t="str">
            <v>Labor &amp; Delivery Services</v>
          </cell>
          <cell r="P28" t="str">
            <v>DEL</v>
          </cell>
          <cell r="Q28">
            <v>0</v>
          </cell>
          <cell r="R28">
            <v>-268.23099999999999</v>
          </cell>
          <cell r="S28">
            <v>6546.8361015548289</v>
          </cell>
          <cell r="T28">
            <v>658.5</v>
          </cell>
          <cell r="U28">
            <v>7205.3361015548289</v>
          </cell>
          <cell r="V28">
            <v>0</v>
          </cell>
          <cell r="W28">
            <v>0</v>
          </cell>
          <cell r="X28">
            <v>0</v>
          </cell>
          <cell r="Y28">
            <v>7205.3361015548289</v>
          </cell>
          <cell r="Z28">
            <v>74.05583067705588</v>
          </cell>
        </row>
        <row r="29">
          <cell r="A29" t="str">
            <v>OR</v>
          </cell>
          <cell r="B29">
            <v>1190372</v>
          </cell>
          <cell r="C29">
            <v>15891.246628009467</v>
          </cell>
          <cell r="D29">
            <v>3272.2986088437638</v>
          </cell>
          <cell r="E29">
            <v>5754.2755295842599</v>
          </cell>
          <cell r="F29" t="str">
            <v xml:space="preserve"> /////////</v>
          </cell>
          <cell r="G29">
            <v>389.00670070521306</v>
          </cell>
          <cell r="H29">
            <v>0</v>
          </cell>
          <cell r="I29">
            <v>25306.827467142706</v>
          </cell>
          <cell r="J29">
            <v>3485.2</v>
          </cell>
          <cell r="K29">
            <v>1418.5443459999999</v>
          </cell>
          <cell r="L29">
            <v>30210.571813142706</v>
          </cell>
          <cell r="M29">
            <v>0</v>
          </cell>
          <cell r="N29">
            <v>21</v>
          </cell>
          <cell r="O29" t="str">
            <v>Operating Room</v>
          </cell>
          <cell r="P29" t="str">
            <v>OR</v>
          </cell>
          <cell r="Q29">
            <v>0</v>
          </cell>
          <cell r="R29">
            <v>-1189.0440000000001</v>
          </cell>
          <cell r="S29">
            <v>29021.527813142704</v>
          </cell>
          <cell r="T29">
            <v>2919.2</v>
          </cell>
          <cell r="U29">
            <v>31940.727813142705</v>
          </cell>
          <cell r="V29">
            <v>0</v>
          </cell>
          <cell r="W29">
            <v>0</v>
          </cell>
          <cell r="X29">
            <v>0</v>
          </cell>
          <cell r="Y29">
            <v>31940.727813142705</v>
          </cell>
          <cell r="Z29">
            <v>26.832559748669077</v>
          </cell>
        </row>
        <row r="30">
          <cell r="A30" t="str">
            <v>ORC</v>
          </cell>
          <cell r="B30">
            <v>4194</v>
          </cell>
          <cell r="C30">
            <v>11.43825</v>
          </cell>
          <cell r="D30">
            <v>2.5538971847254448</v>
          </cell>
          <cell r="E30">
            <v>4.8335195059979874</v>
          </cell>
          <cell r="F30" t="str">
            <v xml:space="preserve"> /////////</v>
          </cell>
          <cell r="G30">
            <v>0</v>
          </cell>
          <cell r="H30">
            <v>0</v>
          </cell>
          <cell r="I30">
            <v>18.82566669072343</v>
          </cell>
          <cell r="J30">
            <v>2.9</v>
          </cell>
          <cell r="K30">
            <v>0</v>
          </cell>
          <cell r="L30">
            <v>21.725666690723429</v>
          </cell>
          <cell r="M30">
            <v>0</v>
          </cell>
          <cell r="N30">
            <v>22</v>
          </cell>
          <cell r="O30" t="str">
            <v>Operating Room Clinic</v>
          </cell>
          <cell r="P30" t="str">
            <v>ORC</v>
          </cell>
          <cell r="Q30">
            <v>0</v>
          </cell>
          <cell r="R30">
            <v>-0.85499999999999998</v>
          </cell>
          <cell r="S30">
            <v>20.870666690723429</v>
          </cell>
          <cell r="T30">
            <v>2.1</v>
          </cell>
          <cell r="U30">
            <v>22.97066669072343</v>
          </cell>
          <cell r="V30">
            <v>0</v>
          </cell>
          <cell r="W30">
            <v>0</v>
          </cell>
          <cell r="X30">
            <v>0</v>
          </cell>
          <cell r="Y30">
            <v>22.97066669072343</v>
          </cell>
          <cell r="Z30">
            <v>5.4770306844834113</v>
          </cell>
        </row>
        <row r="31">
          <cell r="A31" t="str">
            <v>ANS</v>
          </cell>
          <cell r="B31">
            <v>1142348</v>
          </cell>
          <cell r="C31">
            <v>1283.6281209672156</v>
          </cell>
          <cell r="D31">
            <v>93.132725593592113</v>
          </cell>
          <cell r="E31">
            <v>451.5306629353687</v>
          </cell>
          <cell r="F31" t="str">
            <v xml:space="preserve"> /////////</v>
          </cell>
          <cell r="G31">
            <v>0</v>
          </cell>
          <cell r="H31">
            <v>0</v>
          </cell>
          <cell r="I31">
            <v>1828.2915094961763</v>
          </cell>
          <cell r="J31">
            <v>76</v>
          </cell>
          <cell r="K31">
            <v>0</v>
          </cell>
          <cell r="L31">
            <v>1904.2915094961763</v>
          </cell>
          <cell r="M31">
            <v>0</v>
          </cell>
          <cell r="N31">
            <v>23</v>
          </cell>
          <cell r="O31" t="str">
            <v>Anesthesiology</v>
          </cell>
          <cell r="P31" t="str">
            <v>ANS</v>
          </cell>
          <cell r="Q31">
            <v>0</v>
          </cell>
          <cell r="R31">
            <v>-74.95</v>
          </cell>
          <cell r="S31">
            <v>1829.3415094961763</v>
          </cell>
          <cell r="T31">
            <v>184</v>
          </cell>
          <cell r="U31">
            <v>2013.3415094961763</v>
          </cell>
          <cell r="V31">
            <v>0</v>
          </cell>
          <cell r="W31">
            <v>0</v>
          </cell>
          <cell r="X31">
            <v>0</v>
          </cell>
          <cell r="Y31">
            <v>2013.3415094961763</v>
          </cell>
          <cell r="Z31">
            <v>1.7624589962920023</v>
          </cell>
        </row>
        <row r="32">
          <cell r="A32" t="str">
            <v>LAB</v>
          </cell>
          <cell r="B32">
            <v>11691696</v>
          </cell>
          <cell r="C32">
            <v>10543.677055394794</v>
          </cell>
          <cell r="D32">
            <v>1394.7923830741233</v>
          </cell>
          <cell r="E32">
            <v>3733.8139409373548</v>
          </cell>
          <cell r="F32" t="str">
            <v xml:space="preserve"> /////////</v>
          </cell>
          <cell r="G32">
            <v>0</v>
          </cell>
          <cell r="H32">
            <v>0</v>
          </cell>
          <cell r="I32">
            <v>15672.283379406272</v>
          </cell>
          <cell r="J32">
            <v>1113.5999999999999</v>
          </cell>
          <cell r="K32">
            <v>197.38654700000001</v>
          </cell>
          <cell r="L32">
            <v>16983.269926406268</v>
          </cell>
          <cell r="M32">
            <v>0</v>
          </cell>
          <cell r="N32">
            <v>24</v>
          </cell>
          <cell r="O32" t="str">
            <v>Laboratory Services</v>
          </cell>
          <cell r="P32" t="str">
            <v>LAB</v>
          </cell>
          <cell r="Q32">
            <v>0</v>
          </cell>
          <cell r="R32">
            <v>-668.43700000000001</v>
          </cell>
          <cell r="S32">
            <v>16314.832926406269</v>
          </cell>
          <cell r="T32">
            <v>1641.1</v>
          </cell>
          <cell r="U32">
            <v>17955.932926406269</v>
          </cell>
          <cell r="V32">
            <v>0</v>
          </cell>
          <cell r="W32">
            <v>0</v>
          </cell>
          <cell r="X32">
            <v>0</v>
          </cell>
          <cell r="Y32">
            <v>17955.932926406269</v>
          </cell>
          <cell r="Z32">
            <v>1.5357851355702601</v>
          </cell>
        </row>
        <row r="33">
          <cell r="A33" t="str">
            <v>EKG</v>
          </cell>
          <cell r="B33">
            <v>752547</v>
          </cell>
          <cell r="C33">
            <v>989.82997607410675</v>
          </cell>
          <cell r="D33">
            <v>301.20026624583488</v>
          </cell>
          <cell r="E33">
            <v>363.7701946117291</v>
          </cell>
          <cell r="F33" t="str">
            <v xml:space="preserve"> /////////</v>
          </cell>
          <cell r="G33">
            <v>0.70195985556695129</v>
          </cell>
          <cell r="H33">
            <v>0</v>
          </cell>
          <cell r="I33">
            <v>1655.5023967872376</v>
          </cell>
          <cell r="J33">
            <v>344</v>
          </cell>
          <cell r="K33">
            <v>0</v>
          </cell>
          <cell r="L33">
            <v>1999.5023967872376</v>
          </cell>
          <cell r="M33">
            <v>0</v>
          </cell>
          <cell r="N33">
            <v>25</v>
          </cell>
          <cell r="O33" t="str">
            <v>Electrocardiography</v>
          </cell>
          <cell r="P33" t="str">
            <v>EKG</v>
          </cell>
          <cell r="Q33">
            <v>0</v>
          </cell>
          <cell r="R33">
            <v>-78.697000000000003</v>
          </cell>
          <cell r="S33">
            <v>1920.8053967872374</v>
          </cell>
          <cell r="T33">
            <v>193.2</v>
          </cell>
          <cell r="U33">
            <v>2114.0053967872373</v>
          </cell>
          <cell r="V33">
            <v>0</v>
          </cell>
          <cell r="W33">
            <v>0</v>
          </cell>
          <cell r="X33">
            <v>0</v>
          </cell>
          <cell r="Y33">
            <v>2114.0053967872373</v>
          </cell>
          <cell r="Z33">
            <v>2.8091340431723699</v>
          </cell>
        </row>
        <row r="34">
          <cell r="A34" t="str">
            <v>IRC</v>
          </cell>
          <cell r="B34">
            <v>130721</v>
          </cell>
          <cell r="C34">
            <v>5618.5887744248394</v>
          </cell>
          <cell r="D34">
            <v>1209.036140238318</v>
          </cell>
          <cell r="E34">
            <v>1977.9599831598819</v>
          </cell>
          <cell r="F34" t="str">
            <v xml:space="preserve"> /////////</v>
          </cell>
          <cell r="G34">
            <v>5.7069947415211528</v>
          </cell>
          <cell r="H34">
            <v>0</v>
          </cell>
          <cell r="I34">
            <v>8811.291892564559</v>
          </cell>
          <cell r="J34">
            <v>1342.7</v>
          </cell>
          <cell r="K34">
            <v>522.31406000000004</v>
          </cell>
          <cell r="L34">
            <v>10676.30595256456</v>
          </cell>
          <cell r="M34">
            <v>0</v>
          </cell>
          <cell r="N34">
            <v>26</v>
          </cell>
          <cell r="O34" t="str">
            <v>Invasive Radiology/Cardiovascular</v>
          </cell>
          <cell r="P34" t="str">
            <v>IRC</v>
          </cell>
          <cell r="Q34">
            <v>0</v>
          </cell>
          <cell r="R34">
            <v>-420.20400000000001</v>
          </cell>
          <cell r="S34">
            <v>10256.101952564561</v>
          </cell>
          <cell r="T34">
            <v>1031.5999999999999</v>
          </cell>
          <cell r="U34">
            <v>11287.701952564561</v>
          </cell>
          <cell r="V34">
            <v>0</v>
          </cell>
          <cell r="W34">
            <v>0</v>
          </cell>
          <cell r="X34">
            <v>0</v>
          </cell>
          <cell r="Y34">
            <v>11287.701952564561</v>
          </cell>
          <cell r="Z34">
            <v>86.34956856637082</v>
          </cell>
        </row>
        <row r="35">
          <cell r="A35" t="str">
            <v>RAD</v>
          </cell>
          <cell r="B35">
            <v>389100</v>
          </cell>
          <cell r="C35">
            <v>4565.8630791335709</v>
          </cell>
          <cell r="D35">
            <v>997.72531576129109</v>
          </cell>
          <cell r="E35">
            <v>1760.8725485749678</v>
          </cell>
          <cell r="F35" t="str">
            <v xml:space="preserve"> /////////</v>
          </cell>
          <cell r="G35">
            <v>0</v>
          </cell>
          <cell r="H35">
            <v>0</v>
          </cell>
          <cell r="I35">
            <v>7324.4609434698305</v>
          </cell>
          <cell r="J35">
            <v>1074</v>
          </cell>
          <cell r="K35">
            <v>658.78573400000016</v>
          </cell>
          <cell r="L35">
            <v>9057.2466774698314</v>
          </cell>
          <cell r="M35">
            <v>0</v>
          </cell>
          <cell r="N35">
            <v>27</v>
          </cell>
          <cell r="O35" t="str">
            <v>Radiology-Diagnostic</v>
          </cell>
          <cell r="P35" t="str">
            <v>RAD</v>
          </cell>
          <cell r="Q35">
            <v>0</v>
          </cell>
          <cell r="R35">
            <v>-356.48</v>
          </cell>
          <cell r="S35">
            <v>8700.7666774698318</v>
          </cell>
          <cell r="T35">
            <v>875.2</v>
          </cell>
          <cell r="U35">
            <v>9575.9666774698326</v>
          </cell>
          <cell r="V35">
            <v>0</v>
          </cell>
          <cell r="W35">
            <v>0</v>
          </cell>
          <cell r="X35">
            <v>0</v>
          </cell>
          <cell r="Y35">
            <v>9575.9666774698326</v>
          </cell>
          <cell r="Z35">
            <v>24.610554298303349</v>
          </cell>
        </row>
        <row r="36">
          <cell r="A36" t="str">
            <v>CAT</v>
          </cell>
          <cell r="B36">
            <v>583451</v>
          </cell>
          <cell r="C36">
            <v>1626.2420468019409</v>
          </cell>
          <cell r="D36">
            <v>90.81438948918597</v>
          </cell>
          <cell r="E36">
            <v>618.0990090960729</v>
          </cell>
          <cell r="F36" t="str">
            <v xml:space="preserve"> /////////</v>
          </cell>
          <cell r="G36">
            <v>0</v>
          </cell>
          <cell r="H36">
            <v>0</v>
          </cell>
          <cell r="I36">
            <v>2335.1554453871995</v>
          </cell>
          <cell r="J36">
            <v>43.2</v>
          </cell>
          <cell r="K36">
            <v>19.225999999999999</v>
          </cell>
          <cell r="L36">
            <v>2397.5814453871994</v>
          </cell>
          <cell r="M36">
            <v>0</v>
          </cell>
          <cell r="N36">
            <v>28</v>
          </cell>
          <cell r="O36" t="str">
            <v>CT Scanner</v>
          </cell>
          <cell r="P36" t="str">
            <v>CAT</v>
          </cell>
          <cell r="Q36">
            <v>0</v>
          </cell>
          <cell r="R36">
            <v>-94.364999999999995</v>
          </cell>
          <cell r="S36">
            <v>2303.2164453871997</v>
          </cell>
          <cell r="T36">
            <v>231.7</v>
          </cell>
          <cell r="U36">
            <v>2534.9164453871995</v>
          </cell>
          <cell r="V36">
            <v>0</v>
          </cell>
          <cell r="W36">
            <v>0</v>
          </cell>
          <cell r="X36">
            <v>0</v>
          </cell>
          <cell r="Y36">
            <v>2534.9164453871995</v>
          </cell>
          <cell r="Z36">
            <v>4.3446946622547555</v>
          </cell>
        </row>
        <row r="37">
          <cell r="A37" t="str">
            <v>RAT</v>
          </cell>
          <cell r="B37">
            <v>226184</v>
          </cell>
          <cell r="C37">
            <v>3686.3</v>
          </cell>
          <cell r="D37">
            <v>343.66845530824463</v>
          </cell>
          <cell r="E37">
            <v>1542.353398332504</v>
          </cell>
          <cell r="F37" t="str">
            <v xml:space="preserve"> /////////</v>
          </cell>
          <cell r="G37">
            <v>0</v>
          </cell>
          <cell r="H37">
            <v>0</v>
          </cell>
          <cell r="I37">
            <v>5572.3218536407485</v>
          </cell>
          <cell r="J37">
            <v>34.4</v>
          </cell>
          <cell r="K37">
            <v>0</v>
          </cell>
          <cell r="L37">
            <v>5606.7218536407481</v>
          </cell>
          <cell r="M37">
            <v>0</v>
          </cell>
          <cell r="N37">
            <v>29</v>
          </cell>
          <cell r="O37" t="str">
            <v>Radiology-Therapeutic</v>
          </cell>
          <cell r="P37" t="str">
            <v>RAT</v>
          </cell>
          <cell r="Q37">
            <v>0</v>
          </cell>
          <cell r="R37">
            <v>-220.672</v>
          </cell>
          <cell r="S37">
            <v>5386.0498536407486</v>
          </cell>
          <cell r="T37">
            <v>541.79999999999995</v>
          </cell>
          <cell r="U37">
            <v>5927.8498536407487</v>
          </cell>
          <cell r="V37">
            <v>0</v>
          </cell>
          <cell r="W37">
            <v>0</v>
          </cell>
          <cell r="X37">
            <v>0</v>
          </cell>
          <cell r="Y37">
            <v>5927.8498536407487</v>
          </cell>
          <cell r="Z37">
            <v>26.20808657394311</v>
          </cell>
        </row>
        <row r="38">
          <cell r="A38" t="str">
            <v>NUC</v>
          </cell>
          <cell r="B38">
            <v>181014</v>
          </cell>
          <cell r="C38">
            <v>2145.9086124702253</v>
          </cell>
          <cell r="D38">
            <v>804.33673879542664</v>
          </cell>
          <cell r="E38">
            <v>890.9790804922294</v>
          </cell>
          <cell r="F38" t="str">
            <v xml:space="preserve"> /////////</v>
          </cell>
          <cell r="G38">
            <v>0</v>
          </cell>
          <cell r="H38">
            <v>0</v>
          </cell>
          <cell r="I38">
            <v>3841.2244317578816</v>
          </cell>
          <cell r="J38">
            <v>763.6</v>
          </cell>
          <cell r="K38">
            <v>324.43219999999997</v>
          </cell>
          <cell r="L38">
            <v>4929.2566317578821</v>
          </cell>
          <cell r="M38">
            <v>0</v>
          </cell>
          <cell r="N38">
            <v>30</v>
          </cell>
          <cell r="O38" t="str">
            <v>Nuclear Medicine</v>
          </cell>
          <cell r="P38" t="str">
            <v>NUC</v>
          </cell>
          <cell r="Q38">
            <v>0</v>
          </cell>
          <cell r="R38">
            <v>-194.00800000000001</v>
          </cell>
          <cell r="S38">
            <v>4735.2486317578823</v>
          </cell>
          <cell r="T38">
            <v>476.3</v>
          </cell>
          <cell r="U38">
            <v>5211.5486317578825</v>
          </cell>
          <cell r="V38">
            <v>0</v>
          </cell>
          <cell r="W38">
            <v>0</v>
          </cell>
          <cell r="X38">
            <v>0</v>
          </cell>
          <cell r="Y38">
            <v>5211.5486317578825</v>
          </cell>
          <cell r="Z38">
            <v>28.790859445998006</v>
          </cell>
        </row>
        <row r="39">
          <cell r="A39" t="str">
            <v>RES</v>
          </cell>
          <cell r="B39">
            <v>3110049</v>
          </cell>
          <cell r="C39">
            <v>2967.3818536038821</v>
          </cell>
          <cell r="D39">
            <v>114.05317309133237</v>
          </cell>
          <cell r="E39">
            <v>920.78052567927625</v>
          </cell>
          <cell r="F39" t="str">
            <v xml:space="preserve"> /////////</v>
          </cell>
          <cell r="G39">
            <v>0</v>
          </cell>
          <cell r="H39">
            <v>0</v>
          </cell>
          <cell r="I39">
            <v>4002.2155523744905</v>
          </cell>
          <cell r="J39">
            <v>110.7</v>
          </cell>
          <cell r="K39">
            <v>0</v>
          </cell>
          <cell r="L39">
            <v>4112.9155523744903</v>
          </cell>
          <cell r="M39">
            <v>0</v>
          </cell>
          <cell r="N39">
            <v>31</v>
          </cell>
          <cell r="O39" t="str">
            <v>Respiratory Therapy</v>
          </cell>
          <cell r="P39" t="str">
            <v>RES</v>
          </cell>
          <cell r="Q39">
            <v>0</v>
          </cell>
          <cell r="R39">
            <v>-161.87799999999999</v>
          </cell>
          <cell r="S39">
            <v>3951.0375523744901</v>
          </cell>
          <cell r="T39">
            <v>397.4</v>
          </cell>
          <cell r="U39">
            <v>4348.4375523744902</v>
          </cell>
          <cell r="V39">
            <v>0</v>
          </cell>
          <cell r="W39">
            <v>0</v>
          </cell>
          <cell r="X39">
            <v>0</v>
          </cell>
          <cell r="Y39">
            <v>4348.4375523744902</v>
          </cell>
          <cell r="Z39">
            <v>1.3981894022809576</v>
          </cell>
        </row>
        <row r="40">
          <cell r="A40" t="str">
            <v>PUL</v>
          </cell>
          <cell r="B40">
            <v>98026</v>
          </cell>
          <cell r="C40">
            <v>178.44825020291134</v>
          </cell>
          <cell r="D40">
            <v>52.275328692645409</v>
          </cell>
          <cell r="E40">
            <v>74.008925345313997</v>
          </cell>
          <cell r="F40" t="str">
            <v xml:space="preserve"> /////////</v>
          </cell>
          <cell r="G40">
            <v>0</v>
          </cell>
          <cell r="H40">
            <v>0</v>
          </cell>
          <cell r="I40">
            <v>304.73250424087075</v>
          </cell>
          <cell r="J40">
            <v>55.7</v>
          </cell>
          <cell r="K40">
            <v>0</v>
          </cell>
          <cell r="L40">
            <v>360.43250424087074</v>
          </cell>
          <cell r="M40">
            <v>0</v>
          </cell>
          <cell r="N40">
            <v>32</v>
          </cell>
          <cell r="O40" t="str">
            <v>Pulmonary Function Testing</v>
          </cell>
          <cell r="P40" t="str">
            <v>PUL</v>
          </cell>
          <cell r="Q40">
            <v>0</v>
          </cell>
          <cell r="R40">
            <v>-14.186</v>
          </cell>
          <cell r="S40">
            <v>346.24650424087076</v>
          </cell>
          <cell r="T40">
            <v>34.799999999999997</v>
          </cell>
          <cell r="U40">
            <v>381.04650424087077</v>
          </cell>
          <cell r="V40">
            <v>0</v>
          </cell>
          <cell r="W40">
            <v>0</v>
          </cell>
          <cell r="X40">
            <v>0</v>
          </cell>
          <cell r="Y40">
            <v>381.04650424087077</v>
          </cell>
          <cell r="Z40">
            <v>3.8871983375927894</v>
          </cell>
        </row>
        <row r="41">
          <cell r="A41" t="str">
            <v>EEG</v>
          </cell>
          <cell r="B41">
            <v>110342</v>
          </cell>
          <cell r="C41">
            <v>444.25234473753869</v>
          </cell>
          <cell r="D41">
            <v>211.49230819620132</v>
          </cell>
          <cell r="E41">
            <v>189.60418977308797</v>
          </cell>
          <cell r="F41" t="str">
            <v xml:space="preserve"> /////////</v>
          </cell>
          <cell r="G41">
            <v>0</v>
          </cell>
          <cell r="H41">
            <v>0</v>
          </cell>
          <cell r="I41">
            <v>845.34884270682801</v>
          </cell>
          <cell r="J41">
            <v>238.1</v>
          </cell>
          <cell r="K41">
            <v>0</v>
          </cell>
          <cell r="L41">
            <v>1083.4488427068279</v>
          </cell>
          <cell r="M41">
            <v>0</v>
          </cell>
          <cell r="N41">
            <v>33</v>
          </cell>
          <cell r="O41" t="str">
            <v>Electroencephalography</v>
          </cell>
          <cell r="P41" t="str">
            <v>EEG</v>
          </cell>
          <cell r="Q41">
            <v>0</v>
          </cell>
          <cell r="R41">
            <v>-42.643000000000001</v>
          </cell>
          <cell r="S41">
            <v>1040.8058427068279</v>
          </cell>
          <cell r="T41">
            <v>104.7</v>
          </cell>
          <cell r="U41">
            <v>1145.5058427068279</v>
          </cell>
          <cell r="V41">
            <v>0</v>
          </cell>
          <cell r="W41">
            <v>0</v>
          </cell>
          <cell r="X41">
            <v>0</v>
          </cell>
          <cell r="Y41">
            <v>1145.5058427068279</v>
          </cell>
          <cell r="Z41">
            <v>10.381412723231662</v>
          </cell>
        </row>
        <row r="42">
          <cell r="A42" t="str">
            <v>PTH</v>
          </cell>
          <cell r="B42">
            <v>347704</v>
          </cell>
          <cell r="C42">
            <v>1387.9268313365683</v>
          </cell>
          <cell r="D42">
            <v>204.78326245041714</v>
          </cell>
          <cell r="E42">
            <v>459.40068669380344</v>
          </cell>
          <cell r="F42" t="str">
            <v xml:space="preserve"> /////////</v>
          </cell>
          <cell r="G42">
            <v>0</v>
          </cell>
          <cell r="H42">
            <v>0</v>
          </cell>
          <cell r="I42">
            <v>2052.1107804807889</v>
          </cell>
          <cell r="J42">
            <v>229.9</v>
          </cell>
          <cell r="K42">
            <v>0</v>
          </cell>
          <cell r="L42">
            <v>2282.010780480789</v>
          </cell>
          <cell r="M42">
            <v>0</v>
          </cell>
          <cell r="N42">
            <v>34</v>
          </cell>
          <cell r="O42" t="str">
            <v>Physical Therapy</v>
          </cell>
          <cell r="P42" t="str">
            <v>PTH</v>
          </cell>
          <cell r="Q42">
            <v>0</v>
          </cell>
          <cell r="R42">
            <v>-89.816999999999993</v>
          </cell>
          <cell r="S42">
            <v>2192.193780480789</v>
          </cell>
          <cell r="T42">
            <v>220.5</v>
          </cell>
          <cell r="U42">
            <v>2412.693780480789</v>
          </cell>
          <cell r="V42">
            <v>0</v>
          </cell>
          <cell r="W42">
            <v>0</v>
          </cell>
          <cell r="X42">
            <v>0</v>
          </cell>
          <cell r="Y42">
            <v>2412.693780480789</v>
          </cell>
          <cell r="Z42">
            <v>6.9389301833766339</v>
          </cell>
        </row>
        <row r="43">
          <cell r="A43" t="str">
            <v>OTH</v>
          </cell>
          <cell r="B43">
            <v>317989</v>
          </cell>
          <cell r="C43">
            <v>1348.4180368019411</v>
          </cell>
          <cell r="D43">
            <v>17.955823142989935</v>
          </cell>
          <cell r="E43">
            <v>413.83202996046526</v>
          </cell>
          <cell r="F43" t="str">
            <v xml:space="preserve"> /////////</v>
          </cell>
          <cell r="G43">
            <v>0</v>
          </cell>
          <cell r="H43">
            <v>0</v>
          </cell>
          <cell r="I43">
            <v>1780.2058899053961</v>
          </cell>
          <cell r="J43">
            <v>29.2</v>
          </cell>
          <cell r="K43">
            <v>0</v>
          </cell>
          <cell r="L43">
            <v>1809.4058899053962</v>
          </cell>
          <cell r="M43">
            <v>0</v>
          </cell>
          <cell r="N43">
            <v>35</v>
          </cell>
          <cell r="O43" t="str">
            <v>Occupational Therapy</v>
          </cell>
          <cell r="P43" t="str">
            <v>OTH</v>
          </cell>
          <cell r="Q43">
            <v>0</v>
          </cell>
          <cell r="R43">
            <v>-71.215999999999994</v>
          </cell>
          <cell r="S43">
            <v>1738.1898899053963</v>
          </cell>
          <cell r="T43">
            <v>174.8</v>
          </cell>
          <cell r="U43">
            <v>1912.9898899053962</v>
          </cell>
          <cell r="V43">
            <v>0</v>
          </cell>
          <cell r="W43">
            <v>0</v>
          </cell>
          <cell r="X43">
            <v>0</v>
          </cell>
          <cell r="Y43">
            <v>1912.9898899053962</v>
          </cell>
          <cell r="Z43">
            <v>6.0158995748450304</v>
          </cell>
        </row>
        <row r="44">
          <cell r="A44" t="str">
            <v>STH</v>
          </cell>
          <cell r="B44">
            <v>35670</v>
          </cell>
          <cell r="C44">
            <v>166.16693999999998</v>
          </cell>
          <cell r="D44">
            <v>4.55791767411612</v>
          </cell>
          <cell r="E44">
            <v>54.992562479579369</v>
          </cell>
          <cell r="F44" t="str">
            <v xml:space="preserve"> /////////</v>
          </cell>
          <cell r="G44">
            <v>0</v>
          </cell>
          <cell r="H44">
            <v>0</v>
          </cell>
          <cell r="I44">
            <v>225.71742015369546</v>
          </cell>
          <cell r="J44">
            <v>6.6</v>
          </cell>
          <cell r="K44">
            <v>0</v>
          </cell>
          <cell r="L44">
            <v>232.31742015369545</v>
          </cell>
          <cell r="M44">
            <v>0</v>
          </cell>
          <cell r="N44">
            <v>36</v>
          </cell>
          <cell r="O44" t="str">
            <v>Speech Language Pathology</v>
          </cell>
          <cell r="P44" t="str">
            <v>STH</v>
          </cell>
          <cell r="Q44">
            <v>0</v>
          </cell>
          <cell r="R44">
            <v>-9.1440000000000001</v>
          </cell>
          <cell r="S44">
            <v>223.17342015369545</v>
          </cell>
          <cell r="T44">
            <v>22.4</v>
          </cell>
          <cell r="U44">
            <v>245.57342015369545</v>
          </cell>
          <cell r="V44">
            <v>0</v>
          </cell>
          <cell r="W44">
            <v>0</v>
          </cell>
          <cell r="X44">
            <v>0</v>
          </cell>
          <cell r="Y44">
            <v>245.57342015369545</v>
          </cell>
          <cell r="Z44">
            <v>6.8845926592008819</v>
          </cell>
        </row>
        <row r="45">
          <cell r="A45" t="str">
            <v>REC</v>
          </cell>
          <cell r="B45">
            <v>0</v>
          </cell>
          <cell r="C45">
            <v>0</v>
          </cell>
          <cell r="D45">
            <v>0</v>
          </cell>
          <cell r="E45">
            <v>0</v>
          </cell>
          <cell r="F45" t="str">
            <v xml:space="preserve"> /////////</v>
          </cell>
          <cell r="G45">
            <v>0</v>
          </cell>
          <cell r="H45">
            <v>0</v>
          </cell>
          <cell r="I45">
            <v>0</v>
          </cell>
          <cell r="J45">
            <v>0</v>
          </cell>
          <cell r="K45">
            <v>0</v>
          </cell>
          <cell r="L45">
            <v>0</v>
          </cell>
          <cell r="M45">
            <v>0</v>
          </cell>
          <cell r="N45">
            <v>37</v>
          </cell>
          <cell r="O45" t="str">
            <v>Recreational Therapy</v>
          </cell>
          <cell r="P45" t="str">
            <v>REC</v>
          </cell>
          <cell r="Q45">
            <v>0</v>
          </cell>
          <cell r="R45">
            <v>0</v>
          </cell>
          <cell r="S45">
            <v>0</v>
          </cell>
          <cell r="T45">
            <v>0</v>
          </cell>
          <cell r="U45">
            <v>0</v>
          </cell>
          <cell r="V45">
            <v>0</v>
          </cell>
          <cell r="W45">
            <v>0</v>
          </cell>
          <cell r="X45">
            <v>0</v>
          </cell>
          <cell r="Y45">
            <v>0</v>
          </cell>
          <cell r="Z45">
            <v>0</v>
          </cell>
        </row>
        <row r="46">
          <cell r="A46" t="str">
            <v>AUD</v>
          </cell>
          <cell r="B46">
            <v>8456</v>
          </cell>
          <cell r="C46">
            <v>100.5</v>
          </cell>
          <cell r="D46">
            <v>9.3694706775028038</v>
          </cell>
          <cell r="E46">
            <v>30.888403159085748</v>
          </cell>
          <cell r="F46" t="str">
            <v xml:space="preserve"> /////////</v>
          </cell>
          <cell r="G46">
            <v>0</v>
          </cell>
          <cell r="H46">
            <v>0</v>
          </cell>
          <cell r="I46">
            <v>140.75787383658854</v>
          </cell>
          <cell r="J46">
            <v>0.9</v>
          </cell>
          <cell r="K46">
            <v>0</v>
          </cell>
          <cell r="L46">
            <v>141.65787383658855</v>
          </cell>
          <cell r="M46">
            <v>0</v>
          </cell>
          <cell r="N46">
            <v>38</v>
          </cell>
          <cell r="O46" t="str">
            <v>Audiology</v>
          </cell>
          <cell r="P46" t="str">
            <v>AUD</v>
          </cell>
          <cell r="Q46">
            <v>0</v>
          </cell>
          <cell r="R46">
            <v>-5.5750000000000002</v>
          </cell>
          <cell r="S46">
            <v>136.08287383658856</v>
          </cell>
          <cell r="T46">
            <v>13.7</v>
          </cell>
          <cell r="U46">
            <v>149.78287383658855</v>
          </cell>
          <cell r="V46">
            <v>0</v>
          </cell>
          <cell r="W46">
            <v>0</v>
          </cell>
          <cell r="X46">
            <v>0</v>
          </cell>
          <cell r="Y46">
            <v>149.78287383658855</v>
          </cell>
          <cell r="Z46">
            <v>17.713206461280574</v>
          </cell>
        </row>
        <row r="47">
          <cell r="A47" t="str">
            <v>OPM</v>
          </cell>
          <cell r="B47">
            <v>0</v>
          </cell>
          <cell r="C47">
            <v>0</v>
          </cell>
          <cell r="D47">
            <v>0</v>
          </cell>
          <cell r="E47">
            <v>0</v>
          </cell>
          <cell r="F47" t="str">
            <v xml:space="preserve"> /////////</v>
          </cell>
          <cell r="G47">
            <v>0</v>
          </cell>
          <cell r="H47">
            <v>0</v>
          </cell>
          <cell r="I47">
            <v>0</v>
          </cell>
          <cell r="J47">
            <v>0</v>
          </cell>
          <cell r="K47">
            <v>0</v>
          </cell>
          <cell r="L47">
            <v>0</v>
          </cell>
          <cell r="M47">
            <v>0</v>
          </cell>
          <cell r="N47">
            <v>39</v>
          </cell>
          <cell r="O47" t="str">
            <v>Other Physical Medicine</v>
          </cell>
          <cell r="P47" t="str">
            <v>OPM</v>
          </cell>
          <cell r="Q47">
            <v>0</v>
          </cell>
          <cell r="R47">
            <v>0</v>
          </cell>
          <cell r="S47">
            <v>0</v>
          </cell>
          <cell r="T47">
            <v>0</v>
          </cell>
          <cell r="U47">
            <v>0</v>
          </cell>
          <cell r="V47">
            <v>0</v>
          </cell>
          <cell r="W47">
            <v>0</v>
          </cell>
          <cell r="X47">
            <v>0</v>
          </cell>
          <cell r="Y47">
            <v>0</v>
          </cell>
          <cell r="Z47">
            <v>0</v>
          </cell>
        </row>
        <row r="48">
          <cell r="A48" t="str">
            <v>RDL</v>
          </cell>
          <cell r="B48">
            <v>0</v>
          </cell>
          <cell r="C48">
            <v>0</v>
          </cell>
          <cell r="D48">
            <v>0</v>
          </cell>
          <cell r="E48">
            <v>0</v>
          </cell>
          <cell r="F48" t="str">
            <v xml:space="preserve"> /////////</v>
          </cell>
          <cell r="G48">
            <v>0</v>
          </cell>
          <cell r="H48">
            <v>0</v>
          </cell>
          <cell r="I48">
            <v>0</v>
          </cell>
          <cell r="J48">
            <v>0</v>
          </cell>
          <cell r="K48">
            <v>0</v>
          </cell>
          <cell r="L48">
            <v>0</v>
          </cell>
          <cell r="M48">
            <v>0</v>
          </cell>
          <cell r="N48">
            <v>40</v>
          </cell>
          <cell r="O48" t="str">
            <v>Renal Dialysis</v>
          </cell>
          <cell r="P48" t="str">
            <v>RDL</v>
          </cell>
          <cell r="Q48">
            <v>0</v>
          </cell>
          <cell r="R48">
            <v>0</v>
          </cell>
          <cell r="S48">
            <v>0</v>
          </cell>
          <cell r="T48">
            <v>0</v>
          </cell>
          <cell r="U48">
            <v>0</v>
          </cell>
          <cell r="V48">
            <v>0</v>
          </cell>
          <cell r="W48">
            <v>0</v>
          </cell>
          <cell r="X48">
            <v>0</v>
          </cell>
          <cell r="Y48">
            <v>0</v>
          </cell>
          <cell r="Z48">
            <v>0</v>
          </cell>
        </row>
        <row r="49">
          <cell r="A49" t="str">
            <v>OA</v>
          </cell>
          <cell r="B49">
            <v>0</v>
          </cell>
          <cell r="C49">
            <v>0</v>
          </cell>
          <cell r="D49">
            <v>0</v>
          </cell>
          <cell r="E49">
            <v>0</v>
          </cell>
          <cell r="F49" t="str">
            <v xml:space="preserve"> /////////</v>
          </cell>
          <cell r="G49">
            <v>0</v>
          </cell>
          <cell r="H49">
            <v>0</v>
          </cell>
          <cell r="I49">
            <v>0</v>
          </cell>
          <cell r="J49">
            <v>0</v>
          </cell>
          <cell r="K49">
            <v>0</v>
          </cell>
          <cell r="L49">
            <v>0</v>
          </cell>
          <cell r="M49">
            <v>0</v>
          </cell>
          <cell r="N49">
            <v>41</v>
          </cell>
          <cell r="O49" t="str">
            <v>Organ Acquisition</v>
          </cell>
          <cell r="P49" t="str">
            <v>OA</v>
          </cell>
          <cell r="Q49">
            <v>0</v>
          </cell>
          <cell r="R49">
            <v>0</v>
          </cell>
          <cell r="S49">
            <v>0</v>
          </cell>
          <cell r="T49">
            <v>0</v>
          </cell>
          <cell r="U49">
            <v>0</v>
          </cell>
          <cell r="V49">
            <v>0</v>
          </cell>
          <cell r="W49">
            <v>0</v>
          </cell>
          <cell r="X49">
            <v>0</v>
          </cell>
          <cell r="Y49">
            <v>0</v>
          </cell>
          <cell r="Z49">
            <v>0</v>
          </cell>
        </row>
        <row r="50">
          <cell r="A50" t="str">
            <v>LEU</v>
          </cell>
          <cell r="B50">
            <v>0</v>
          </cell>
          <cell r="C50">
            <v>0</v>
          </cell>
          <cell r="D50">
            <v>0</v>
          </cell>
          <cell r="E50">
            <v>0</v>
          </cell>
          <cell r="F50" t="str">
            <v xml:space="preserve"> /////////</v>
          </cell>
          <cell r="G50">
            <v>0</v>
          </cell>
          <cell r="H50">
            <v>0</v>
          </cell>
          <cell r="I50">
            <v>0</v>
          </cell>
          <cell r="J50">
            <v>0</v>
          </cell>
          <cell r="K50">
            <v>0</v>
          </cell>
          <cell r="L50">
            <v>0</v>
          </cell>
          <cell r="M50">
            <v>0</v>
          </cell>
          <cell r="N50">
            <v>42</v>
          </cell>
          <cell r="O50" t="str">
            <v>Leukopheresis</v>
          </cell>
          <cell r="P50" t="str">
            <v>LEU</v>
          </cell>
          <cell r="Q50">
            <v>0</v>
          </cell>
          <cell r="R50">
            <v>0</v>
          </cell>
          <cell r="S50">
            <v>0</v>
          </cell>
          <cell r="T50">
            <v>0</v>
          </cell>
          <cell r="U50">
            <v>0</v>
          </cell>
          <cell r="V50">
            <v>0</v>
          </cell>
          <cell r="W50">
            <v>0</v>
          </cell>
          <cell r="X50">
            <v>0</v>
          </cell>
          <cell r="Y50">
            <v>0</v>
          </cell>
          <cell r="Z50">
            <v>0</v>
          </cell>
        </row>
        <row r="51">
          <cell r="A51" t="str">
            <v>HYP</v>
          </cell>
          <cell r="B51">
            <v>0</v>
          </cell>
          <cell r="C51">
            <v>0</v>
          </cell>
          <cell r="D51">
            <v>0</v>
          </cell>
          <cell r="E51">
            <v>0</v>
          </cell>
          <cell r="F51" t="str">
            <v xml:space="preserve"> /////////</v>
          </cell>
          <cell r="G51">
            <v>0</v>
          </cell>
          <cell r="H51">
            <v>0</v>
          </cell>
          <cell r="I51">
            <v>0</v>
          </cell>
          <cell r="J51">
            <v>0</v>
          </cell>
          <cell r="K51">
            <v>0</v>
          </cell>
          <cell r="L51">
            <v>0</v>
          </cell>
          <cell r="M51">
            <v>0</v>
          </cell>
          <cell r="N51">
            <v>43</v>
          </cell>
          <cell r="O51" t="str">
            <v>Hyperbaric Chamber</v>
          </cell>
          <cell r="P51" t="str">
            <v>HYP</v>
          </cell>
          <cell r="Q51">
            <v>0</v>
          </cell>
          <cell r="R51">
            <v>0</v>
          </cell>
          <cell r="S51">
            <v>0</v>
          </cell>
          <cell r="T51">
            <v>0</v>
          </cell>
          <cell r="U51">
            <v>0</v>
          </cell>
          <cell r="V51">
            <v>0</v>
          </cell>
          <cell r="W51">
            <v>0</v>
          </cell>
          <cell r="X51">
            <v>0</v>
          </cell>
          <cell r="Y51">
            <v>0</v>
          </cell>
          <cell r="Z51">
            <v>0</v>
          </cell>
        </row>
        <row r="52">
          <cell r="A52" t="str">
            <v>FSE</v>
          </cell>
          <cell r="B52">
            <v>0</v>
          </cell>
          <cell r="C52">
            <v>0</v>
          </cell>
          <cell r="D52">
            <v>0</v>
          </cell>
          <cell r="E52">
            <v>0</v>
          </cell>
          <cell r="F52" t="str">
            <v xml:space="preserve"> /////////</v>
          </cell>
          <cell r="G52">
            <v>0</v>
          </cell>
          <cell r="H52">
            <v>0</v>
          </cell>
          <cell r="I52">
            <v>0</v>
          </cell>
          <cell r="J52">
            <v>0</v>
          </cell>
          <cell r="K52">
            <v>0</v>
          </cell>
          <cell r="L52">
            <v>0</v>
          </cell>
          <cell r="M52">
            <v>0</v>
          </cell>
          <cell r="N52">
            <v>44</v>
          </cell>
          <cell r="O52" t="str">
            <v>Free Standing Emergency</v>
          </cell>
          <cell r="P52" t="str">
            <v>FSE</v>
          </cell>
          <cell r="Q52">
            <v>0</v>
          </cell>
          <cell r="R52">
            <v>0</v>
          </cell>
          <cell r="S52">
            <v>0</v>
          </cell>
          <cell r="T52">
            <v>0</v>
          </cell>
          <cell r="U52">
            <v>0</v>
          </cell>
          <cell r="V52">
            <v>0</v>
          </cell>
          <cell r="W52">
            <v>0</v>
          </cell>
          <cell r="X52">
            <v>0</v>
          </cell>
          <cell r="Y52">
            <v>0</v>
          </cell>
          <cell r="Z52">
            <v>0</v>
          </cell>
        </row>
        <row r="53">
          <cell r="A53" t="str">
            <v>MRI</v>
          </cell>
          <cell r="B53">
            <v>28018</v>
          </cell>
          <cell r="C53">
            <v>804.04016999999999</v>
          </cell>
          <cell r="D53">
            <v>76.118059183590418</v>
          </cell>
          <cell r="E53">
            <v>256.34139181605684</v>
          </cell>
          <cell r="F53" t="str">
            <v xml:space="preserve"> /////////</v>
          </cell>
          <cell r="G53">
            <v>0</v>
          </cell>
          <cell r="H53">
            <v>0</v>
          </cell>
          <cell r="I53">
            <v>1136.4996209996473</v>
          </cell>
          <cell r="J53">
            <v>7.5</v>
          </cell>
          <cell r="K53">
            <v>0</v>
          </cell>
          <cell r="L53">
            <v>1143.9996209996473</v>
          </cell>
          <cell r="M53">
            <v>0</v>
          </cell>
          <cell r="N53">
            <v>45</v>
          </cell>
          <cell r="O53" t="str">
            <v>Magnetic Resonance Imaging</v>
          </cell>
          <cell r="P53" t="str">
            <v>MRI</v>
          </cell>
          <cell r="Q53">
            <v>0</v>
          </cell>
          <cell r="R53">
            <v>-45.026000000000003</v>
          </cell>
          <cell r="S53">
            <v>1098.9736209996472</v>
          </cell>
          <cell r="T53">
            <v>110.5</v>
          </cell>
          <cell r="U53">
            <v>1209.4736209996472</v>
          </cell>
          <cell r="V53">
            <v>0</v>
          </cell>
          <cell r="W53">
            <v>0</v>
          </cell>
          <cell r="X53">
            <v>0</v>
          </cell>
          <cell r="Y53">
            <v>1209.4736209996472</v>
          </cell>
          <cell r="Z53">
            <v>43.167735776987911</v>
          </cell>
        </row>
        <row r="54">
          <cell r="A54" t="str">
            <v>LIT</v>
          </cell>
          <cell r="B54">
            <v>21</v>
          </cell>
          <cell r="C54">
            <v>24</v>
          </cell>
          <cell r="D54">
            <v>2.2374855349260425</v>
          </cell>
          <cell r="E54">
            <v>10.124963146745504</v>
          </cell>
          <cell r="F54" t="str">
            <v xml:space="preserve"> /////////</v>
          </cell>
          <cell r="G54">
            <v>0</v>
          </cell>
          <cell r="H54">
            <v>0</v>
          </cell>
          <cell r="I54">
            <v>36.362448681671552</v>
          </cell>
          <cell r="J54">
            <v>0.2</v>
          </cell>
          <cell r="K54">
            <v>0</v>
          </cell>
          <cell r="L54">
            <v>36.562448681671555</v>
          </cell>
          <cell r="M54">
            <v>0</v>
          </cell>
          <cell r="N54">
            <v>46</v>
          </cell>
          <cell r="O54" t="str">
            <v>Lithotripsy</v>
          </cell>
          <cell r="P54" t="str">
            <v>LIT</v>
          </cell>
          <cell r="Q54">
            <v>0</v>
          </cell>
          <cell r="R54">
            <v>-1.4390000000000001</v>
          </cell>
          <cell r="S54">
            <v>35.123448681671555</v>
          </cell>
          <cell r="T54">
            <v>3.5</v>
          </cell>
          <cell r="U54">
            <v>38.623448681671555</v>
          </cell>
          <cell r="V54">
            <v>0</v>
          </cell>
          <cell r="W54">
            <v>0</v>
          </cell>
          <cell r="X54">
            <v>0</v>
          </cell>
          <cell r="Y54">
            <v>38.623448681671555</v>
          </cell>
          <cell r="Z54">
            <v>1839.2118419843598</v>
          </cell>
        </row>
        <row r="55">
          <cell r="A55" t="str">
            <v>RHB</v>
          </cell>
          <cell r="B55">
            <v>0</v>
          </cell>
          <cell r="C55">
            <v>0</v>
          </cell>
          <cell r="D55">
            <v>0</v>
          </cell>
          <cell r="E55">
            <v>0</v>
          </cell>
          <cell r="F55" t="str">
            <v xml:space="preserve"> /////////</v>
          </cell>
          <cell r="G55">
            <v>0</v>
          </cell>
          <cell r="H55">
            <v>0</v>
          </cell>
          <cell r="I55">
            <v>0</v>
          </cell>
          <cell r="J55">
            <v>0</v>
          </cell>
          <cell r="K55">
            <v>0</v>
          </cell>
          <cell r="L55">
            <v>0</v>
          </cell>
          <cell r="M55">
            <v>0</v>
          </cell>
          <cell r="N55">
            <v>47</v>
          </cell>
          <cell r="O55" t="str">
            <v>Rehabilitation</v>
          </cell>
          <cell r="P55" t="str">
            <v>RHB</v>
          </cell>
          <cell r="Q55">
            <v>0</v>
          </cell>
          <cell r="R55">
            <v>0</v>
          </cell>
          <cell r="S55">
            <v>0</v>
          </cell>
          <cell r="T55">
            <v>0</v>
          </cell>
          <cell r="U55">
            <v>0</v>
          </cell>
          <cell r="V55">
            <v>0</v>
          </cell>
          <cell r="W55">
            <v>0</v>
          </cell>
          <cell r="X55">
            <v>0</v>
          </cell>
          <cell r="Y55">
            <v>0</v>
          </cell>
          <cell r="Z55">
            <v>0</v>
          </cell>
        </row>
        <row r="56">
          <cell r="A56" t="str">
            <v>OBV</v>
          </cell>
          <cell r="B56">
            <v>45365</v>
          </cell>
          <cell r="C56">
            <v>1330.7675948963388</v>
          </cell>
          <cell r="D56">
            <v>382.08891531883728</v>
          </cell>
          <cell r="E56">
            <v>698.31216084028574</v>
          </cell>
          <cell r="F56" t="str">
            <v xml:space="preserve"> /////////</v>
          </cell>
          <cell r="G56">
            <v>0</v>
          </cell>
          <cell r="H56">
            <v>0</v>
          </cell>
          <cell r="I56">
            <v>2411.1686710554618</v>
          </cell>
          <cell r="J56">
            <v>268.3</v>
          </cell>
          <cell r="K56">
            <v>0.03</v>
          </cell>
          <cell r="L56">
            <v>2679.4986710554622</v>
          </cell>
          <cell r="M56">
            <v>0</v>
          </cell>
          <cell r="N56">
            <v>48</v>
          </cell>
          <cell r="O56" t="str">
            <v>Observation</v>
          </cell>
          <cell r="P56" t="str">
            <v>OBV</v>
          </cell>
          <cell r="Q56">
            <v>0</v>
          </cell>
          <cell r="R56">
            <v>-105.461</v>
          </cell>
          <cell r="S56">
            <v>2574.0376710554624</v>
          </cell>
          <cell r="T56">
            <v>258.89999999999998</v>
          </cell>
          <cell r="U56">
            <v>2832.9376710554625</v>
          </cell>
          <cell r="V56">
            <v>0</v>
          </cell>
          <cell r="W56">
            <v>0</v>
          </cell>
          <cell r="X56">
            <v>0</v>
          </cell>
          <cell r="Y56">
            <v>2832.9376710554625</v>
          </cell>
          <cell r="Z56">
            <v>62.447650634971069</v>
          </cell>
        </row>
        <row r="57">
          <cell r="A57" t="str">
            <v>AMR</v>
          </cell>
          <cell r="B57">
            <v>0</v>
          </cell>
          <cell r="C57">
            <v>161.36261906925449</v>
          </cell>
          <cell r="D57">
            <v>15.016567840301065</v>
          </cell>
          <cell r="E57">
            <v>5.9513827699848854</v>
          </cell>
          <cell r="F57" t="str">
            <v xml:space="preserve"> /////////</v>
          </cell>
          <cell r="G57" t="str">
            <v>////////////</v>
          </cell>
          <cell r="H57" t="str">
            <v>////////////</v>
          </cell>
          <cell r="I57">
            <v>182.33056967954045</v>
          </cell>
          <cell r="J57" t="str">
            <v>////////////</v>
          </cell>
          <cell r="K57" t="str">
            <v>////////////</v>
          </cell>
          <cell r="L57">
            <v>182.33056967954045</v>
          </cell>
          <cell r="M57">
            <v>0</v>
          </cell>
          <cell r="N57">
            <v>49</v>
          </cell>
          <cell r="O57" t="str">
            <v>Ambulance Services-Rebundled</v>
          </cell>
          <cell r="P57" t="str">
            <v>AMR</v>
          </cell>
          <cell r="Q57">
            <v>0</v>
          </cell>
          <cell r="R57">
            <v>-7.1760000000000002</v>
          </cell>
          <cell r="S57">
            <v>175.15456967954046</v>
          </cell>
          <cell r="T57">
            <v>17.600000000000001</v>
          </cell>
          <cell r="U57">
            <v>192.75456967954045</v>
          </cell>
          <cell r="V57">
            <v>0</v>
          </cell>
          <cell r="W57">
            <v>0</v>
          </cell>
          <cell r="X57">
            <v>0</v>
          </cell>
          <cell r="Y57">
            <v>192.75456967954045</v>
          </cell>
          <cell r="Z57">
            <v>0</v>
          </cell>
        </row>
        <row r="58">
          <cell r="A58" t="str">
            <v>TMT</v>
          </cell>
          <cell r="B58">
            <v>0</v>
          </cell>
          <cell r="C58">
            <v>0</v>
          </cell>
          <cell r="D58">
            <v>0</v>
          </cell>
          <cell r="E58">
            <v>0</v>
          </cell>
          <cell r="F58" t="str">
            <v xml:space="preserve"> /////////</v>
          </cell>
          <cell r="G58">
            <v>0</v>
          </cell>
          <cell r="H58">
            <v>0</v>
          </cell>
          <cell r="I58">
            <v>0</v>
          </cell>
          <cell r="J58">
            <v>0</v>
          </cell>
          <cell r="K58">
            <v>0</v>
          </cell>
          <cell r="L58">
            <v>0</v>
          </cell>
          <cell r="M58">
            <v>0</v>
          </cell>
          <cell r="N58">
            <v>50</v>
          </cell>
          <cell r="O58" t="str">
            <v>Transurethal Microwave Thermotherapy</v>
          </cell>
          <cell r="P58" t="str">
            <v>TMT</v>
          </cell>
          <cell r="Q58">
            <v>0</v>
          </cell>
          <cell r="R58">
            <v>0</v>
          </cell>
          <cell r="S58">
            <v>0</v>
          </cell>
          <cell r="T58">
            <v>0</v>
          </cell>
          <cell r="U58">
            <v>0</v>
          </cell>
          <cell r="V58">
            <v>0</v>
          </cell>
          <cell r="W58">
            <v>0</v>
          </cell>
          <cell r="X58">
            <v>0</v>
          </cell>
          <cell r="Y58">
            <v>0</v>
          </cell>
          <cell r="Z58">
            <v>0</v>
          </cell>
        </row>
        <row r="59">
          <cell r="A59" t="str">
            <v>OCL</v>
          </cell>
          <cell r="B59">
            <v>0</v>
          </cell>
          <cell r="C59">
            <v>0</v>
          </cell>
          <cell r="D59">
            <v>0</v>
          </cell>
          <cell r="E59">
            <v>0</v>
          </cell>
          <cell r="F59" t="str">
            <v xml:space="preserve"> /////////</v>
          </cell>
          <cell r="G59">
            <v>0</v>
          </cell>
          <cell r="H59">
            <v>0</v>
          </cell>
          <cell r="I59">
            <v>0</v>
          </cell>
          <cell r="J59">
            <v>0</v>
          </cell>
          <cell r="K59">
            <v>0</v>
          </cell>
          <cell r="L59">
            <v>0</v>
          </cell>
          <cell r="M59">
            <v>0</v>
          </cell>
          <cell r="N59">
            <v>51</v>
          </cell>
          <cell r="O59" t="str">
            <v>Oncology O/P Clinic</v>
          </cell>
          <cell r="P59" t="str">
            <v>OCL</v>
          </cell>
          <cell r="Q59">
            <v>0</v>
          </cell>
          <cell r="R59">
            <v>0</v>
          </cell>
          <cell r="S59">
            <v>0</v>
          </cell>
          <cell r="T59">
            <v>0</v>
          </cell>
          <cell r="U59">
            <v>0</v>
          </cell>
          <cell r="V59">
            <v>0</v>
          </cell>
          <cell r="W59">
            <v>0</v>
          </cell>
          <cell r="X59">
            <v>0</v>
          </cell>
          <cell r="Y59">
            <v>0</v>
          </cell>
          <cell r="Z59">
            <v>0</v>
          </cell>
        </row>
        <row r="60">
          <cell r="A60" t="str">
            <v>TNA</v>
          </cell>
          <cell r="B60">
            <v>0</v>
          </cell>
          <cell r="C60">
            <v>5.7203311336568143</v>
          </cell>
          <cell r="D60">
            <v>0.52991823088424495</v>
          </cell>
          <cell r="E60">
            <v>0.21089578100455236</v>
          </cell>
          <cell r="F60" t="str">
            <v xml:space="preserve"> /////////</v>
          </cell>
          <cell r="G60">
            <v>0</v>
          </cell>
          <cell r="H60">
            <v>0</v>
          </cell>
          <cell r="I60">
            <v>6.4611451455456113</v>
          </cell>
          <cell r="J60">
            <v>0.1</v>
          </cell>
          <cell r="K60">
            <v>0</v>
          </cell>
          <cell r="L60">
            <v>6.5611451455456109</v>
          </cell>
          <cell r="M60">
            <v>0</v>
          </cell>
          <cell r="N60">
            <v>52</v>
          </cell>
          <cell r="O60" t="str">
            <v>Transurethal Needle Ablation</v>
          </cell>
          <cell r="P60" t="str">
            <v>TNA</v>
          </cell>
          <cell r="Q60">
            <v>0</v>
          </cell>
          <cell r="R60">
            <v>-0.25800000000000001</v>
          </cell>
          <cell r="S60">
            <v>6.3031451455456109</v>
          </cell>
          <cell r="T60">
            <v>0.6</v>
          </cell>
          <cell r="U60">
            <v>6.9031451455456105</v>
          </cell>
          <cell r="V60">
            <v>0</v>
          </cell>
          <cell r="W60">
            <v>0</v>
          </cell>
          <cell r="X60">
            <v>0</v>
          </cell>
          <cell r="Y60">
            <v>6.9031451455456105</v>
          </cell>
          <cell r="Z60">
            <v>0</v>
          </cell>
        </row>
        <row r="61">
          <cell r="A61" t="str">
            <v>ADM</v>
          </cell>
          <cell r="B61">
            <v>15176</v>
          </cell>
          <cell r="C61" t="str">
            <v>////////////</v>
          </cell>
          <cell r="D61">
            <v>548.58057793559772</v>
          </cell>
          <cell r="E61">
            <v>670.77846475290551</v>
          </cell>
          <cell r="F61" t="str">
            <v xml:space="preserve"> /////////</v>
          </cell>
          <cell r="G61" t="str">
            <v>////////////</v>
          </cell>
          <cell r="H61" t="str">
            <v>////////////</v>
          </cell>
          <cell r="I61">
            <v>1219.3590426885032</v>
          </cell>
          <cell r="J61" t="str">
            <v>////////////</v>
          </cell>
          <cell r="K61" t="str">
            <v>////////////</v>
          </cell>
          <cell r="L61">
            <v>1219.3590426885032</v>
          </cell>
          <cell r="M61">
            <v>0</v>
          </cell>
          <cell r="N61">
            <v>53</v>
          </cell>
          <cell r="O61" t="str">
            <v>Admission Services</v>
          </cell>
          <cell r="P61" t="str">
            <v>ADM</v>
          </cell>
          <cell r="Q61">
            <v>0</v>
          </cell>
          <cell r="R61">
            <v>-47.991999999999997</v>
          </cell>
          <cell r="S61">
            <v>1171.3670426885033</v>
          </cell>
          <cell r="T61">
            <v>117.8</v>
          </cell>
          <cell r="U61">
            <v>1289.1670426885032</v>
          </cell>
          <cell r="V61">
            <v>0</v>
          </cell>
          <cell r="W61">
            <v>0</v>
          </cell>
          <cell r="X61">
            <v>0</v>
          </cell>
          <cell r="Y61">
            <v>1289.1670426885032</v>
          </cell>
          <cell r="Z61">
            <v>84.947749254645714</v>
          </cell>
        </row>
        <row r="62">
          <cell r="A62" t="str">
            <v>MSS</v>
          </cell>
          <cell r="B62">
            <v>24887.001029999999</v>
          </cell>
          <cell r="C62">
            <v>39859.699999999997</v>
          </cell>
          <cell r="D62">
            <v>2664.2860083889332</v>
          </cell>
          <cell r="E62">
            <v>876.7513168352923</v>
          </cell>
          <cell r="F62" t="str">
            <v xml:space="preserve"> /////////</v>
          </cell>
          <cell r="G62" t="str">
            <v>////////////</v>
          </cell>
          <cell r="H62" t="str">
            <v>////////////</v>
          </cell>
          <cell r="I62">
            <v>43400.737325224218</v>
          </cell>
          <cell r="J62">
            <v>24.9</v>
          </cell>
          <cell r="K62" t="str">
            <v>////////////</v>
          </cell>
          <cell r="L62">
            <v>43425.637325224219</v>
          </cell>
          <cell r="M62">
            <v>0</v>
          </cell>
          <cell r="N62">
            <v>54</v>
          </cell>
          <cell r="O62" t="str">
            <v>Med/Surg Supplies</v>
          </cell>
          <cell r="P62" t="str">
            <v>MSS</v>
          </cell>
          <cell r="Q62">
            <v>0</v>
          </cell>
          <cell r="R62">
            <v>-1709.1690000000001</v>
          </cell>
          <cell r="S62">
            <v>41716.468325224218</v>
          </cell>
          <cell r="T62">
            <v>4196.2</v>
          </cell>
          <cell r="U62">
            <v>45912.668325224215</v>
          </cell>
          <cell r="V62">
            <v>0</v>
          </cell>
          <cell r="W62">
            <v>0</v>
          </cell>
          <cell r="X62">
            <v>0</v>
          </cell>
          <cell r="Y62">
            <v>45912.668325224215</v>
          </cell>
          <cell r="Z62">
            <v>1844.8453580195885</v>
          </cell>
        </row>
        <row r="63">
          <cell r="A63" t="str">
            <v>CDS</v>
          </cell>
          <cell r="B63">
            <v>24887.001029999999</v>
          </cell>
          <cell r="C63">
            <v>19398.3</v>
          </cell>
          <cell r="D63">
            <v>5010.36520494045</v>
          </cell>
          <cell r="E63">
            <v>1924.1198952707871</v>
          </cell>
          <cell r="F63" t="str">
            <v xml:space="preserve"> /////////</v>
          </cell>
          <cell r="G63" t="str">
            <v>////////////</v>
          </cell>
          <cell r="H63" t="str">
            <v>////////////</v>
          </cell>
          <cell r="I63">
            <v>26332.785100211237</v>
          </cell>
          <cell r="J63">
            <v>46.8</v>
          </cell>
          <cell r="K63" t="str">
            <v>////////////</v>
          </cell>
          <cell r="L63">
            <v>26379.585100211236</v>
          </cell>
          <cell r="M63">
            <v>0</v>
          </cell>
          <cell r="N63">
            <v>55</v>
          </cell>
          <cell r="O63" t="str">
            <v>Drugs Sold</v>
          </cell>
          <cell r="P63" t="str">
            <v>CDS</v>
          </cell>
          <cell r="Q63">
            <v>0</v>
          </cell>
          <cell r="R63">
            <v>-1038.2619999999999</v>
          </cell>
          <cell r="S63">
            <v>25341.323100211237</v>
          </cell>
          <cell r="T63">
            <v>2549</v>
          </cell>
          <cell r="U63">
            <v>27890.323100211237</v>
          </cell>
          <cell r="V63">
            <v>0</v>
          </cell>
          <cell r="W63">
            <v>0</v>
          </cell>
          <cell r="X63">
            <v>0</v>
          </cell>
          <cell r="Y63">
            <v>27890.323100211237</v>
          </cell>
          <cell r="Z63">
            <v>1120.678343951161</v>
          </cell>
        </row>
        <row r="64">
          <cell r="A64">
            <v>0</v>
          </cell>
          <cell r="B64">
            <v>0</v>
          </cell>
          <cell r="C64">
            <v>0</v>
          </cell>
          <cell r="D64">
            <v>0</v>
          </cell>
          <cell r="E64">
            <v>0</v>
          </cell>
          <cell r="F64" t="str">
            <v xml:space="preserve"> /////////</v>
          </cell>
          <cell r="G64">
            <v>0</v>
          </cell>
          <cell r="H64">
            <v>0</v>
          </cell>
          <cell r="I64">
            <v>0</v>
          </cell>
          <cell r="J64">
            <v>0</v>
          </cell>
          <cell r="K64">
            <v>0</v>
          </cell>
          <cell r="L64">
            <v>0</v>
          </cell>
          <cell r="M64">
            <v>0</v>
          </cell>
          <cell r="N64">
            <v>56</v>
          </cell>
          <cell r="O64">
            <v>0</v>
          </cell>
          <cell r="P64">
            <v>0</v>
          </cell>
          <cell r="Q64">
            <v>0</v>
          </cell>
          <cell r="R64">
            <v>0</v>
          </cell>
          <cell r="S64">
            <v>0</v>
          </cell>
          <cell r="T64">
            <v>0</v>
          </cell>
          <cell r="U64">
            <v>0</v>
          </cell>
          <cell r="V64">
            <v>0</v>
          </cell>
          <cell r="W64">
            <v>0</v>
          </cell>
          <cell r="X64">
            <v>0</v>
          </cell>
          <cell r="Y64">
            <v>0</v>
          </cell>
          <cell r="Z64">
            <v>0</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0</v>
          </cell>
          <cell r="B66">
            <v>21375527.002060004</v>
          </cell>
          <cell r="C66">
            <v>182282.29254629445</v>
          </cell>
          <cell r="D66">
            <v>31793.825480023865</v>
          </cell>
          <cell r="E66">
            <v>45165.780098428666</v>
          </cell>
          <cell r="F66">
            <v>0</v>
          </cell>
          <cell r="G66">
            <v>864.17752951154887</v>
          </cell>
          <cell r="H66">
            <v>0</v>
          </cell>
          <cell r="I66">
            <v>260106.07565425851</v>
          </cell>
          <cell r="J66">
            <v>20386.5</v>
          </cell>
          <cell r="K66">
            <v>3496.9768820000004</v>
          </cell>
          <cell r="L66">
            <v>283989.55253625853</v>
          </cell>
          <cell r="M66">
            <v>0</v>
          </cell>
          <cell r="N66" t="str">
            <v>B</v>
          </cell>
          <cell r="O66" t="str">
            <v>TOTAL</v>
          </cell>
          <cell r="P66">
            <v>0</v>
          </cell>
          <cell r="Q66">
            <v>0</v>
          </cell>
          <cell r="R66">
            <v>-11177.409999999996</v>
          </cell>
          <cell r="S66">
            <v>272812.14253625856</v>
          </cell>
          <cell r="T66">
            <v>27441.200000000001</v>
          </cell>
          <cell r="U66">
            <v>300253.34253625845</v>
          </cell>
          <cell r="V66">
            <v>0</v>
          </cell>
          <cell r="W66">
            <v>0</v>
          </cell>
          <cell r="X66">
            <v>0</v>
          </cell>
          <cell r="Y66">
            <v>300253.34253625845</v>
          </cell>
          <cell r="Z66" t="str">
            <v>//////////////</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0</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A72">
            <v>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A74">
            <v>0</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row r="75">
          <cell r="A75">
            <v>0</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A76">
            <v>0</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A77">
            <v>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A78">
            <v>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sheetData>
      <sheetData sheetId="105" refreshError="1"/>
      <sheetData sheetId="106" refreshError="1"/>
      <sheetData sheetId="107" refreshError="1"/>
      <sheetData sheetId="108">
        <row r="1">
          <cell r="P1">
            <v>1</v>
          </cell>
          <cell r="Q1" t="str">
            <v>January</v>
          </cell>
        </row>
        <row r="2">
          <cell r="P2">
            <v>2</v>
          </cell>
          <cell r="Q2" t="str">
            <v>February</v>
          </cell>
        </row>
        <row r="3">
          <cell r="P3">
            <v>3</v>
          </cell>
          <cell r="Q3" t="str">
            <v>March</v>
          </cell>
        </row>
        <row r="4">
          <cell r="P4">
            <v>4</v>
          </cell>
          <cell r="Q4" t="str">
            <v>April</v>
          </cell>
        </row>
        <row r="5">
          <cell r="P5">
            <v>5</v>
          </cell>
          <cell r="Q5" t="str">
            <v>May</v>
          </cell>
        </row>
        <row r="6">
          <cell r="P6">
            <v>6</v>
          </cell>
          <cell r="Q6" t="str">
            <v>June</v>
          </cell>
        </row>
        <row r="7">
          <cell r="P7">
            <v>7</v>
          </cell>
          <cell r="Q7" t="str">
            <v>July</v>
          </cell>
        </row>
        <row r="8">
          <cell r="P8">
            <v>8</v>
          </cell>
          <cell r="Q8" t="str">
            <v>August</v>
          </cell>
        </row>
        <row r="9">
          <cell r="P9">
            <v>9</v>
          </cell>
          <cell r="Q9" t="str">
            <v>September</v>
          </cell>
        </row>
        <row r="10">
          <cell r="P10">
            <v>10</v>
          </cell>
          <cell r="Q10" t="str">
            <v>October</v>
          </cell>
        </row>
        <row r="11">
          <cell r="P11">
            <v>11</v>
          </cell>
          <cell r="Q11" t="str">
            <v>November</v>
          </cell>
        </row>
        <row r="12">
          <cell r="P12">
            <v>12</v>
          </cell>
          <cell r="Q12" t="str">
            <v>December</v>
          </cell>
        </row>
      </sheetData>
      <sheetData sheetId="109" refreshError="1"/>
      <sheetData sheetId="110" refreshError="1"/>
      <sheetData sheetId="111" refreshError="1"/>
      <sheetData sheetId="112" refreshError="1"/>
      <sheetData sheetId="1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UMH"/>
      <sheetName val="CC"/>
      <sheetName val="STC"/>
      <sheetName val="CORP"/>
    </sheetNames>
    <sheetDataSet>
      <sheetData sheetId="0" refreshError="1"/>
      <sheetData sheetId="1">
        <row r="976">
          <cell r="A976" t="str">
            <v>0167532</v>
          </cell>
          <cell r="B976" t="str">
            <v xml:space="preserve">  Transitional Rehab Center</v>
          </cell>
          <cell r="C976">
            <v>123</v>
          </cell>
          <cell r="E976" t="str">
            <v>D</v>
          </cell>
          <cell r="F976" t="str">
            <v xml:space="preserve"> </v>
          </cell>
          <cell r="G976" t="str">
            <v xml:space="preserve"> </v>
          </cell>
          <cell r="H976" t="str">
            <v>1INAC</v>
          </cell>
          <cell r="I976" t="str">
            <v>Zhang, Lingwei</v>
          </cell>
          <cell r="J976" t="str">
            <v>Walt Augustin</v>
          </cell>
          <cell r="L976" t="str">
            <v/>
          </cell>
          <cell r="M976" t="str">
            <v/>
          </cell>
          <cell r="N976" t="str">
            <v/>
          </cell>
          <cell r="O976" t="str">
            <v/>
          </cell>
          <cell r="P976" t="str">
            <v/>
          </cell>
          <cell r="Q976" t="str">
            <v/>
          </cell>
          <cell r="R976" t="str">
            <v>Augustin, W</v>
          </cell>
          <cell r="S976" t="str">
            <v/>
          </cell>
          <cell r="T976" t="str">
            <v>Franey, Hank</v>
          </cell>
          <cell r="U976" t="str">
            <v>Schimpff, Stephen</v>
          </cell>
          <cell r="V976" t="str">
            <v>Ashworth, John</v>
          </cell>
          <cell r="W976" t="str">
            <v>Inactive</v>
          </cell>
        </row>
        <row r="977">
          <cell r="A977" t="str">
            <v>0168212</v>
          </cell>
          <cell r="B977" t="str">
            <v xml:space="preserve">  Joslin at Shipleys</v>
          </cell>
          <cell r="C977">
            <v>128</v>
          </cell>
          <cell r="E977" t="str">
            <v>D</v>
          </cell>
          <cell r="F977" t="str">
            <v xml:space="preserve"> </v>
          </cell>
          <cell r="G977" t="str">
            <v xml:space="preserve"> </v>
          </cell>
          <cell r="H977" t="str">
            <v>1INAC</v>
          </cell>
          <cell r="I977" t="str">
            <v>Zhang, Lingwei</v>
          </cell>
          <cell r="J977" t="str">
            <v>Walt Augustin</v>
          </cell>
          <cell r="L977" t="str">
            <v/>
          </cell>
          <cell r="M977" t="str">
            <v/>
          </cell>
          <cell r="N977" t="str">
            <v/>
          </cell>
          <cell r="O977" t="str">
            <v/>
          </cell>
          <cell r="P977" t="str">
            <v/>
          </cell>
          <cell r="Q977" t="str">
            <v/>
          </cell>
          <cell r="R977" t="str">
            <v>Augustin, W</v>
          </cell>
          <cell r="S977" t="str">
            <v/>
          </cell>
          <cell r="T977" t="str">
            <v>Franey, Hank</v>
          </cell>
          <cell r="U977" t="str">
            <v>Schimpff, Stephen</v>
          </cell>
          <cell r="V977" t="str">
            <v>Ashworth, John</v>
          </cell>
          <cell r="W977" t="str">
            <v>Inactive</v>
          </cell>
        </row>
        <row r="978">
          <cell r="A978" t="str">
            <v>0176027</v>
          </cell>
          <cell r="B978" t="str">
            <v xml:space="preserve">  SRGN Acute 10 South</v>
          </cell>
          <cell r="C978">
            <v>146</v>
          </cell>
          <cell r="E978" t="str">
            <v>D</v>
          </cell>
          <cell r="F978" t="str">
            <v xml:space="preserve"> </v>
          </cell>
          <cell r="G978" t="str">
            <v xml:space="preserve"> </v>
          </cell>
          <cell r="H978" t="str">
            <v>1INAC</v>
          </cell>
          <cell r="I978" t="str">
            <v>Zhang, Lingwei</v>
          </cell>
          <cell r="J978" t="str">
            <v>Walt Augustin</v>
          </cell>
          <cell r="L978" t="str">
            <v/>
          </cell>
          <cell r="M978" t="str">
            <v/>
          </cell>
          <cell r="N978" t="str">
            <v/>
          </cell>
          <cell r="O978" t="str">
            <v/>
          </cell>
          <cell r="P978" t="str">
            <v/>
          </cell>
          <cell r="Q978" t="str">
            <v/>
          </cell>
          <cell r="R978" t="str">
            <v>Augustin, W</v>
          </cell>
          <cell r="S978" t="str">
            <v/>
          </cell>
          <cell r="T978" t="str">
            <v>Franey, Hank</v>
          </cell>
          <cell r="U978" t="str">
            <v>Schimpff, Stephen</v>
          </cell>
          <cell r="V978" t="str">
            <v>Ashworth, John</v>
          </cell>
          <cell r="W978" t="str">
            <v>Inactive</v>
          </cell>
        </row>
        <row r="979">
          <cell r="A979" t="str">
            <v>0176053</v>
          </cell>
          <cell r="B979" t="str">
            <v xml:space="preserve">  SRGN SICU/SD GUD 4W</v>
          </cell>
          <cell r="C979">
            <v>147</v>
          </cell>
          <cell r="E979" t="str">
            <v>D</v>
          </cell>
          <cell r="F979" t="str">
            <v xml:space="preserve"> </v>
          </cell>
          <cell r="G979" t="str">
            <v xml:space="preserve"> </v>
          </cell>
          <cell r="H979" t="str">
            <v>1INAC</v>
          </cell>
          <cell r="I979" t="str">
            <v>Zhang, Lingwei</v>
          </cell>
          <cell r="J979" t="str">
            <v>Walt Augustin</v>
          </cell>
          <cell r="L979" t="str">
            <v/>
          </cell>
          <cell r="M979" t="str">
            <v/>
          </cell>
          <cell r="N979" t="str">
            <v/>
          </cell>
          <cell r="O979" t="str">
            <v/>
          </cell>
          <cell r="P979" t="str">
            <v/>
          </cell>
          <cell r="Q979" t="str">
            <v/>
          </cell>
          <cell r="R979" t="str">
            <v>Augustin, W</v>
          </cell>
          <cell r="S979" t="str">
            <v/>
          </cell>
          <cell r="T979" t="str">
            <v>Franey, Hank</v>
          </cell>
          <cell r="U979" t="str">
            <v>Schimpff, Stephen</v>
          </cell>
          <cell r="V979" t="str">
            <v>Ashworth, John</v>
          </cell>
          <cell r="W979" t="str">
            <v>Inactive</v>
          </cell>
        </row>
        <row r="980">
          <cell r="A980" t="str">
            <v>0176105</v>
          </cell>
          <cell r="B980" t="str">
            <v xml:space="preserve">  Peds GI Clinic</v>
          </cell>
          <cell r="C980">
            <v>149</v>
          </cell>
          <cell r="E980" t="str">
            <v>D</v>
          </cell>
          <cell r="F980" t="str">
            <v xml:space="preserve"> </v>
          </cell>
          <cell r="G980" t="str">
            <v xml:space="preserve"> </v>
          </cell>
          <cell r="H980" t="str">
            <v>1INAC</v>
          </cell>
          <cell r="I980" t="str">
            <v>Zhang, Lingwei</v>
          </cell>
          <cell r="J980" t="str">
            <v>Walt Augustin</v>
          </cell>
          <cell r="L980" t="str">
            <v/>
          </cell>
          <cell r="M980" t="str">
            <v/>
          </cell>
          <cell r="N980" t="str">
            <v/>
          </cell>
          <cell r="O980" t="str">
            <v/>
          </cell>
          <cell r="P980" t="str">
            <v>Hernandez, Alexis</v>
          </cell>
          <cell r="Q980" t="str">
            <v/>
          </cell>
          <cell r="R980" t="str">
            <v>Augustin, W</v>
          </cell>
          <cell r="S980" t="str">
            <v/>
          </cell>
          <cell r="T980" t="str">
            <v>Franey, Hank</v>
          </cell>
          <cell r="U980" t="str">
            <v>Schimpff, Stephen</v>
          </cell>
          <cell r="V980" t="str">
            <v>Ashworth, John</v>
          </cell>
          <cell r="W980" t="str">
            <v>Inactive</v>
          </cell>
        </row>
        <row r="981">
          <cell r="A981" t="str">
            <v>0176270</v>
          </cell>
          <cell r="B981" t="str">
            <v xml:space="preserve">  SRGN Step Down</v>
          </cell>
          <cell r="C981">
            <v>169</v>
          </cell>
          <cell r="E981" t="str">
            <v>D</v>
          </cell>
          <cell r="F981" t="str">
            <v xml:space="preserve"> </v>
          </cell>
          <cell r="G981" t="str">
            <v xml:space="preserve"> </v>
          </cell>
          <cell r="H981" t="str">
            <v>1INAC</v>
          </cell>
          <cell r="I981" t="str">
            <v>Zhang, Lingwei</v>
          </cell>
          <cell r="J981" t="str">
            <v>Walt Augustin</v>
          </cell>
          <cell r="L981" t="str">
            <v/>
          </cell>
          <cell r="M981" t="str">
            <v/>
          </cell>
          <cell r="N981" t="str">
            <v/>
          </cell>
          <cell r="O981" t="str">
            <v/>
          </cell>
          <cell r="P981" t="str">
            <v/>
          </cell>
          <cell r="Q981" t="str">
            <v/>
          </cell>
          <cell r="R981" t="str">
            <v>Augustin, W</v>
          </cell>
          <cell r="S981" t="str">
            <v/>
          </cell>
          <cell r="T981" t="str">
            <v>Franey, Hank</v>
          </cell>
          <cell r="U981" t="str">
            <v>Schimpff, Stephen</v>
          </cell>
          <cell r="V981" t="str">
            <v>Ashworth, John</v>
          </cell>
          <cell r="W981" t="str">
            <v>Inactive</v>
          </cell>
        </row>
        <row r="982">
          <cell r="A982" t="str">
            <v>0176357</v>
          </cell>
          <cell r="B982" t="str">
            <v xml:space="preserve">  PEDN PICU Step Down</v>
          </cell>
          <cell r="C982">
            <v>171</v>
          </cell>
          <cell r="E982" t="str">
            <v>D</v>
          </cell>
          <cell r="F982" t="str">
            <v xml:space="preserve"> </v>
          </cell>
          <cell r="G982" t="str">
            <v xml:space="preserve"> </v>
          </cell>
          <cell r="H982" t="str">
            <v>1INAC</v>
          </cell>
          <cell r="I982" t="str">
            <v>Zhang, Lingwei</v>
          </cell>
          <cell r="J982" t="str">
            <v>Walt Augustin</v>
          </cell>
          <cell r="L982" t="str">
            <v/>
          </cell>
          <cell r="M982" t="str">
            <v/>
          </cell>
          <cell r="N982" t="str">
            <v/>
          </cell>
          <cell r="O982" t="str">
            <v/>
          </cell>
          <cell r="P982" t="str">
            <v/>
          </cell>
          <cell r="Q982" t="str">
            <v/>
          </cell>
          <cell r="R982" t="str">
            <v>Augustin, W</v>
          </cell>
          <cell r="S982" t="str">
            <v/>
          </cell>
          <cell r="T982" t="str">
            <v>Franey, Hank</v>
          </cell>
          <cell r="U982" t="str">
            <v>Schimpff, Stephen</v>
          </cell>
          <cell r="V982" t="str">
            <v>Ashworth, John</v>
          </cell>
          <cell r="W982" t="str">
            <v>Inactive</v>
          </cell>
        </row>
        <row r="983">
          <cell r="A983" t="str">
            <v>0176513</v>
          </cell>
          <cell r="B983" t="str">
            <v xml:space="preserve">  PEDN Transport</v>
          </cell>
          <cell r="C983">
            <v>173</v>
          </cell>
          <cell r="E983" t="str">
            <v>D</v>
          </cell>
          <cell r="F983" t="str">
            <v xml:space="preserve"> </v>
          </cell>
          <cell r="G983" t="str">
            <v xml:space="preserve"> </v>
          </cell>
          <cell r="H983" t="str">
            <v>1INAC</v>
          </cell>
          <cell r="I983" t="str">
            <v>Zhang, Lingwei</v>
          </cell>
          <cell r="J983" t="str">
            <v>Walt Augustin</v>
          </cell>
          <cell r="L983" t="str">
            <v/>
          </cell>
          <cell r="M983" t="str">
            <v/>
          </cell>
          <cell r="N983" t="str">
            <v/>
          </cell>
          <cell r="O983" t="str">
            <v/>
          </cell>
          <cell r="P983" t="str">
            <v/>
          </cell>
          <cell r="Q983" t="str">
            <v/>
          </cell>
          <cell r="R983" t="str">
            <v>Augustin, W</v>
          </cell>
          <cell r="S983" t="str">
            <v/>
          </cell>
          <cell r="T983" t="str">
            <v>Franey, Hank</v>
          </cell>
          <cell r="U983" t="str">
            <v>Schimpff, Stephen</v>
          </cell>
          <cell r="V983" t="str">
            <v>Ashworth, John</v>
          </cell>
          <cell r="W983" t="str">
            <v>Inactive</v>
          </cell>
        </row>
        <row r="984">
          <cell r="A984" t="str">
            <v>0177241</v>
          </cell>
          <cell r="B984" t="str">
            <v xml:space="preserve">  LABA Neuropathology</v>
          </cell>
          <cell r="C984">
            <v>227</v>
          </cell>
          <cell r="E984" t="str">
            <v>D</v>
          </cell>
          <cell r="F984" t="str">
            <v xml:space="preserve"> </v>
          </cell>
          <cell r="G984" t="str">
            <v xml:space="preserve"> </v>
          </cell>
          <cell r="H984" t="str">
            <v>1INAC</v>
          </cell>
          <cell r="I984" t="str">
            <v>Zhang, Lingwei</v>
          </cell>
          <cell r="J984" t="str">
            <v>Walt Augustin</v>
          </cell>
          <cell r="L984" t="str">
            <v/>
          </cell>
          <cell r="M984" t="str">
            <v/>
          </cell>
          <cell r="N984" t="str">
            <v/>
          </cell>
          <cell r="O984" t="str">
            <v/>
          </cell>
          <cell r="P984" t="str">
            <v/>
          </cell>
          <cell r="Q984" t="str">
            <v/>
          </cell>
          <cell r="R984" t="str">
            <v>Augustin, W</v>
          </cell>
          <cell r="S984" t="str">
            <v/>
          </cell>
          <cell r="T984" t="str">
            <v>Franey, Hank</v>
          </cell>
          <cell r="U984" t="str">
            <v>Schimpff, Stephen</v>
          </cell>
          <cell r="V984" t="str">
            <v>Ashworth, John</v>
          </cell>
          <cell r="W984" t="str">
            <v>Inactive</v>
          </cell>
        </row>
        <row r="985">
          <cell r="A985" t="str">
            <v>0177329</v>
          </cell>
          <cell r="B985" t="str">
            <v xml:space="preserve">  Rad Peds Card Cath</v>
          </cell>
          <cell r="C985">
            <v>238</v>
          </cell>
          <cell r="E985" t="str">
            <v>D</v>
          </cell>
          <cell r="F985" t="str">
            <v xml:space="preserve"> </v>
          </cell>
          <cell r="G985" t="str">
            <v xml:space="preserve"> </v>
          </cell>
          <cell r="H985" t="str">
            <v>1INAC</v>
          </cell>
          <cell r="I985" t="str">
            <v>Zhang, Lingwei</v>
          </cell>
          <cell r="J985" t="str">
            <v>Walt Augustin</v>
          </cell>
          <cell r="L985" t="str">
            <v/>
          </cell>
          <cell r="M985" t="str">
            <v/>
          </cell>
          <cell r="N985" t="str">
            <v/>
          </cell>
          <cell r="O985" t="str">
            <v/>
          </cell>
          <cell r="P985" t="str">
            <v/>
          </cell>
          <cell r="Q985" t="str">
            <v/>
          </cell>
          <cell r="R985" t="str">
            <v>Augustin, W</v>
          </cell>
          <cell r="S985" t="str">
            <v/>
          </cell>
          <cell r="T985" t="str">
            <v>Franey, Hank</v>
          </cell>
          <cell r="U985" t="str">
            <v>Schimpff, Stephen</v>
          </cell>
          <cell r="V985" t="str">
            <v>Ashworth, John</v>
          </cell>
          <cell r="W985" t="str">
            <v>Inactive</v>
          </cell>
        </row>
        <row r="986">
          <cell r="A986" t="str">
            <v>0177600</v>
          </cell>
          <cell r="B986" t="str">
            <v xml:space="preserve">  Dermatology</v>
          </cell>
          <cell r="C986">
            <v>252</v>
          </cell>
          <cell r="E986" t="str">
            <v>D</v>
          </cell>
          <cell r="F986" t="str">
            <v xml:space="preserve"> </v>
          </cell>
          <cell r="G986" t="str">
            <v xml:space="preserve"> </v>
          </cell>
          <cell r="H986" t="str">
            <v>1INAC</v>
          </cell>
          <cell r="I986" t="str">
            <v>Zhang, Lingwei</v>
          </cell>
          <cell r="J986" t="str">
            <v>Walt Augustin</v>
          </cell>
          <cell r="L986" t="str">
            <v/>
          </cell>
          <cell r="M986" t="str">
            <v/>
          </cell>
          <cell r="N986" t="str">
            <v/>
          </cell>
          <cell r="O986" t="str">
            <v/>
          </cell>
          <cell r="P986" t="str">
            <v/>
          </cell>
          <cell r="Q986" t="str">
            <v/>
          </cell>
          <cell r="R986" t="str">
            <v>Augustin, W</v>
          </cell>
          <cell r="S986" t="str">
            <v/>
          </cell>
          <cell r="T986" t="str">
            <v>Franey, Hank</v>
          </cell>
          <cell r="U986" t="str">
            <v>Schimpff, Stephen</v>
          </cell>
          <cell r="V986" t="str">
            <v>Ashworth, John</v>
          </cell>
          <cell r="W986" t="str">
            <v>Inactive</v>
          </cell>
        </row>
        <row r="987">
          <cell r="A987" t="str">
            <v>0178608</v>
          </cell>
          <cell r="B987" t="str">
            <v xml:space="preserve">  Post Acute Services Administration</v>
          </cell>
          <cell r="C987">
            <v>292</v>
          </cell>
          <cell r="E987" t="str">
            <v>D</v>
          </cell>
          <cell r="F987" t="str">
            <v xml:space="preserve"> </v>
          </cell>
          <cell r="G987" t="str">
            <v xml:space="preserve"> </v>
          </cell>
          <cell r="H987" t="str">
            <v>1INAC</v>
          </cell>
          <cell r="I987" t="str">
            <v>Zhang, Lingwei</v>
          </cell>
          <cell r="J987" t="str">
            <v>Walt Augustin</v>
          </cell>
          <cell r="L987" t="str">
            <v/>
          </cell>
          <cell r="M987" t="str">
            <v/>
          </cell>
          <cell r="N987" t="str">
            <v/>
          </cell>
          <cell r="O987" t="str">
            <v/>
          </cell>
          <cell r="P987" t="str">
            <v/>
          </cell>
          <cell r="Q987" t="str">
            <v/>
          </cell>
          <cell r="R987" t="str">
            <v>Augustin, W</v>
          </cell>
          <cell r="S987" t="str">
            <v/>
          </cell>
          <cell r="T987" t="str">
            <v>Franey, Hank</v>
          </cell>
          <cell r="U987" t="str">
            <v>Schimpff, Stephen</v>
          </cell>
          <cell r="V987" t="str">
            <v>Ashworth, John</v>
          </cell>
          <cell r="W987" t="str">
            <v>Inactive</v>
          </cell>
        </row>
        <row r="988">
          <cell r="A988" t="str">
            <v>0178740</v>
          </cell>
          <cell r="B988" t="str">
            <v xml:space="preserve">  Administration </v>
          </cell>
          <cell r="C988">
            <v>313</v>
          </cell>
          <cell r="E988" t="str">
            <v>D</v>
          </cell>
          <cell r="F988" t="str">
            <v xml:space="preserve"> </v>
          </cell>
          <cell r="G988" t="str">
            <v xml:space="preserve"> </v>
          </cell>
          <cell r="H988" t="str">
            <v>1INAC</v>
          </cell>
          <cell r="I988" t="str">
            <v>Zhang, Lingwei</v>
          </cell>
          <cell r="J988" t="str">
            <v>Walt Augustin</v>
          </cell>
          <cell r="L988" t="str">
            <v/>
          </cell>
          <cell r="M988" t="str">
            <v/>
          </cell>
          <cell r="N988" t="str">
            <v/>
          </cell>
          <cell r="O988" t="str">
            <v/>
          </cell>
          <cell r="P988" t="str">
            <v/>
          </cell>
          <cell r="Q988" t="str">
            <v/>
          </cell>
          <cell r="R988" t="str">
            <v>Augustin, W</v>
          </cell>
          <cell r="S988" t="str">
            <v/>
          </cell>
          <cell r="T988" t="str">
            <v>Franey, Hank</v>
          </cell>
          <cell r="U988" t="str">
            <v>Schimpff, Stephen</v>
          </cell>
          <cell r="V988" t="str">
            <v>Ashworth, John</v>
          </cell>
          <cell r="W988" t="str">
            <v>Inactive</v>
          </cell>
        </row>
        <row r="989">
          <cell r="A989" t="str">
            <v>0178769</v>
          </cell>
          <cell r="B989" t="str">
            <v xml:space="preserve">  Perioperative Nursing Plan Reduction</v>
          </cell>
          <cell r="C989">
            <v>327</v>
          </cell>
          <cell r="E989" t="str">
            <v>D</v>
          </cell>
          <cell r="F989" t="str">
            <v xml:space="preserve"> </v>
          </cell>
          <cell r="G989" t="str">
            <v xml:space="preserve"> </v>
          </cell>
          <cell r="H989" t="str">
            <v>1INAC</v>
          </cell>
          <cell r="I989" t="str">
            <v>Zhang, Lingwei</v>
          </cell>
          <cell r="J989" t="str">
            <v>Walt Augustin</v>
          </cell>
          <cell r="L989" t="str">
            <v/>
          </cell>
          <cell r="M989" t="str">
            <v/>
          </cell>
          <cell r="N989" t="str">
            <v/>
          </cell>
          <cell r="O989" t="str">
            <v/>
          </cell>
          <cell r="P989" t="str">
            <v/>
          </cell>
          <cell r="Q989" t="str">
            <v/>
          </cell>
          <cell r="R989" t="str">
            <v>Augustin, W</v>
          </cell>
          <cell r="S989" t="str">
            <v/>
          </cell>
          <cell r="T989" t="str">
            <v>Franey, Hank</v>
          </cell>
          <cell r="U989" t="str">
            <v>Schimpff, Stephen</v>
          </cell>
          <cell r="V989" t="str">
            <v>Ashworth, John</v>
          </cell>
          <cell r="W989" t="str">
            <v>Inactive</v>
          </cell>
        </row>
        <row r="990">
          <cell r="A990" t="str">
            <v>0178770</v>
          </cell>
          <cell r="B990" t="str">
            <v xml:space="preserve">  Neuro Care Plan Reduction</v>
          </cell>
          <cell r="C990">
            <v>328</v>
          </cell>
          <cell r="E990" t="str">
            <v>D</v>
          </cell>
          <cell r="F990" t="str">
            <v xml:space="preserve"> </v>
          </cell>
          <cell r="G990" t="str">
            <v xml:space="preserve"> </v>
          </cell>
          <cell r="H990" t="str">
            <v>1INAC</v>
          </cell>
          <cell r="I990" t="str">
            <v>Zhang, Lingwei</v>
          </cell>
          <cell r="J990" t="str">
            <v>Walt Augustin</v>
          </cell>
          <cell r="L990" t="str">
            <v/>
          </cell>
          <cell r="M990" t="str">
            <v/>
          </cell>
          <cell r="N990" t="str">
            <v/>
          </cell>
          <cell r="O990" t="str">
            <v/>
          </cell>
          <cell r="P990" t="str">
            <v/>
          </cell>
          <cell r="Q990" t="str">
            <v/>
          </cell>
          <cell r="R990" t="str">
            <v>Augustin, W</v>
          </cell>
          <cell r="S990" t="str">
            <v/>
          </cell>
          <cell r="T990" t="str">
            <v>Franey, Hank</v>
          </cell>
          <cell r="U990" t="str">
            <v>Schimpff, Stephen</v>
          </cell>
          <cell r="V990" t="str">
            <v>Ashworth, John</v>
          </cell>
          <cell r="W990" t="str">
            <v>Inactive</v>
          </cell>
        </row>
        <row r="991">
          <cell r="A991" t="str">
            <v>0188414</v>
          </cell>
          <cell r="B991" t="str">
            <v xml:space="preserve">  FAC Building Systems</v>
          </cell>
          <cell r="C991">
            <v>354</v>
          </cell>
          <cell r="E991" t="str">
            <v>D</v>
          </cell>
          <cell r="F991" t="str">
            <v xml:space="preserve"> </v>
          </cell>
          <cell r="G991" t="str">
            <v xml:space="preserve"> </v>
          </cell>
          <cell r="H991" t="str">
            <v>1INAC</v>
          </cell>
          <cell r="I991" t="str">
            <v>Zhang, Lingwei</v>
          </cell>
          <cell r="J991" t="str">
            <v>Walt Augustin</v>
          </cell>
          <cell r="L991" t="str">
            <v/>
          </cell>
          <cell r="M991" t="str">
            <v/>
          </cell>
          <cell r="N991" t="str">
            <v/>
          </cell>
          <cell r="O991" t="str">
            <v/>
          </cell>
          <cell r="P991" t="str">
            <v/>
          </cell>
          <cell r="Q991" t="str">
            <v/>
          </cell>
          <cell r="R991" t="str">
            <v>Augustin, W</v>
          </cell>
          <cell r="S991" t="str">
            <v/>
          </cell>
          <cell r="T991" t="str">
            <v>Franey, Hank</v>
          </cell>
          <cell r="U991" t="str">
            <v>Schimpff, Stephen</v>
          </cell>
          <cell r="V991" t="str">
            <v>Ashworth, John</v>
          </cell>
          <cell r="W991" t="str">
            <v>Inactive</v>
          </cell>
        </row>
        <row r="992">
          <cell r="A992" t="str">
            <v>0188517</v>
          </cell>
          <cell r="B992" t="str">
            <v xml:space="preserve">  Finance Admin Adj</v>
          </cell>
          <cell r="C992">
            <v>417</v>
          </cell>
          <cell r="F992" t="str">
            <v xml:space="preserve"> </v>
          </cell>
          <cell r="G992" t="str">
            <v xml:space="preserve"> </v>
          </cell>
          <cell r="H992" t="str">
            <v>1INAC</v>
          </cell>
          <cell r="I992" t="str">
            <v>Zhang, Lingwei</v>
          </cell>
          <cell r="J992" t="str">
            <v>Walt Augustin</v>
          </cell>
          <cell r="L992" t="str">
            <v/>
          </cell>
          <cell r="M992" t="str">
            <v/>
          </cell>
          <cell r="N992" t="str">
            <v/>
          </cell>
          <cell r="O992" t="str">
            <v/>
          </cell>
          <cell r="P992" t="str">
            <v/>
          </cell>
          <cell r="Q992" t="str">
            <v/>
          </cell>
          <cell r="R992" t="str">
            <v>Augustin, W</v>
          </cell>
          <cell r="S992" t="str">
            <v/>
          </cell>
          <cell r="T992" t="str">
            <v>Franey, Hank</v>
          </cell>
          <cell r="U992" t="str">
            <v>Schimpff, Stephen</v>
          </cell>
          <cell r="V992" t="str">
            <v>Ashworth, John</v>
          </cell>
          <cell r="W992" t="str">
            <v>Inactive</v>
          </cell>
        </row>
        <row r="993">
          <cell r="A993" t="str">
            <v>0188519</v>
          </cell>
          <cell r="B993" t="str">
            <v xml:space="preserve">  Shipley's PT</v>
          </cell>
          <cell r="C993">
            <v>419</v>
          </cell>
          <cell r="E993" t="str">
            <v>D</v>
          </cell>
          <cell r="F993" t="str">
            <v xml:space="preserve"> </v>
          </cell>
          <cell r="G993" t="str">
            <v xml:space="preserve"> </v>
          </cell>
          <cell r="H993" t="str">
            <v>1INAC</v>
          </cell>
          <cell r="I993" t="str">
            <v>Zhang, Lingwei</v>
          </cell>
          <cell r="J993" t="str">
            <v>Walt Augustin</v>
          </cell>
          <cell r="L993" t="str">
            <v/>
          </cell>
          <cell r="M993" t="str">
            <v/>
          </cell>
          <cell r="N993" t="str">
            <v/>
          </cell>
          <cell r="O993" t="str">
            <v/>
          </cell>
          <cell r="P993" t="str">
            <v/>
          </cell>
          <cell r="Q993" t="str">
            <v/>
          </cell>
          <cell r="R993" t="str">
            <v>Augustin, W</v>
          </cell>
          <cell r="S993" t="str">
            <v/>
          </cell>
          <cell r="T993" t="str">
            <v>Franey, Hank</v>
          </cell>
          <cell r="U993" t="str">
            <v>Schimpff, Stephen</v>
          </cell>
          <cell r="V993" t="str">
            <v>Ashworth, John</v>
          </cell>
          <cell r="W993" t="str">
            <v>Inactive</v>
          </cell>
        </row>
        <row r="994">
          <cell r="A994" t="str">
            <v>0188531</v>
          </cell>
          <cell r="B994" t="str">
            <v xml:space="preserve">  Business Practices Management</v>
          </cell>
          <cell r="C994">
            <v>431</v>
          </cell>
          <cell r="E994" t="str">
            <v>D</v>
          </cell>
          <cell r="F994" t="str">
            <v xml:space="preserve"> </v>
          </cell>
          <cell r="G994" t="str">
            <v xml:space="preserve"> </v>
          </cell>
          <cell r="H994" t="str">
            <v>1INAC</v>
          </cell>
          <cell r="I994" t="str">
            <v>Zhang, Lingwei</v>
          </cell>
          <cell r="J994" t="str">
            <v>Walt Augustin</v>
          </cell>
          <cell r="L994" t="str">
            <v/>
          </cell>
          <cell r="M994" t="str">
            <v/>
          </cell>
          <cell r="N994" t="str">
            <v/>
          </cell>
          <cell r="O994" t="str">
            <v/>
          </cell>
          <cell r="P994" t="str">
            <v/>
          </cell>
          <cell r="Q994" t="str">
            <v/>
          </cell>
          <cell r="R994" t="str">
            <v>Augustin, W</v>
          </cell>
          <cell r="S994" t="str">
            <v/>
          </cell>
          <cell r="T994" t="str">
            <v>Franey, Hank</v>
          </cell>
          <cell r="U994" t="str">
            <v>Schimpff, Stephen</v>
          </cell>
          <cell r="V994" t="str">
            <v>Ashworth, John</v>
          </cell>
          <cell r="W994" t="str">
            <v>Inactive</v>
          </cell>
        </row>
        <row r="995">
          <cell r="A995" t="str">
            <v>0188601</v>
          </cell>
          <cell r="B995" t="str">
            <v xml:space="preserve">  Corporate Rehabilitation</v>
          </cell>
          <cell r="C995">
            <v>444</v>
          </cell>
          <cell r="E995" t="str">
            <v>D</v>
          </cell>
          <cell r="F995" t="str">
            <v xml:space="preserve"> </v>
          </cell>
          <cell r="G995" t="str">
            <v xml:space="preserve"> </v>
          </cell>
          <cell r="H995" t="str">
            <v>1INAC</v>
          </cell>
          <cell r="I995" t="str">
            <v>Zhang, Lingwei</v>
          </cell>
          <cell r="J995" t="str">
            <v>Walt Augustin</v>
          </cell>
          <cell r="L995" t="str">
            <v/>
          </cell>
          <cell r="M995" t="str">
            <v/>
          </cell>
          <cell r="N995" t="str">
            <v/>
          </cell>
          <cell r="O995" t="str">
            <v/>
          </cell>
          <cell r="P995" t="str">
            <v/>
          </cell>
          <cell r="Q995" t="str">
            <v/>
          </cell>
          <cell r="R995" t="str">
            <v>Augustin, W</v>
          </cell>
          <cell r="S995" t="str">
            <v/>
          </cell>
          <cell r="T995" t="str">
            <v>Franey, Hank</v>
          </cell>
          <cell r="U995" t="str">
            <v>Schimpff, Stephen</v>
          </cell>
          <cell r="V995" t="str">
            <v>Ashworth, John</v>
          </cell>
          <cell r="W995" t="str">
            <v>Inactive</v>
          </cell>
        </row>
        <row r="996">
          <cell r="A996" t="str">
            <v>0188602</v>
          </cell>
          <cell r="B996" t="str">
            <v xml:space="preserve">  PLNA Strategic Development</v>
          </cell>
          <cell r="C996">
            <v>445</v>
          </cell>
          <cell r="E996" t="str">
            <v>D</v>
          </cell>
          <cell r="F996" t="str">
            <v xml:space="preserve"> </v>
          </cell>
          <cell r="G996" t="str">
            <v xml:space="preserve"> </v>
          </cell>
          <cell r="H996" t="str">
            <v>1INAC</v>
          </cell>
          <cell r="I996" t="str">
            <v>Zhang, Lingwei</v>
          </cell>
          <cell r="J996" t="str">
            <v>Walt Augustin</v>
          </cell>
          <cell r="L996" t="str">
            <v/>
          </cell>
          <cell r="M996" t="str">
            <v/>
          </cell>
          <cell r="N996" t="str">
            <v/>
          </cell>
          <cell r="O996" t="str">
            <v/>
          </cell>
          <cell r="P996" t="str">
            <v/>
          </cell>
          <cell r="Q996" t="str">
            <v/>
          </cell>
          <cell r="R996" t="str">
            <v>Augustin, W</v>
          </cell>
          <cell r="S996" t="str">
            <v/>
          </cell>
          <cell r="T996" t="str">
            <v>Franey, Hank</v>
          </cell>
          <cell r="U996" t="str">
            <v>Schimpff, Stephen</v>
          </cell>
          <cell r="V996" t="str">
            <v>Ashworth, John</v>
          </cell>
          <cell r="W996" t="str">
            <v>Inactive</v>
          </cell>
        </row>
        <row r="997">
          <cell r="A997" t="str">
            <v>0188637</v>
          </cell>
          <cell r="B997" t="str">
            <v xml:space="preserve">  PHO Development</v>
          </cell>
          <cell r="C997">
            <v>472</v>
          </cell>
          <cell r="E997" t="str">
            <v>D</v>
          </cell>
          <cell r="F997" t="str">
            <v xml:space="preserve"> </v>
          </cell>
          <cell r="G997" t="str">
            <v xml:space="preserve"> </v>
          </cell>
          <cell r="H997" t="str">
            <v>1INAC</v>
          </cell>
          <cell r="I997" t="str">
            <v>Zhang, Lingwei</v>
          </cell>
          <cell r="J997" t="str">
            <v>Walt Augustin</v>
          </cell>
          <cell r="L997" t="str">
            <v/>
          </cell>
          <cell r="M997" t="str">
            <v/>
          </cell>
          <cell r="N997" t="str">
            <v/>
          </cell>
          <cell r="O997" t="str">
            <v/>
          </cell>
          <cell r="P997" t="str">
            <v/>
          </cell>
          <cell r="Q997" t="str">
            <v/>
          </cell>
          <cell r="R997" t="str">
            <v>Augustin, W</v>
          </cell>
          <cell r="S997" t="str">
            <v/>
          </cell>
          <cell r="T997" t="str">
            <v>Franey, Hank</v>
          </cell>
          <cell r="U997" t="str">
            <v>Schimpff, Stephen</v>
          </cell>
          <cell r="V997" t="str">
            <v>Ashworth, John</v>
          </cell>
          <cell r="W997" t="str">
            <v>Inactive</v>
          </cell>
        </row>
        <row r="998">
          <cell r="A998" t="str">
            <v>0188758</v>
          </cell>
          <cell r="B998" t="str">
            <v xml:space="preserve">  QPPD Recruitment</v>
          </cell>
          <cell r="C998">
            <v>502</v>
          </cell>
          <cell r="E998" t="str">
            <v>D</v>
          </cell>
          <cell r="F998" t="str">
            <v xml:space="preserve"> </v>
          </cell>
          <cell r="G998" t="str">
            <v xml:space="preserve"> </v>
          </cell>
          <cell r="H998" t="str">
            <v>1INAC</v>
          </cell>
          <cell r="I998" t="str">
            <v>Zhang, Lingwei</v>
          </cell>
          <cell r="J998" t="str">
            <v>Walt Augustin</v>
          </cell>
          <cell r="L998" t="str">
            <v/>
          </cell>
          <cell r="M998" t="str">
            <v/>
          </cell>
          <cell r="N998" t="str">
            <v/>
          </cell>
          <cell r="O998" t="str">
            <v/>
          </cell>
          <cell r="P998" t="str">
            <v/>
          </cell>
          <cell r="Q998" t="str">
            <v/>
          </cell>
          <cell r="R998" t="str">
            <v>Augustin, W</v>
          </cell>
          <cell r="S998" t="str">
            <v/>
          </cell>
          <cell r="T998" t="str">
            <v>Franey, Hank</v>
          </cell>
          <cell r="U998" t="str">
            <v>Schimpff, Stephen</v>
          </cell>
          <cell r="V998" t="str">
            <v>Ashworth, John</v>
          </cell>
          <cell r="W998" t="str">
            <v>Inactive</v>
          </cell>
        </row>
        <row r="999">
          <cell r="A999" t="str">
            <v>0199500</v>
          </cell>
          <cell r="B999" t="str">
            <v xml:space="preserve">  Univcare/Edmondson</v>
          </cell>
          <cell r="C999">
            <v>591</v>
          </cell>
          <cell r="E999" t="str">
            <v>D</v>
          </cell>
          <cell r="F999" t="str">
            <v xml:space="preserve"> </v>
          </cell>
          <cell r="G999" t="str">
            <v xml:space="preserve"> </v>
          </cell>
          <cell r="H999" t="str">
            <v>1INAC</v>
          </cell>
          <cell r="I999" t="str">
            <v>Zhang, Lingwei</v>
          </cell>
          <cell r="J999" t="str">
            <v>Walt Augustin</v>
          </cell>
          <cell r="L999" t="str">
            <v/>
          </cell>
          <cell r="M999" t="str">
            <v/>
          </cell>
          <cell r="N999" t="str">
            <v/>
          </cell>
          <cell r="O999" t="str">
            <v/>
          </cell>
          <cell r="P999" t="str">
            <v/>
          </cell>
          <cell r="Q999" t="str">
            <v/>
          </cell>
          <cell r="R999" t="str">
            <v>Augustin, W</v>
          </cell>
          <cell r="S999" t="str">
            <v/>
          </cell>
          <cell r="T999" t="str">
            <v>Franey, Hank</v>
          </cell>
          <cell r="U999" t="str">
            <v>Schimpff, Stephen</v>
          </cell>
          <cell r="V999" t="str">
            <v>Ashworth, John</v>
          </cell>
          <cell r="W999" t="str">
            <v>Inactive</v>
          </cell>
        </row>
        <row r="1000">
          <cell r="A1000" t="str">
            <v>0199520</v>
          </cell>
          <cell r="B1000" t="str">
            <v xml:space="preserve">  Univcare/Westside</v>
          </cell>
          <cell r="C1000">
            <v>592</v>
          </cell>
          <cell r="E1000" t="str">
            <v>D</v>
          </cell>
          <cell r="F1000" t="str">
            <v xml:space="preserve"> </v>
          </cell>
          <cell r="G1000" t="str">
            <v xml:space="preserve"> </v>
          </cell>
          <cell r="H1000" t="str">
            <v>1INAC</v>
          </cell>
          <cell r="I1000" t="str">
            <v>Zhang, Lingwei</v>
          </cell>
          <cell r="J1000" t="str">
            <v>Walt Augustin</v>
          </cell>
          <cell r="L1000" t="str">
            <v/>
          </cell>
          <cell r="M1000" t="str">
            <v/>
          </cell>
          <cell r="N1000" t="str">
            <v/>
          </cell>
          <cell r="O1000" t="str">
            <v/>
          </cell>
          <cell r="P1000" t="str">
            <v/>
          </cell>
          <cell r="Q1000" t="str">
            <v/>
          </cell>
          <cell r="R1000" t="str">
            <v>Augustin, W</v>
          </cell>
          <cell r="S1000" t="str">
            <v/>
          </cell>
          <cell r="T1000" t="str">
            <v>Franey, Hank</v>
          </cell>
          <cell r="U1000" t="str">
            <v>Schimpff, Stephen</v>
          </cell>
          <cell r="V1000" t="str">
            <v>Ashworth, John</v>
          </cell>
          <cell r="W1000" t="str">
            <v>Inactive</v>
          </cell>
        </row>
        <row r="1001">
          <cell r="A1001" t="str">
            <v>0199530</v>
          </cell>
          <cell r="B1001" t="str">
            <v xml:space="preserve">  Univcare/Waxter</v>
          </cell>
          <cell r="C1001">
            <v>593</v>
          </cell>
          <cell r="E1001" t="str">
            <v>D</v>
          </cell>
          <cell r="F1001" t="str">
            <v xml:space="preserve"> </v>
          </cell>
          <cell r="G1001" t="str">
            <v xml:space="preserve"> </v>
          </cell>
          <cell r="H1001" t="str">
            <v>1INAC</v>
          </cell>
          <cell r="I1001" t="str">
            <v>Zhang, Lingwei</v>
          </cell>
          <cell r="J1001" t="str">
            <v>Walt Augustin</v>
          </cell>
          <cell r="L1001" t="str">
            <v/>
          </cell>
          <cell r="M1001" t="str">
            <v/>
          </cell>
          <cell r="N1001" t="str">
            <v/>
          </cell>
          <cell r="O1001" t="str">
            <v/>
          </cell>
          <cell r="P1001" t="str">
            <v/>
          </cell>
          <cell r="Q1001" t="str">
            <v/>
          </cell>
          <cell r="R1001" t="str">
            <v>Augustin, W</v>
          </cell>
          <cell r="S1001" t="str">
            <v/>
          </cell>
          <cell r="T1001" t="str">
            <v>Franey, Hank</v>
          </cell>
          <cell r="U1001" t="str">
            <v>Schimpff, Stephen</v>
          </cell>
          <cell r="V1001" t="str">
            <v>Ashworth, John</v>
          </cell>
          <cell r="W1001" t="str">
            <v>Inactive</v>
          </cell>
        </row>
        <row r="1002">
          <cell r="A1002" t="str">
            <v>0199540</v>
          </cell>
          <cell r="B1002" t="str">
            <v xml:space="preserve">  Univcare/Administration</v>
          </cell>
          <cell r="C1002">
            <v>594</v>
          </cell>
          <cell r="E1002" t="str">
            <v>D</v>
          </cell>
          <cell r="F1002" t="str">
            <v xml:space="preserve"> </v>
          </cell>
          <cell r="G1002" t="str">
            <v xml:space="preserve"> </v>
          </cell>
          <cell r="H1002" t="str">
            <v>1INAC</v>
          </cell>
          <cell r="I1002" t="str">
            <v>Zhang, Lingwei</v>
          </cell>
          <cell r="J1002" t="str">
            <v>Walt Augustin</v>
          </cell>
          <cell r="L1002" t="str">
            <v/>
          </cell>
          <cell r="M1002" t="str">
            <v/>
          </cell>
          <cell r="N1002" t="str">
            <v/>
          </cell>
          <cell r="O1002" t="str">
            <v/>
          </cell>
          <cell r="P1002" t="str">
            <v/>
          </cell>
          <cell r="Q1002" t="str">
            <v/>
          </cell>
          <cell r="R1002" t="str">
            <v>Augustin, W</v>
          </cell>
          <cell r="S1002" t="str">
            <v/>
          </cell>
          <cell r="T1002" t="str">
            <v>Franey, Hank</v>
          </cell>
          <cell r="U1002" t="str">
            <v>Schimpff, Stephen</v>
          </cell>
          <cell r="V1002" t="str">
            <v>Ashworth, John</v>
          </cell>
          <cell r="W1002" t="str">
            <v>Inactive</v>
          </cell>
        </row>
        <row r="1003">
          <cell r="A1003" t="str">
            <v>0199550</v>
          </cell>
          <cell r="B1003" t="str">
            <v xml:space="preserve">  Univcare/Opengates</v>
          </cell>
          <cell r="C1003">
            <v>595</v>
          </cell>
          <cell r="E1003" t="str">
            <v>D</v>
          </cell>
          <cell r="F1003" t="str">
            <v xml:space="preserve"> </v>
          </cell>
          <cell r="G1003" t="str">
            <v xml:space="preserve"> </v>
          </cell>
          <cell r="H1003" t="str">
            <v>1INAC</v>
          </cell>
          <cell r="I1003" t="str">
            <v>Zhang, Lingwei</v>
          </cell>
          <cell r="J1003" t="str">
            <v>Walt Augustin</v>
          </cell>
          <cell r="L1003" t="str">
            <v/>
          </cell>
          <cell r="M1003" t="str">
            <v/>
          </cell>
          <cell r="N1003" t="str">
            <v/>
          </cell>
          <cell r="O1003" t="str">
            <v/>
          </cell>
          <cell r="P1003" t="str">
            <v/>
          </cell>
          <cell r="Q1003" t="str">
            <v/>
          </cell>
          <cell r="R1003" t="str">
            <v>Augustin, W</v>
          </cell>
          <cell r="S1003" t="str">
            <v/>
          </cell>
          <cell r="T1003" t="str">
            <v>Franey, Hank</v>
          </cell>
          <cell r="U1003" t="str">
            <v>Schimpff, Stephen</v>
          </cell>
          <cell r="V1003" t="str">
            <v>Ashworth, John</v>
          </cell>
          <cell r="W1003" t="str">
            <v>Inactive</v>
          </cell>
        </row>
        <row r="1004">
          <cell r="A1004" t="str">
            <v>0199570</v>
          </cell>
          <cell r="B1004" t="str">
            <v xml:space="preserve">  Univcare/Howard Park</v>
          </cell>
          <cell r="C1004">
            <v>596</v>
          </cell>
          <cell r="E1004" t="str">
            <v>D</v>
          </cell>
          <cell r="F1004" t="str">
            <v xml:space="preserve"> </v>
          </cell>
          <cell r="G1004" t="str">
            <v xml:space="preserve"> </v>
          </cell>
          <cell r="H1004" t="str">
            <v>1INAC</v>
          </cell>
          <cell r="I1004" t="str">
            <v>Zhang, Lingwei</v>
          </cell>
          <cell r="J1004" t="str">
            <v>Walt Augustin</v>
          </cell>
          <cell r="L1004" t="str">
            <v/>
          </cell>
          <cell r="M1004" t="str">
            <v/>
          </cell>
          <cell r="N1004" t="str">
            <v/>
          </cell>
          <cell r="O1004" t="str">
            <v/>
          </cell>
          <cell r="P1004" t="str">
            <v/>
          </cell>
          <cell r="Q1004" t="str">
            <v/>
          </cell>
          <cell r="R1004" t="str">
            <v>Augustin, W</v>
          </cell>
          <cell r="S1004" t="str">
            <v/>
          </cell>
          <cell r="T1004" t="str">
            <v>Franey, Hank</v>
          </cell>
          <cell r="U1004" t="str">
            <v>Schimpff, Stephen</v>
          </cell>
          <cell r="V1004" t="str">
            <v>Ashworth, John</v>
          </cell>
          <cell r="W1004" t="str">
            <v>Inactive</v>
          </cell>
        </row>
        <row r="1005">
          <cell r="A1005" t="str">
            <v>0199580</v>
          </cell>
          <cell r="B1005" t="str">
            <v xml:space="preserve">  Univcare/Shipleys</v>
          </cell>
          <cell r="C1005">
            <v>597</v>
          </cell>
          <cell r="E1005" t="str">
            <v>D</v>
          </cell>
          <cell r="F1005" t="str">
            <v xml:space="preserve"> </v>
          </cell>
          <cell r="G1005" t="str">
            <v xml:space="preserve"> </v>
          </cell>
          <cell r="H1005" t="str">
            <v>1INAC</v>
          </cell>
          <cell r="I1005" t="str">
            <v>Zhang, Lingwei</v>
          </cell>
          <cell r="J1005" t="str">
            <v>Walt Augustin</v>
          </cell>
          <cell r="L1005" t="str">
            <v/>
          </cell>
          <cell r="M1005" t="str">
            <v/>
          </cell>
          <cell r="N1005" t="str">
            <v/>
          </cell>
          <cell r="O1005" t="str">
            <v/>
          </cell>
          <cell r="P1005" t="str">
            <v/>
          </cell>
          <cell r="Q1005" t="str">
            <v/>
          </cell>
          <cell r="R1005" t="str">
            <v>Augustin, W</v>
          </cell>
          <cell r="S1005" t="str">
            <v/>
          </cell>
          <cell r="T1005" t="str">
            <v>Franey, Hank</v>
          </cell>
          <cell r="U1005" t="str">
            <v>Schimpff, Stephen</v>
          </cell>
          <cell r="V1005" t="str">
            <v>Ashworth, John</v>
          </cell>
          <cell r="W1005" t="str">
            <v>Inactive</v>
          </cell>
        </row>
        <row r="1006">
          <cell r="A1006" t="str">
            <v>0199898</v>
          </cell>
          <cell r="B1006" t="str">
            <v xml:space="preserve">  Error/Suspense</v>
          </cell>
          <cell r="C1006">
            <v>598</v>
          </cell>
          <cell r="E1006" t="str">
            <v>D</v>
          </cell>
          <cell r="F1006" t="str">
            <v xml:space="preserve"> </v>
          </cell>
          <cell r="G1006" t="str">
            <v xml:space="preserve"> </v>
          </cell>
          <cell r="H1006" t="str">
            <v>1INAC</v>
          </cell>
          <cell r="I1006" t="str">
            <v>Zhang, Lingwei</v>
          </cell>
          <cell r="J1006" t="str">
            <v>Walt Augustin</v>
          </cell>
          <cell r="L1006" t="str">
            <v/>
          </cell>
          <cell r="M1006" t="str">
            <v/>
          </cell>
          <cell r="N1006" t="str">
            <v/>
          </cell>
          <cell r="O1006" t="str">
            <v/>
          </cell>
          <cell r="P1006" t="str">
            <v/>
          </cell>
          <cell r="Q1006" t="str">
            <v/>
          </cell>
          <cell r="R1006" t="str">
            <v>Augustin, W</v>
          </cell>
          <cell r="S1006" t="str">
            <v/>
          </cell>
          <cell r="T1006" t="str">
            <v>Franey, Hank</v>
          </cell>
          <cell r="U1006" t="str">
            <v>Schimpff, Stephen</v>
          </cell>
          <cell r="V1006" t="str">
            <v>Ashworth, John</v>
          </cell>
          <cell r="W1006" t="str">
            <v>Inactive</v>
          </cell>
        </row>
        <row r="1007">
          <cell r="A1007" t="str">
            <v>0248302</v>
          </cell>
          <cell r="B1007" t="str">
            <v xml:space="preserve">  Inpatient Revenue</v>
          </cell>
          <cell r="C1007">
            <v>599</v>
          </cell>
          <cell r="E1007" t="str">
            <v>D</v>
          </cell>
          <cell r="F1007" t="str">
            <v xml:space="preserve"> </v>
          </cell>
          <cell r="G1007" t="str">
            <v xml:space="preserve"> </v>
          </cell>
          <cell r="H1007" t="str">
            <v>9SNF</v>
          </cell>
          <cell r="I1007" t="str">
            <v>Zhang, Lingwei</v>
          </cell>
          <cell r="J1007" t="str">
            <v>Walt Augustin</v>
          </cell>
          <cell r="L1007" t="str">
            <v/>
          </cell>
          <cell r="M1007" t="str">
            <v/>
          </cell>
          <cell r="N1007" t="str">
            <v/>
          </cell>
          <cell r="O1007" t="str">
            <v/>
          </cell>
          <cell r="P1007" t="str">
            <v/>
          </cell>
          <cell r="Q1007" t="str">
            <v/>
          </cell>
          <cell r="R1007" t="str">
            <v>Augustin, W</v>
          </cell>
          <cell r="S1007" t="str">
            <v/>
          </cell>
          <cell r="T1007" t="str">
            <v>Franey, Hank</v>
          </cell>
          <cell r="U1007" t="str">
            <v>Schimpff, Stephen</v>
          </cell>
          <cell r="V1007" t="str">
            <v>Ashworth, John</v>
          </cell>
          <cell r="W1007" t="str">
            <v>Inactive</v>
          </cell>
        </row>
        <row r="1008">
          <cell r="A1008" t="str">
            <v>0258304</v>
          </cell>
          <cell r="B1008" t="str">
            <v xml:space="preserve">  Contractuals</v>
          </cell>
          <cell r="C1008">
            <v>600</v>
          </cell>
          <cell r="E1008" t="str">
            <v>D</v>
          </cell>
          <cell r="F1008" t="str">
            <v xml:space="preserve"> </v>
          </cell>
          <cell r="G1008" t="str">
            <v xml:space="preserve"> </v>
          </cell>
          <cell r="H1008" t="str">
            <v>9SNF</v>
          </cell>
          <cell r="I1008" t="str">
            <v>Zhang, Lingwei</v>
          </cell>
          <cell r="J1008" t="str">
            <v>Walt Augustin</v>
          </cell>
          <cell r="L1008" t="str">
            <v/>
          </cell>
          <cell r="M1008" t="str">
            <v/>
          </cell>
          <cell r="N1008" t="str">
            <v/>
          </cell>
          <cell r="O1008" t="str">
            <v/>
          </cell>
          <cell r="P1008" t="str">
            <v/>
          </cell>
          <cell r="Q1008" t="str">
            <v/>
          </cell>
          <cell r="R1008" t="str">
            <v>Augustin, W</v>
          </cell>
          <cell r="S1008" t="str">
            <v/>
          </cell>
          <cell r="T1008" t="str">
            <v>Franey, Hank</v>
          </cell>
          <cell r="U1008" t="str">
            <v>Schimpff, Stephen</v>
          </cell>
          <cell r="V1008" t="str">
            <v>Ashworth, John</v>
          </cell>
          <cell r="W1008" t="str">
            <v>Inactive</v>
          </cell>
        </row>
        <row r="1009">
          <cell r="A1009" t="str">
            <v>0258306</v>
          </cell>
          <cell r="B1009" t="str">
            <v xml:space="preserve">  Other Revenue</v>
          </cell>
          <cell r="C1009">
            <v>601</v>
          </cell>
          <cell r="E1009" t="str">
            <v>D</v>
          </cell>
          <cell r="F1009" t="str">
            <v xml:space="preserve"> </v>
          </cell>
          <cell r="G1009" t="str">
            <v xml:space="preserve"> </v>
          </cell>
          <cell r="H1009" t="str">
            <v>9SNF</v>
          </cell>
          <cell r="I1009" t="str">
            <v>Zhang, Lingwei</v>
          </cell>
          <cell r="J1009" t="str">
            <v>Walt Augustin</v>
          </cell>
          <cell r="L1009" t="str">
            <v/>
          </cell>
          <cell r="M1009" t="str">
            <v/>
          </cell>
          <cell r="N1009" t="str">
            <v/>
          </cell>
          <cell r="O1009" t="str">
            <v/>
          </cell>
          <cell r="P1009" t="str">
            <v/>
          </cell>
          <cell r="Q1009" t="str">
            <v/>
          </cell>
          <cell r="R1009" t="str">
            <v>Augustin, W</v>
          </cell>
          <cell r="S1009" t="str">
            <v/>
          </cell>
          <cell r="T1009" t="str">
            <v>Franey, Hank</v>
          </cell>
          <cell r="U1009" t="str">
            <v>Schimpff, Stephen</v>
          </cell>
          <cell r="V1009" t="str">
            <v>Ashworth, John</v>
          </cell>
          <cell r="W1009" t="str">
            <v>Inactive</v>
          </cell>
        </row>
        <row r="1010">
          <cell r="A1010" t="str">
            <v>0258334</v>
          </cell>
          <cell r="B1010" t="str">
            <v xml:space="preserve">  Bad Debt</v>
          </cell>
          <cell r="C1010">
            <v>602</v>
          </cell>
          <cell r="E1010" t="str">
            <v>D</v>
          </cell>
          <cell r="F1010" t="str">
            <v xml:space="preserve"> </v>
          </cell>
          <cell r="G1010" t="str">
            <v xml:space="preserve"> </v>
          </cell>
          <cell r="H1010" t="str">
            <v>9SNF</v>
          </cell>
          <cell r="I1010" t="str">
            <v>Zhang, Lingwei</v>
          </cell>
          <cell r="J1010" t="str">
            <v>Walt Augustin</v>
          </cell>
          <cell r="L1010" t="str">
            <v/>
          </cell>
          <cell r="M1010" t="str">
            <v/>
          </cell>
          <cell r="N1010" t="str">
            <v/>
          </cell>
          <cell r="O1010" t="str">
            <v/>
          </cell>
          <cell r="P1010" t="str">
            <v/>
          </cell>
          <cell r="Q1010" t="str">
            <v/>
          </cell>
          <cell r="R1010" t="str">
            <v>Augustin, W</v>
          </cell>
          <cell r="S1010" t="str">
            <v/>
          </cell>
          <cell r="T1010" t="str">
            <v>Franey, Hank</v>
          </cell>
          <cell r="U1010" t="str">
            <v>Schimpff, Stephen</v>
          </cell>
          <cell r="V1010" t="str">
            <v>Ashworth, John</v>
          </cell>
          <cell r="W1010" t="str">
            <v>Inactive</v>
          </cell>
        </row>
        <row r="1011">
          <cell r="A1011" t="str">
            <v>0278320</v>
          </cell>
          <cell r="B1011" t="str">
            <v xml:space="preserve">  Nursing Care Services</v>
          </cell>
          <cell r="C1011">
            <v>603</v>
          </cell>
          <cell r="E1011" t="str">
            <v>D</v>
          </cell>
          <cell r="F1011" t="str">
            <v xml:space="preserve"> </v>
          </cell>
          <cell r="G1011" t="str">
            <v xml:space="preserve"> </v>
          </cell>
          <cell r="H1011" t="str">
            <v>9SNF</v>
          </cell>
          <cell r="I1011" t="str">
            <v>Zhang, Lingwei</v>
          </cell>
          <cell r="J1011" t="str">
            <v>Walt Augustin</v>
          </cell>
          <cell r="L1011" t="str">
            <v/>
          </cell>
          <cell r="M1011" t="str">
            <v/>
          </cell>
          <cell r="N1011" t="str">
            <v/>
          </cell>
          <cell r="O1011" t="str">
            <v/>
          </cell>
          <cell r="P1011" t="str">
            <v/>
          </cell>
          <cell r="Q1011" t="str">
            <v/>
          </cell>
          <cell r="R1011" t="str">
            <v>Augustin, W</v>
          </cell>
          <cell r="S1011" t="str">
            <v/>
          </cell>
          <cell r="T1011" t="str">
            <v>Franey, Hank</v>
          </cell>
          <cell r="U1011" t="str">
            <v>Schimpff, Stephen</v>
          </cell>
          <cell r="V1011" t="str">
            <v>Ashworth, John</v>
          </cell>
          <cell r="W1011" t="str">
            <v>Inactive</v>
          </cell>
        </row>
        <row r="1012">
          <cell r="A1012" t="str">
            <v>0278322</v>
          </cell>
          <cell r="B1012" t="str">
            <v xml:space="preserve">  Other Patient Care</v>
          </cell>
          <cell r="C1012">
            <v>604</v>
          </cell>
          <cell r="E1012" t="str">
            <v>D</v>
          </cell>
          <cell r="F1012" t="str">
            <v xml:space="preserve"> </v>
          </cell>
          <cell r="G1012" t="str">
            <v xml:space="preserve"> </v>
          </cell>
          <cell r="H1012" t="str">
            <v>9SNF</v>
          </cell>
          <cell r="I1012" t="str">
            <v>Zhang, Lingwei</v>
          </cell>
          <cell r="J1012" t="str">
            <v>Walt Augustin</v>
          </cell>
          <cell r="L1012" t="str">
            <v/>
          </cell>
          <cell r="M1012" t="str">
            <v/>
          </cell>
          <cell r="N1012" t="str">
            <v/>
          </cell>
          <cell r="O1012" t="str">
            <v/>
          </cell>
          <cell r="P1012" t="str">
            <v/>
          </cell>
          <cell r="Q1012" t="str">
            <v/>
          </cell>
          <cell r="R1012" t="str">
            <v>Augustin, W</v>
          </cell>
          <cell r="S1012" t="str">
            <v/>
          </cell>
          <cell r="T1012" t="str">
            <v>Franey, Hank</v>
          </cell>
          <cell r="U1012" t="str">
            <v>Schimpff, Stephen</v>
          </cell>
          <cell r="V1012" t="str">
            <v>Ashworth, John</v>
          </cell>
          <cell r="W1012" t="str">
            <v>Inactive</v>
          </cell>
        </row>
        <row r="1013">
          <cell r="A1013" t="str">
            <v>0278324</v>
          </cell>
          <cell r="B1013" t="str">
            <v xml:space="preserve">  Routine Services</v>
          </cell>
          <cell r="C1013">
            <v>605</v>
          </cell>
          <cell r="E1013" t="str">
            <v>D</v>
          </cell>
          <cell r="F1013" t="str">
            <v xml:space="preserve"> </v>
          </cell>
          <cell r="G1013" t="str">
            <v xml:space="preserve"> </v>
          </cell>
          <cell r="H1013" t="str">
            <v>9SNF</v>
          </cell>
          <cell r="I1013" t="str">
            <v>Zhang, Lingwei</v>
          </cell>
          <cell r="J1013" t="str">
            <v>Walt Augustin</v>
          </cell>
          <cell r="L1013" t="str">
            <v/>
          </cell>
          <cell r="M1013" t="str">
            <v/>
          </cell>
          <cell r="N1013" t="str">
            <v/>
          </cell>
          <cell r="O1013" t="str">
            <v/>
          </cell>
          <cell r="P1013" t="str">
            <v/>
          </cell>
          <cell r="Q1013" t="str">
            <v/>
          </cell>
          <cell r="R1013" t="str">
            <v>Augustin, W</v>
          </cell>
          <cell r="S1013" t="str">
            <v/>
          </cell>
          <cell r="T1013" t="str">
            <v>Franey, Hank</v>
          </cell>
          <cell r="U1013" t="str">
            <v>Schimpff, Stephen</v>
          </cell>
          <cell r="V1013" t="str">
            <v>Ashworth, John</v>
          </cell>
          <cell r="W1013" t="str">
            <v>Inactive</v>
          </cell>
        </row>
        <row r="1014">
          <cell r="A1014" t="str">
            <v>0278330</v>
          </cell>
          <cell r="B1014" t="str">
            <v xml:space="preserve">  Other Ancillary Cost</v>
          </cell>
          <cell r="C1014">
            <v>606</v>
          </cell>
          <cell r="E1014" t="str">
            <v>D</v>
          </cell>
          <cell r="F1014" t="str">
            <v xml:space="preserve"> </v>
          </cell>
          <cell r="G1014" t="str">
            <v xml:space="preserve"> </v>
          </cell>
          <cell r="H1014" t="str">
            <v>9SNF</v>
          </cell>
          <cell r="I1014" t="str">
            <v>Zhang, Lingwei</v>
          </cell>
          <cell r="J1014" t="str">
            <v>Walt Augustin</v>
          </cell>
          <cell r="L1014" t="str">
            <v/>
          </cell>
          <cell r="M1014" t="str">
            <v/>
          </cell>
          <cell r="N1014" t="str">
            <v/>
          </cell>
          <cell r="O1014" t="str">
            <v/>
          </cell>
          <cell r="P1014" t="str">
            <v/>
          </cell>
          <cell r="Q1014" t="str">
            <v/>
          </cell>
          <cell r="R1014" t="str">
            <v>Augustin, W</v>
          </cell>
          <cell r="S1014" t="str">
            <v/>
          </cell>
          <cell r="T1014" t="str">
            <v>Franey, Hank</v>
          </cell>
          <cell r="U1014" t="str">
            <v>Schimpff, Stephen</v>
          </cell>
          <cell r="V1014" t="str">
            <v>Ashworth, John</v>
          </cell>
          <cell r="W1014" t="str">
            <v>Inactive</v>
          </cell>
        </row>
        <row r="1015">
          <cell r="A1015" t="str">
            <v>0278332</v>
          </cell>
          <cell r="B1015" t="str">
            <v xml:space="preserve">  Medical Supplies &amp; Drugs</v>
          </cell>
          <cell r="C1015">
            <v>607</v>
          </cell>
          <cell r="E1015" t="str">
            <v>D</v>
          </cell>
          <cell r="F1015" t="str">
            <v xml:space="preserve"> </v>
          </cell>
          <cell r="G1015" t="str">
            <v xml:space="preserve"> </v>
          </cell>
          <cell r="H1015" t="str">
            <v>9SNF</v>
          </cell>
          <cell r="I1015" t="str">
            <v>Zhang, Lingwei</v>
          </cell>
          <cell r="J1015" t="str">
            <v>Walt Augustin</v>
          </cell>
          <cell r="L1015" t="str">
            <v/>
          </cell>
          <cell r="M1015" t="str">
            <v/>
          </cell>
          <cell r="N1015" t="str">
            <v/>
          </cell>
          <cell r="O1015" t="str">
            <v/>
          </cell>
          <cell r="P1015" t="str">
            <v/>
          </cell>
          <cell r="Q1015" t="str">
            <v/>
          </cell>
          <cell r="R1015" t="str">
            <v>Augustin, W</v>
          </cell>
          <cell r="S1015" t="str">
            <v/>
          </cell>
          <cell r="T1015" t="str">
            <v>Franey, Hank</v>
          </cell>
          <cell r="U1015" t="str">
            <v>Schimpff, Stephen</v>
          </cell>
          <cell r="V1015" t="str">
            <v>Ashworth, John</v>
          </cell>
          <cell r="W1015" t="str">
            <v>Inactive</v>
          </cell>
        </row>
        <row r="1016">
          <cell r="A1016" t="str">
            <v>0288326</v>
          </cell>
          <cell r="B1016" t="str">
            <v xml:space="preserve">  Administrative Services</v>
          </cell>
          <cell r="C1016">
            <v>608</v>
          </cell>
          <cell r="E1016" t="str">
            <v>D</v>
          </cell>
          <cell r="F1016" t="str">
            <v xml:space="preserve"> </v>
          </cell>
          <cell r="G1016" t="str">
            <v xml:space="preserve"> </v>
          </cell>
          <cell r="H1016" t="str">
            <v>9SNF</v>
          </cell>
          <cell r="I1016" t="str">
            <v>Zhang, Lingwei</v>
          </cell>
          <cell r="J1016" t="str">
            <v>Walt Augustin</v>
          </cell>
          <cell r="L1016" t="str">
            <v/>
          </cell>
          <cell r="M1016" t="str">
            <v/>
          </cell>
          <cell r="N1016" t="str">
            <v/>
          </cell>
          <cell r="O1016" t="str">
            <v/>
          </cell>
          <cell r="P1016" t="str">
            <v/>
          </cell>
          <cell r="Q1016" t="str">
            <v/>
          </cell>
          <cell r="R1016" t="str">
            <v>Augustin, W</v>
          </cell>
          <cell r="S1016" t="str">
            <v/>
          </cell>
          <cell r="T1016" t="str">
            <v>Franey, Hank</v>
          </cell>
          <cell r="U1016" t="str">
            <v>Schimpff, Stephen</v>
          </cell>
          <cell r="V1016" t="str">
            <v>Ashworth, John</v>
          </cell>
          <cell r="W1016" t="str">
            <v>Inactive</v>
          </cell>
        </row>
        <row r="1017">
          <cell r="A1017" t="str">
            <v>0288328</v>
          </cell>
          <cell r="B1017" t="str">
            <v xml:space="preserve">  Admin/Capital Costs</v>
          </cell>
          <cell r="C1017">
            <v>609</v>
          </cell>
          <cell r="E1017" t="str">
            <v>D</v>
          </cell>
          <cell r="F1017" t="str">
            <v xml:space="preserve"> </v>
          </cell>
          <cell r="G1017" t="str">
            <v xml:space="preserve"> </v>
          </cell>
          <cell r="H1017" t="str">
            <v>9SNF</v>
          </cell>
          <cell r="I1017" t="str">
            <v>Zhang, Lingwei</v>
          </cell>
          <cell r="J1017" t="str">
            <v>Walt Augustin</v>
          </cell>
          <cell r="L1017" t="str">
            <v/>
          </cell>
          <cell r="M1017" t="str">
            <v/>
          </cell>
          <cell r="N1017" t="str">
            <v/>
          </cell>
          <cell r="O1017" t="str">
            <v/>
          </cell>
          <cell r="P1017" t="str">
            <v/>
          </cell>
          <cell r="Q1017" t="str">
            <v/>
          </cell>
          <cell r="R1017" t="str">
            <v>Augustin, W</v>
          </cell>
          <cell r="S1017" t="str">
            <v/>
          </cell>
          <cell r="T1017" t="str">
            <v>Franey, Hank</v>
          </cell>
          <cell r="U1017" t="str">
            <v>Schimpff, Stephen</v>
          </cell>
          <cell r="V1017" t="str">
            <v>Ashworth, John</v>
          </cell>
          <cell r="W1017" t="str">
            <v>Inactive</v>
          </cell>
        </row>
        <row r="1018">
          <cell r="A1018" t="str">
            <v>0298308</v>
          </cell>
          <cell r="B1018" t="str">
            <v xml:space="preserve">  Non-Operating Revenue</v>
          </cell>
          <cell r="C1018">
            <v>610</v>
          </cell>
          <cell r="E1018" t="str">
            <v>D</v>
          </cell>
          <cell r="F1018" t="str">
            <v xml:space="preserve"> </v>
          </cell>
          <cell r="G1018" t="str">
            <v xml:space="preserve"> </v>
          </cell>
          <cell r="H1018" t="str">
            <v>9SNF</v>
          </cell>
          <cell r="I1018" t="str">
            <v>Zhang, Lingwei</v>
          </cell>
          <cell r="J1018" t="str">
            <v>Walt Augustin</v>
          </cell>
          <cell r="L1018" t="str">
            <v/>
          </cell>
          <cell r="M1018" t="str">
            <v/>
          </cell>
          <cell r="N1018" t="str">
            <v/>
          </cell>
          <cell r="O1018" t="str">
            <v/>
          </cell>
          <cell r="P1018" t="str">
            <v/>
          </cell>
          <cell r="Q1018" t="str">
            <v/>
          </cell>
          <cell r="R1018" t="str">
            <v>Augustin, W</v>
          </cell>
          <cell r="S1018" t="str">
            <v/>
          </cell>
          <cell r="T1018" t="str">
            <v>Franey, Hank</v>
          </cell>
          <cell r="U1018" t="str">
            <v>Schimpff, Stephen</v>
          </cell>
          <cell r="V1018" t="str">
            <v>Ashworth, John</v>
          </cell>
          <cell r="W1018" t="str">
            <v>Inactive</v>
          </cell>
        </row>
        <row r="1019">
          <cell r="A1019" t="str">
            <v>0298336</v>
          </cell>
          <cell r="B1019" t="str">
            <v xml:space="preserve">  Insurance</v>
          </cell>
          <cell r="C1019">
            <v>611</v>
          </cell>
          <cell r="E1019" t="str">
            <v>D</v>
          </cell>
          <cell r="F1019" t="str">
            <v xml:space="preserve"> </v>
          </cell>
          <cell r="G1019" t="str">
            <v xml:space="preserve"> </v>
          </cell>
          <cell r="H1019" t="str">
            <v>9SNF</v>
          </cell>
          <cell r="I1019" t="str">
            <v>Zhang, Lingwei</v>
          </cell>
          <cell r="J1019" t="str">
            <v>Walt Augustin</v>
          </cell>
          <cell r="L1019" t="str">
            <v/>
          </cell>
          <cell r="M1019" t="str">
            <v/>
          </cell>
          <cell r="N1019" t="str">
            <v/>
          </cell>
          <cell r="O1019" t="str">
            <v/>
          </cell>
          <cell r="P1019" t="str">
            <v/>
          </cell>
          <cell r="Q1019" t="str">
            <v/>
          </cell>
          <cell r="R1019" t="str">
            <v>Augustin, W</v>
          </cell>
          <cell r="S1019" t="str">
            <v/>
          </cell>
          <cell r="T1019" t="str">
            <v>Franey, Hank</v>
          </cell>
          <cell r="U1019" t="str">
            <v>Schimpff, Stephen</v>
          </cell>
          <cell r="V1019" t="str">
            <v>Ashworth, John</v>
          </cell>
          <cell r="W1019" t="str">
            <v>Inactive</v>
          </cell>
        </row>
        <row r="1020">
          <cell r="A1020" t="str">
            <v>0298338</v>
          </cell>
          <cell r="B1020" t="str">
            <v xml:space="preserve">  Depreciation</v>
          </cell>
          <cell r="C1020">
            <v>612</v>
          </cell>
          <cell r="E1020" t="str">
            <v>D</v>
          </cell>
          <cell r="F1020" t="str">
            <v xml:space="preserve"> </v>
          </cell>
          <cell r="G1020" t="str">
            <v xml:space="preserve"> </v>
          </cell>
          <cell r="H1020" t="str">
            <v>9SNF</v>
          </cell>
          <cell r="I1020" t="str">
            <v>Zhang, Lingwei</v>
          </cell>
          <cell r="J1020" t="str">
            <v>Walt Augustin</v>
          </cell>
          <cell r="L1020" t="str">
            <v/>
          </cell>
          <cell r="M1020" t="str">
            <v/>
          </cell>
          <cell r="N1020" t="str">
            <v/>
          </cell>
          <cell r="O1020" t="str">
            <v/>
          </cell>
          <cell r="P1020" t="str">
            <v/>
          </cell>
          <cell r="Q1020" t="str">
            <v/>
          </cell>
          <cell r="R1020" t="str">
            <v>Augustin, W</v>
          </cell>
          <cell r="S1020" t="str">
            <v/>
          </cell>
          <cell r="T1020" t="str">
            <v>Franey, Hank</v>
          </cell>
          <cell r="U1020" t="str">
            <v>Schimpff, Stephen</v>
          </cell>
          <cell r="V1020" t="str">
            <v>Ashworth, John</v>
          </cell>
          <cell r="W1020" t="str">
            <v>Inactive</v>
          </cell>
        </row>
        <row r="1021">
          <cell r="A1021" t="str">
            <v>0298340</v>
          </cell>
          <cell r="B1021" t="str">
            <v xml:space="preserve">  Interest Expense</v>
          </cell>
          <cell r="C1021">
            <v>613</v>
          </cell>
          <cell r="E1021" t="str">
            <v>D</v>
          </cell>
          <cell r="F1021" t="str">
            <v xml:space="preserve"> </v>
          </cell>
          <cell r="G1021" t="str">
            <v xml:space="preserve"> </v>
          </cell>
          <cell r="H1021" t="str">
            <v>9SNF</v>
          </cell>
          <cell r="I1021" t="str">
            <v>Zhang, Lingwei</v>
          </cell>
          <cell r="J1021" t="str">
            <v>Walt Augustin</v>
          </cell>
          <cell r="L1021" t="str">
            <v/>
          </cell>
          <cell r="M1021" t="str">
            <v/>
          </cell>
          <cell r="N1021" t="str">
            <v/>
          </cell>
          <cell r="O1021" t="str">
            <v/>
          </cell>
          <cell r="P1021" t="str">
            <v/>
          </cell>
          <cell r="Q1021" t="str">
            <v/>
          </cell>
          <cell r="R1021" t="str">
            <v>Augustin, W</v>
          </cell>
          <cell r="S1021" t="str">
            <v/>
          </cell>
          <cell r="T1021" t="str">
            <v>Franey, Hank</v>
          </cell>
          <cell r="U1021" t="str">
            <v>Schimpff, Stephen</v>
          </cell>
          <cell r="V1021" t="str">
            <v>Ashworth, John</v>
          </cell>
          <cell r="W1021" t="str">
            <v>Inactive</v>
          </cell>
        </row>
        <row r="1022">
          <cell r="A1022" t="str">
            <v>0298342</v>
          </cell>
          <cell r="B1022" t="str">
            <v xml:space="preserve">  Fringe Benefits</v>
          </cell>
          <cell r="C1022">
            <v>614</v>
          </cell>
          <cell r="E1022" t="str">
            <v>D</v>
          </cell>
          <cell r="F1022" t="str">
            <v xml:space="preserve"> </v>
          </cell>
          <cell r="G1022" t="str">
            <v xml:space="preserve"> </v>
          </cell>
          <cell r="H1022" t="str">
            <v>9SNF</v>
          </cell>
          <cell r="I1022" t="str">
            <v>Zhang, Lingwei</v>
          </cell>
          <cell r="J1022" t="str">
            <v>Walt Augustin</v>
          </cell>
          <cell r="L1022" t="str">
            <v/>
          </cell>
          <cell r="M1022" t="str">
            <v/>
          </cell>
          <cell r="N1022" t="str">
            <v/>
          </cell>
          <cell r="O1022" t="str">
            <v/>
          </cell>
          <cell r="P1022" t="str">
            <v/>
          </cell>
          <cell r="Q1022" t="str">
            <v/>
          </cell>
          <cell r="R1022" t="str">
            <v>Augustin, W</v>
          </cell>
          <cell r="S1022" t="str">
            <v/>
          </cell>
          <cell r="T1022" t="str">
            <v>Franey, Hank</v>
          </cell>
          <cell r="U1022" t="str">
            <v>Schimpff, Stephen</v>
          </cell>
          <cell r="V1022" t="str">
            <v>Ashworth, John</v>
          </cell>
          <cell r="W1022" t="str">
            <v>Inactive</v>
          </cell>
        </row>
      </sheetData>
      <sheetData sheetId="2">
        <row r="136">
          <cell r="A136" t="str">
            <v>0467361</v>
          </cell>
          <cell r="B136" t="str">
            <v xml:space="preserve">  Radiation Oncology</v>
          </cell>
          <cell r="C136">
            <v>630</v>
          </cell>
          <cell r="F136" t="str">
            <v xml:space="preserve"> </v>
          </cell>
          <cell r="G136" t="str">
            <v xml:space="preserve"> </v>
          </cell>
          <cell r="H136" t="str">
            <v>4INAC</v>
          </cell>
          <cell r="I136" t="str">
            <v>Zhang, Lingwei</v>
          </cell>
          <cell r="J136" t="str">
            <v>Walt Augustin</v>
          </cell>
          <cell r="K136" t="str">
            <v>B. Rayme</v>
          </cell>
          <cell r="L136" t="str">
            <v/>
          </cell>
          <cell r="M136" t="str">
            <v/>
          </cell>
          <cell r="N136" t="str">
            <v/>
          </cell>
          <cell r="O136" t="str">
            <v/>
          </cell>
          <cell r="P136" t="str">
            <v/>
          </cell>
          <cell r="Q136" t="str">
            <v/>
          </cell>
          <cell r="R136" t="str">
            <v>Augustin, W</v>
          </cell>
          <cell r="S136" t="str">
            <v/>
          </cell>
          <cell r="T136" t="str">
            <v>Franey, Hank</v>
          </cell>
          <cell r="U136" t="str">
            <v>Schimpff, Stephen</v>
          </cell>
          <cell r="V136" t="str">
            <v>Ashworth, John</v>
          </cell>
          <cell r="W136" t="str">
            <v>Inactive</v>
          </cell>
        </row>
        <row r="137">
          <cell r="A137" t="str">
            <v>0476457</v>
          </cell>
          <cell r="B137" t="str">
            <v xml:space="preserve">  Patient Care Services</v>
          </cell>
          <cell r="C137">
            <v>641</v>
          </cell>
          <cell r="F137" t="str">
            <v xml:space="preserve"> </v>
          </cell>
          <cell r="G137" t="str">
            <v xml:space="preserve"> </v>
          </cell>
          <cell r="H137" t="str">
            <v>4INAC</v>
          </cell>
          <cell r="I137" t="str">
            <v>Zhang, Lingwei</v>
          </cell>
          <cell r="J137" t="str">
            <v>Walt Augustin</v>
          </cell>
          <cell r="K137" t="str">
            <v>B. Rayme</v>
          </cell>
          <cell r="L137" t="str">
            <v/>
          </cell>
          <cell r="M137" t="str">
            <v/>
          </cell>
          <cell r="N137" t="str">
            <v/>
          </cell>
          <cell r="O137" t="str">
            <v/>
          </cell>
          <cell r="P137" t="str">
            <v/>
          </cell>
          <cell r="Q137" t="str">
            <v/>
          </cell>
          <cell r="R137" t="str">
            <v>Augustin, W</v>
          </cell>
          <cell r="S137" t="str">
            <v/>
          </cell>
          <cell r="T137" t="str">
            <v>Franey, Hank</v>
          </cell>
          <cell r="U137" t="str">
            <v>Schimpff, Stephen</v>
          </cell>
          <cell r="V137" t="str">
            <v>Ashworth, John</v>
          </cell>
          <cell r="W137" t="str">
            <v>Inactive</v>
          </cell>
        </row>
        <row r="138">
          <cell r="A138" t="str">
            <v>0476440</v>
          </cell>
          <cell r="B138" t="str">
            <v xml:space="preserve">  Outpatient Pharmacy</v>
          </cell>
          <cell r="C138">
            <v>631</v>
          </cell>
          <cell r="E138" t="str">
            <v>R</v>
          </cell>
          <cell r="F138" t="str">
            <v xml:space="preserve"> </v>
          </cell>
          <cell r="G138" t="str">
            <v xml:space="preserve"> </v>
          </cell>
          <cell r="H138" t="str">
            <v>4INAC</v>
          </cell>
          <cell r="I138" t="str">
            <v>Zhang, Lingwei</v>
          </cell>
          <cell r="J138" t="str">
            <v>Walt Augustin</v>
          </cell>
          <cell r="L138" t="str">
            <v/>
          </cell>
          <cell r="M138" t="str">
            <v/>
          </cell>
          <cell r="N138" t="str">
            <v/>
          </cell>
          <cell r="O138" t="str">
            <v/>
          </cell>
          <cell r="P138" t="str">
            <v/>
          </cell>
          <cell r="Q138" t="str">
            <v/>
          </cell>
          <cell r="R138" t="str">
            <v>Augustin, W</v>
          </cell>
          <cell r="S138" t="str">
            <v/>
          </cell>
          <cell r="T138" t="str">
            <v>Franey, Hank</v>
          </cell>
          <cell r="U138" t="str">
            <v>Schimpff, Stephen</v>
          </cell>
          <cell r="V138" t="str">
            <v>Ashworth, John</v>
          </cell>
          <cell r="W138" t="str">
            <v>Inactive</v>
          </cell>
        </row>
        <row r="139">
          <cell r="A139" t="str">
            <v>0476480</v>
          </cell>
          <cell r="B139" t="str">
            <v xml:space="preserve">  Mobile Mammography</v>
          </cell>
          <cell r="C139">
            <v>649</v>
          </cell>
          <cell r="E139" t="str">
            <v>C</v>
          </cell>
          <cell r="F139" t="str">
            <v xml:space="preserve"> </v>
          </cell>
          <cell r="G139" t="str">
            <v xml:space="preserve"> </v>
          </cell>
          <cell r="H139" t="str">
            <v>4INAC</v>
          </cell>
          <cell r="I139" t="str">
            <v>Zhang, Lingwei</v>
          </cell>
          <cell r="J139" t="str">
            <v>Walt Augustin</v>
          </cell>
          <cell r="K139" t="str">
            <v>K. Franz</v>
          </cell>
          <cell r="L139" t="str">
            <v/>
          </cell>
          <cell r="M139" t="str">
            <v/>
          </cell>
          <cell r="N139" t="str">
            <v/>
          </cell>
          <cell r="O139" t="str">
            <v/>
          </cell>
          <cell r="P139" t="str">
            <v/>
          </cell>
          <cell r="Q139" t="str">
            <v/>
          </cell>
          <cell r="R139" t="str">
            <v>Augustin, W</v>
          </cell>
          <cell r="S139" t="str">
            <v/>
          </cell>
          <cell r="T139" t="str">
            <v>Franey, Hank</v>
          </cell>
          <cell r="U139" t="str">
            <v>Schimpff, Stephen</v>
          </cell>
          <cell r="V139" t="str">
            <v>Ashworth, John</v>
          </cell>
          <cell r="W139" t="str">
            <v>Inactive</v>
          </cell>
        </row>
        <row r="140">
          <cell r="A140" t="str">
            <v>0478263</v>
          </cell>
          <cell r="B140" t="str">
            <v xml:space="preserve">  Residents</v>
          </cell>
          <cell r="C140">
            <v>651</v>
          </cell>
          <cell r="F140" t="str">
            <v xml:space="preserve"> </v>
          </cell>
          <cell r="G140" t="str">
            <v xml:space="preserve"> </v>
          </cell>
          <cell r="H140" t="str">
            <v>4INAC</v>
          </cell>
          <cell r="I140" t="str">
            <v>Naqvi, Mariam</v>
          </cell>
          <cell r="J140" t="str">
            <v>Walt Augustin</v>
          </cell>
          <cell r="L140" t="str">
            <v/>
          </cell>
          <cell r="M140" t="str">
            <v>Zanti, Laura</v>
          </cell>
          <cell r="N140" t="str">
            <v>Rorison, David</v>
          </cell>
          <cell r="O140" t="str">
            <v/>
          </cell>
          <cell r="P140" t="str">
            <v/>
          </cell>
          <cell r="Q140" t="str">
            <v/>
          </cell>
          <cell r="R140" t="str">
            <v>Augustin, W</v>
          </cell>
          <cell r="S140" t="str">
            <v/>
          </cell>
          <cell r="T140" t="str">
            <v>Franey, Hank</v>
          </cell>
          <cell r="U140" t="str">
            <v>Schimpff, Stephen</v>
          </cell>
          <cell r="V140" t="str">
            <v>Ashworth, John</v>
          </cell>
          <cell r="W140" t="str">
            <v>Inactive</v>
          </cell>
        </row>
      </sheetData>
      <sheetData sheetId="3">
        <row r="208">
          <cell r="A208" t="str">
            <v>0787838</v>
          </cell>
          <cell r="B208" t="str">
            <v xml:space="preserve">  Biomedia Services</v>
          </cell>
          <cell r="C208">
            <v>762</v>
          </cell>
          <cell r="E208" t="str">
            <v>C</v>
          </cell>
          <cell r="F208" t="str">
            <v xml:space="preserve"> </v>
          </cell>
          <cell r="G208" t="str">
            <v xml:space="preserve"> </v>
          </cell>
          <cell r="H208" t="str">
            <v>7INAC</v>
          </cell>
          <cell r="I208" t="str">
            <v>Zhang, Lingwei</v>
          </cell>
          <cell r="J208" t="str">
            <v>Walt Augustin</v>
          </cell>
          <cell r="L208" t="str">
            <v/>
          </cell>
          <cell r="M208" t="str">
            <v/>
          </cell>
          <cell r="N208" t="str">
            <v/>
          </cell>
          <cell r="O208" t="str">
            <v/>
          </cell>
          <cell r="P208" t="str">
            <v/>
          </cell>
          <cell r="Q208" t="str">
            <v/>
          </cell>
          <cell r="R208" t="str">
            <v>Augustin, W</v>
          </cell>
          <cell r="S208" t="str">
            <v/>
          </cell>
          <cell r="T208" t="str">
            <v>Franey, Hank</v>
          </cell>
          <cell r="U208" t="str">
            <v>Schimpff, Stephen</v>
          </cell>
          <cell r="V208" t="str">
            <v>Ashworth, John</v>
          </cell>
          <cell r="W208" t="str">
            <v>Inactive</v>
          </cell>
        </row>
        <row r="209">
          <cell r="A209" t="str">
            <v>0787839</v>
          </cell>
          <cell r="B209" t="str">
            <v xml:space="preserve">  Editorial/Publication</v>
          </cell>
          <cell r="C209">
            <v>763</v>
          </cell>
          <cell r="E209" t="str">
            <v>C</v>
          </cell>
          <cell r="F209" t="str">
            <v xml:space="preserve"> </v>
          </cell>
          <cell r="G209" t="str">
            <v xml:space="preserve"> </v>
          </cell>
          <cell r="H209" t="str">
            <v>7INAC</v>
          </cell>
          <cell r="I209" t="str">
            <v>Zhang, Lingwei</v>
          </cell>
          <cell r="J209" t="str">
            <v>Walt Augustin</v>
          </cell>
          <cell r="L209" t="str">
            <v/>
          </cell>
          <cell r="M209" t="str">
            <v/>
          </cell>
          <cell r="N209" t="str">
            <v/>
          </cell>
          <cell r="O209" t="str">
            <v/>
          </cell>
          <cell r="P209" t="str">
            <v/>
          </cell>
          <cell r="Q209" t="str">
            <v/>
          </cell>
          <cell r="R209" t="str">
            <v>Augustin, W</v>
          </cell>
          <cell r="S209" t="str">
            <v/>
          </cell>
          <cell r="T209" t="str">
            <v>Franey, Hank</v>
          </cell>
          <cell r="U209" t="str">
            <v>Schimpff, Stephen</v>
          </cell>
          <cell r="V209" t="str">
            <v>Ashworth, John</v>
          </cell>
          <cell r="W209" t="str">
            <v>Inactive</v>
          </cell>
        </row>
        <row r="210">
          <cell r="A210" t="str">
            <v>0767983</v>
          </cell>
          <cell r="B210" t="str">
            <v xml:space="preserve">  Operating Room Ancillaries</v>
          </cell>
          <cell r="C210">
            <v>730</v>
          </cell>
          <cell r="H210" t="str">
            <v>7INAC</v>
          </cell>
          <cell r="I210" t="str">
            <v>Zhang, Lingwei</v>
          </cell>
          <cell r="J210" t="str">
            <v>Walt Augustin</v>
          </cell>
          <cell r="L210" t="str">
            <v/>
          </cell>
          <cell r="M210" t="str">
            <v/>
          </cell>
          <cell r="N210" t="str">
            <v/>
          </cell>
          <cell r="O210" t="str">
            <v/>
          </cell>
          <cell r="P210" t="str">
            <v/>
          </cell>
          <cell r="Q210" t="str">
            <v/>
          </cell>
          <cell r="R210" t="str">
            <v>Augustin, W</v>
          </cell>
          <cell r="S210" t="str">
            <v/>
          </cell>
          <cell r="T210" t="str">
            <v>Franey, Hank</v>
          </cell>
          <cell r="U210" t="str">
            <v>Schimpff, Stephen</v>
          </cell>
          <cell r="V210" t="str">
            <v>Ashworth, John</v>
          </cell>
          <cell r="W210" t="str">
            <v>Inactive</v>
          </cell>
        </row>
        <row r="211">
          <cell r="A211" t="str">
            <v>0787844</v>
          </cell>
          <cell r="B211" t="str">
            <v xml:space="preserve">  Evaluation</v>
          </cell>
          <cell r="C211">
            <v>765</v>
          </cell>
          <cell r="E211" t="str">
            <v>C</v>
          </cell>
          <cell r="F211" t="str">
            <v xml:space="preserve"> </v>
          </cell>
          <cell r="G211" t="str">
            <v xml:space="preserve"> </v>
          </cell>
          <cell r="H211" t="str">
            <v>7INAC</v>
          </cell>
          <cell r="I211" t="str">
            <v>Zhang, Lingwei</v>
          </cell>
          <cell r="J211" t="str">
            <v>Walt Augustin</v>
          </cell>
          <cell r="L211" t="str">
            <v/>
          </cell>
          <cell r="M211" t="str">
            <v/>
          </cell>
          <cell r="N211" t="str">
            <v/>
          </cell>
          <cell r="O211" t="str">
            <v/>
          </cell>
          <cell r="P211" t="str">
            <v/>
          </cell>
          <cell r="Q211" t="str">
            <v/>
          </cell>
          <cell r="R211" t="str">
            <v>Augustin, W</v>
          </cell>
          <cell r="S211" t="str">
            <v/>
          </cell>
          <cell r="T211" t="str">
            <v>Franey, Hank</v>
          </cell>
          <cell r="U211" t="str">
            <v>Schimpff, Stephen</v>
          </cell>
          <cell r="V211" t="str">
            <v>Ashworth, John</v>
          </cell>
          <cell r="W211" t="str">
            <v>Inactive</v>
          </cell>
        </row>
        <row r="212">
          <cell r="A212" t="str">
            <v>0787890</v>
          </cell>
          <cell r="B212" t="str">
            <v xml:space="preserve">  Research</v>
          </cell>
          <cell r="C212">
            <v>767</v>
          </cell>
          <cell r="E212" t="str">
            <v>C</v>
          </cell>
          <cell r="F212" t="str">
            <v xml:space="preserve"> </v>
          </cell>
          <cell r="G212" t="str">
            <v xml:space="preserve"> </v>
          </cell>
          <cell r="H212" t="str">
            <v>7INAC</v>
          </cell>
          <cell r="I212" t="str">
            <v>Zhang, Lingwei</v>
          </cell>
          <cell r="J212" t="str">
            <v>Walt Augustin</v>
          </cell>
          <cell r="L212" t="str">
            <v/>
          </cell>
          <cell r="M212" t="str">
            <v/>
          </cell>
          <cell r="N212" t="str">
            <v/>
          </cell>
          <cell r="O212" t="str">
            <v/>
          </cell>
          <cell r="P212" t="str">
            <v/>
          </cell>
          <cell r="Q212" t="str">
            <v/>
          </cell>
          <cell r="R212" t="str">
            <v>Augustin, W</v>
          </cell>
          <cell r="S212" t="str">
            <v/>
          </cell>
          <cell r="T212" t="str">
            <v>Franey, Hank</v>
          </cell>
          <cell r="U212" t="str">
            <v>Schimpff, Stephen</v>
          </cell>
          <cell r="V212" t="str">
            <v>Ashworth, John</v>
          </cell>
          <cell r="W212" t="str">
            <v>Inactive</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Input TB"/>
      <sheetName val="Master Table"/>
      <sheetName val="E_XI"/>
      <sheetName val="S1"/>
      <sheetName val="RE"/>
      <sheetName val="RER"/>
      <sheetName val="RE Input"/>
      <sheetName val="Expense TB"/>
      <sheetName val="Volume"/>
      <sheetName val="Revenue"/>
      <sheetName val="Statistic (Js) Input"/>
      <sheetName val="P1 Input"/>
      <sheetName val="ACS Input"/>
      <sheetName val="ACS"/>
      <sheetName val="DP1 Input"/>
      <sheetName val="E,F,UR Alloc"/>
      <sheetName val="EC"/>
      <sheetName val="S4"/>
      <sheetName val="E_I"/>
      <sheetName val="PDA"/>
      <sheetName val="PDA Input"/>
      <sheetName val="S3"/>
      <sheetName val="PY RO"/>
      <sheetName val="URS Input"/>
      <sheetName val="H1_H4 Input"/>
      <sheetName val="H2 Input"/>
      <sheetName val="Equip Fac Allow_Hist Lease Pur"/>
      <sheetName val="G_GR Input"/>
      <sheetName val="GR"/>
      <sheetName val="AHA Input"/>
      <sheetName val="TRE Input"/>
      <sheetName val="SB Input"/>
      <sheetName val="RAT Sched"/>
      <sheetName val="AMS Sched"/>
      <sheetName val="Trauma Standby"/>
      <sheetName val="Trauma Dept"/>
      <sheetName val="P3 Input"/>
      <sheetName val="OFC Input"/>
      <sheetName val="P4 Input"/>
      <sheetName val="Don Service Exp"/>
      <sheetName val="P2 Input"/>
      <sheetName val="XX"/>
      <sheetName val="V1"/>
      <sheetName val="V2"/>
      <sheetName val="V3"/>
      <sheetName val="V5"/>
      <sheetName val="DP"/>
      <sheetName val="UA"/>
      <sheetName val="P1"/>
      <sheetName val="P2"/>
      <sheetName val="P3"/>
      <sheetName val="P4"/>
      <sheetName val="P5"/>
      <sheetName val="CDs"/>
      <sheetName val="Es"/>
      <sheetName val="Fs"/>
      <sheetName val="OA"/>
      <sheetName val="AHA"/>
      <sheetName val="Js"/>
      <sheetName val="H1"/>
      <sheetName val="H2"/>
      <sheetName val="H3"/>
      <sheetName val="H4"/>
      <sheetName val="UR"/>
      <sheetName val="URS"/>
      <sheetName val="TRE"/>
      <sheetName val="RAT"/>
      <sheetName val="AMS"/>
      <sheetName val="SB"/>
      <sheetName val="SBC"/>
      <sheetName val="MTC"/>
      <sheetName val="S2"/>
      <sheetName val="S8"/>
      <sheetName val="E_II"/>
      <sheetName val="E_III"/>
      <sheetName val="E_IV"/>
      <sheetName val="E_V"/>
      <sheetName val="E_VI"/>
      <sheetName val="E_VII"/>
      <sheetName val="E_VIII"/>
      <sheetName val="E_IX"/>
      <sheetName val="E_X"/>
      <sheetName val="Ms"/>
      <sheetName val="PY_M"/>
      <sheetName val="Input M"/>
      <sheetName val="M Comp1"/>
      <sheetName val="M Comp2"/>
      <sheetName val="TB Comp"/>
      <sheetName val="Hospital Phys Cost"/>
      <sheetName val="Med Ed Cost"/>
      <sheetName val="RR"/>
      <sheetName val="Instructions"/>
      <sheetName val="Rct"/>
      <sheetName val="Cvr"/>
      <sheetName val="Sig"/>
      <sheetName val="Sch"/>
      <sheetName val="cdefhpv"/>
      <sheetName val="rev5pda"/>
      <sheetName val="Print"/>
    </sheetNames>
    <sheetDataSet>
      <sheetData sheetId="0">
        <row r="17">
          <cell r="B1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Input M"/>
      <sheetName val="Input TB"/>
      <sheetName val="Master Table"/>
      <sheetName val="Expense TB"/>
      <sheetName val="Revenue"/>
      <sheetName val="Volume"/>
      <sheetName val="Statistic (Js) Input"/>
      <sheetName val="RE Input"/>
      <sheetName val="P1 Input"/>
      <sheetName val="P3 Input"/>
      <sheetName val="P4 Input"/>
      <sheetName val="Don Service Exp"/>
      <sheetName val="ACS Input"/>
      <sheetName val="DP1 Input"/>
      <sheetName val="P2 Input"/>
      <sheetName val="E,F,UR Alloc"/>
      <sheetName val="PDA Input"/>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DP"/>
      <sheetName val="UA"/>
      <sheetName val="P1"/>
      <sheetName val="P2"/>
      <sheetName val="P3"/>
      <sheetName val="P4"/>
      <sheetName val="P5"/>
      <sheetName val="CDs"/>
      <sheetName val="Es"/>
      <sheetName val="Fs"/>
      <sheetName val="OA"/>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8"/>
      <sheetName val="E_I"/>
      <sheetName val="E_II"/>
      <sheetName val="E_III"/>
      <sheetName val="E_IV"/>
      <sheetName val="E_V"/>
      <sheetName val="E_VI"/>
      <sheetName val="E_VII"/>
      <sheetName val="E_VIII"/>
      <sheetName val="E_IX"/>
      <sheetName val="E_X"/>
      <sheetName val="M Comp1"/>
      <sheetName val="M Comp2"/>
      <sheetName val="TB Comp"/>
      <sheetName val="RR"/>
      <sheetName val="PY_M"/>
      <sheetName val="EC"/>
      <sheetName val="Instructions"/>
      <sheetName val="Rct"/>
      <sheetName val="Cvr"/>
      <sheetName val="Sig"/>
      <sheetName val="Sch"/>
      <sheetName val="cdefhpv"/>
      <sheetName val="rev5pda"/>
      <sheetName val="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Input M"/>
      <sheetName val="Input TB"/>
      <sheetName val="Master Table"/>
      <sheetName val="Expense TB"/>
      <sheetName val="Revenue"/>
      <sheetName val="Volume"/>
      <sheetName val="Statistic (Js) Input"/>
      <sheetName val="RE Input"/>
      <sheetName val="P1 Input"/>
      <sheetName val="P3 Input"/>
      <sheetName val="P4 Input"/>
      <sheetName val="Don Service Exp"/>
      <sheetName val="ACS Input"/>
      <sheetName val="DP1 Input"/>
      <sheetName val="P2 Input"/>
      <sheetName val="E,F,UR Alloc"/>
      <sheetName val="PDA Input"/>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DP"/>
      <sheetName val="UA"/>
      <sheetName val="P1"/>
      <sheetName val="P2"/>
      <sheetName val="P3"/>
      <sheetName val="P4"/>
      <sheetName val="P5"/>
      <sheetName val="CDs"/>
      <sheetName val="Es"/>
      <sheetName val="Fs"/>
      <sheetName val="OA"/>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8"/>
      <sheetName val="S5"/>
      <sheetName val="S6"/>
      <sheetName val="E_I"/>
      <sheetName val="E_II"/>
      <sheetName val="E_III"/>
      <sheetName val="E_IV"/>
      <sheetName val="E_V"/>
      <sheetName val="E_VI"/>
      <sheetName val="E_VII"/>
      <sheetName val="E_VIII"/>
      <sheetName val="E_IX"/>
      <sheetName val="E_X"/>
      <sheetName val="M Comp1"/>
      <sheetName val="M Comp2"/>
      <sheetName val="TB Comp"/>
      <sheetName val="RR"/>
      <sheetName val="PY_M"/>
      <sheetName val="EC"/>
      <sheetName val="Instructions"/>
      <sheetName val="Rct"/>
      <sheetName val="Cvr"/>
      <sheetName val="Sig"/>
      <sheetName val="Sch"/>
      <sheetName val="cdefhpv"/>
      <sheetName val="rev5pda"/>
      <sheetName val="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Support"/>
      <sheetName val="DME_NSPI"/>
      <sheetName val="Charity Care"/>
      <sheetName val="narrative score break down"/>
      <sheetName val="CB Table 1"/>
      <sheetName val="Charts"/>
      <sheetName val="narrative scores"/>
      <sheetName val="fy2013cb analysis"/>
      <sheetName val="Table I"/>
      <sheetName val="#1-Meritus"/>
      <sheetName val="#2-UMMS"/>
      <sheetName val="#3-Prince George's"/>
      <sheetName val="#4-Holy Cross"/>
      <sheetName val="#5-Frederick Memorial"/>
      <sheetName val="#6-Harford Memorial"/>
      <sheetName val="#7-St. Joseph"/>
      <sheetName val="#8-Mercy"/>
      <sheetName val="#9-Johns Hopkins"/>
      <sheetName val="#10-Shore Health Dorchester"/>
      <sheetName val="#11-St. Agnes"/>
      <sheetName val="#12-Sinai"/>
      <sheetName val="#13-Bon Secours"/>
      <sheetName val="#15-Franklin Square"/>
      <sheetName val="#16-Washington Adventist"/>
      <sheetName val="#17-Garrett County"/>
      <sheetName val="#18-Montgomery General"/>
      <sheetName val="#19-Pennisula General"/>
      <sheetName val="#22-Suburban"/>
      <sheetName val="#23-Anne Arundel Medical Center"/>
      <sheetName val="#24-Union Memorial"/>
      <sheetName val="#27-Western Maryland Regional"/>
      <sheetName val="#28-St. Mary's"/>
      <sheetName val="#29-JH Bayview"/>
      <sheetName val="#30-Chester River"/>
      <sheetName val="#32-Union Cecil County"/>
      <sheetName val="#33-Carroll Hospital "/>
      <sheetName val="#34-Harbor Hospital"/>
      <sheetName val="#35-Civista Medical Center"/>
      <sheetName val="#37-Shore Health Easton"/>
      <sheetName val="#38-UM Midtown"/>
      <sheetName val="#39-Calvert Memorial"/>
      <sheetName val="#40-Northwest"/>
      <sheetName val="#43-UM Baltimore Washington"/>
      <sheetName val="#44-GBMC"/>
      <sheetName val="#45-McCready"/>
      <sheetName val="#48-Howard County"/>
      <sheetName val="#49-UCH Upper Chesapeake"/>
      <sheetName val="#51-Doctors Community"/>
      <sheetName val="#55-Laurel Regional"/>
      <sheetName val="#60-Ft Washington"/>
      <sheetName val="#61-Atlantic General"/>
      <sheetName val="#62-Southern Maryland"/>
      <sheetName val="#2001-UM Rehab &amp; Ortho"/>
      <sheetName val="#2004-Good Samaritan"/>
      <sheetName val="#5034-Mt. Washington Pediatric"/>
      <sheetName val="#5050-Shady Grove Advent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8">
          <cell r="F148" t="str">
            <v>N/A</v>
          </cell>
          <cell r="G148" t="str">
            <v>N/A</v>
          </cell>
          <cell r="J148" t="str">
            <v>N/A</v>
          </cell>
        </row>
      </sheetData>
      <sheetData sheetId="10" refreshError="1">
        <row r="148">
          <cell r="F148" t="str">
            <v>N/A</v>
          </cell>
          <cell r="G148" t="str">
            <v>N/A</v>
          </cell>
          <cell r="J148" t="str">
            <v>N/A</v>
          </cell>
        </row>
      </sheetData>
      <sheetData sheetId="11" refreshError="1">
        <row r="148">
          <cell r="F148" t="str">
            <v>N/A</v>
          </cell>
          <cell r="G148" t="str">
            <v>N/A</v>
          </cell>
          <cell r="J148" t="str">
            <v>N/A</v>
          </cell>
        </row>
      </sheetData>
      <sheetData sheetId="12" refreshError="1">
        <row r="148">
          <cell r="F148" t="str">
            <v>N/A</v>
          </cell>
          <cell r="G148" t="str">
            <v>N/A</v>
          </cell>
          <cell r="J148" t="str">
            <v>N/A</v>
          </cell>
        </row>
      </sheetData>
      <sheetData sheetId="13" refreshError="1">
        <row r="148">
          <cell r="F148" t="str">
            <v>N/A</v>
          </cell>
          <cell r="G148" t="str">
            <v>N/A</v>
          </cell>
          <cell r="J148" t="str">
            <v>N/A</v>
          </cell>
        </row>
      </sheetData>
      <sheetData sheetId="14" refreshError="1">
        <row r="148">
          <cell r="F148" t="str">
            <v>N/A</v>
          </cell>
          <cell r="G148" t="str">
            <v>N/A</v>
          </cell>
          <cell r="J148" t="str">
            <v>N/A</v>
          </cell>
        </row>
      </sheetData>
      <sheetData sheetId="15" refreshError="1">
        <row r="148">
          <cell r="F148" t="str">
            <v>N/A</v>
          </cell>
          <cell r="G148" t="str">
            <v>N/A</v>
          </cell>
          <cell r="J148" t="str">
            <v>N/A</v>
          </cell>
        </row>
      </sheetData>
      <sheetData sheetId="16" refreshError="1">
        <row r="148">
          <cell r="F148" t="str">
            <v>N/A</v>
          </cell>
          <cell r="G148" t="str">
            <v>N/A</v>
          </cell>
          <cell r="J148" t="str">
            <v>N/A</v>
          </cell>
        </row>
      </sheetData>
      <sheetData sheetId="17" refreshError="1">
        <row r="148">
          <cell r="F148" t="str">
            <v>N/A</v>
          </cell>
          <cell r="G148" t="str">
            <v>N/A</v>
          </cell>
          <cell r="J148" t="str">
            <v>N/A</v>
          </cell>
        </row>
      </sheetData>
      <sheetData sheetId="18" refreshError="1">
        <row r="148">
          <cell r="F148" t="str">
            <v>N/A</v>
          </cell>
          <cell r="G148" t="str">
            <v>N/A</v>
          </cell>
          <cell r="J148" t="str">
            <v>N/A</v>
          </cell>
        </row>
      </sheetData>
      <sheetData sheetId="19" refreshError="1">
        <row r="148">
          <cell r="F148" t="str">
            <v>N/A</v>
          </cell>
          <cell r="G148" t="str">
            <v>N/A</v>
          </cell>
          <cell r="J148" t="str">
            <v>N/A</v>
          </cell>
        </row>
      </sheetData>
      <sheetData sheetId="20" refreshError="1">
        <row r="148">
          <cell r="F148" t="str">
            <v>N/A</v>
          </cell>
          <cell r="G148" t="str">
            <v>N/A</v>
          </cell>
          <cell r="J148" t="str">
            <v>N/A</v>
          </cell>
        </row>
      </sheetData>
      <sheetData sheetId="21" refreshError="1">
        <row r="148">
          <cell r="F148" t="str">
            <v>N/A</v>
          </cell>
          <cell r="G148" t="str">
            <v>N/A</v>
          </cell>
          <cell r="J148" t="str">
            <v>N/A</v>
          </cell>
        </row>
      </sheetData>
      <sheetData sheetId="22" refreshError="1">
        <row r="148">
          <cell r="F148" t="str">
            <v>N/A</v>
          </cell>
          <cell r="G148" t="str">
            <v>N/A</v>
          </cell>
          <cell r="J148" t="str">
            <v>N/A</v>
          </cell>
        </row>
      </sheetData>
      <sheetData sheetId="23" refreshError="1">
        <row r="148">
          <cell r="F148" t="str">
            <v>N/A</v>
          </cell>
          <cell r="G148" t="str">
            <v>N/A</v>
          </cell>
          <cell r="J148" t="str">
            <v>N/A</v>
          </cell>
        </row>
      </sheetData>
      <sheetData sheetId="24" refreshError="1">
        <row r="148">
          <cell r="F148" t="str">
            <v>N/A</v>
          </cell>
          <cell r="G148" t="str">
            <v>N/A</v>
          </cell>
          <cell r="J148" t="str">
            <v>N/A</v>
          </cell>
        </row>
      </sheetData>
      <sheetData sheetId="25" refreshError="1">
        <row r="148">
          <cell r="F148" t="str">
            <v>N/A</v>
          </cell>
          <cell r="G148" t="str">
            <v>N/A</v>
          </cell>
          <cell r="J148" t="str">
            <v>N/A</v>
          </cell>
        </row>
      </sheetData>
      <sheetData sheetId="26" refreshError="1">
        <row r="148">
          <cell r="F148" t="str">
            <v>N/A</v>
          </cell>
          <cell r="G148" t="str">
            <v>N/A</v>
          </cell>
          <cell r="J148" t="str">
            <v>N/A</v>
          </cell>
        </row>
      </sheetData>
      <sheetData sheetId="27" refreshError="1">
        <row r="148">
          <cell r="F148" t="str">
            <v>N/A</v>
          </cell>
          <cell r="G148" t="str">
            <v>N/A</v>
          </cell>
          <cell r="J148" t="str">
            <v>N/A</v>
          </cell>
        </row>
      </sheetData>
      <sheetData sheetId="28" refreshError="1">
        <row r="148">
          <cell r="F148" t="str">
            <v>N/A</v>
          </cell>
          <cell r="G148" t="str">
            <v>N/A</v>
          </cell>
          <cell r="J148" t="str">
            <v>N/A</v>
          </cell>
        </row>
      </sheetData>
      <sheetData sheetId="29" refreshError="1">
        <row r="148">
          <cell r="F148" t="str">
            <v>N/A</v>
          </cell>
          <cell r="G148" t="str">
            <v>N/A</v>
          </cell>
          <cell r="J148" t="str">
            <v>N/A</v>
          </cell>
        </row>
      </sheetData>
      <sheetData sheetId="30" refreshError="1">
        <row r="148">
          <cell r="F148" t="str">
            <v>N/A</v>
          </cell>
          <cell r="G148" t="str">
            <v>N/A</v>
          </cell>
          <cell r="J148" t="str">
            <v>N/A</v>
          </cell>
        </row>
      </sheetData>
      <sheetData sheetId="31" refreshError="1">
        <row r="148">
          <cell r="F148" t="str">
            <v>N/A</v>
          </cell>
          <cell r="G148" t="str">
            <v>N/A</v>
          </cell>
          <cell r="J148" t="str">
            <v>N/A</v>
          </cell>
        </row>
      </sheetData>
      <sheetData sheetId="32" refreshError="1">
        <row r="148">
          <cell r="F148" t="str">
            <v>N/A</v>
          </cell>
          <cell r="G148" t="str">
            <v>N/A</v>
          </cell>
          <cell r="J148" t="str">
            <v>N/A</v>
          </cell>
        </row>
      </sheetData>
      <sheetData sheetId="33" refreshError="1">
        <row r="148">
          <cell r="F148" t="str">
            <v>N/A</v>
          </cell>
          <cell r="G148" t="str">
            <v>N/A</v>
          </cell>
          <cell r="J148" t="str">
            <v>N/A</v>
          </cell>
        </row>
      </sheetData>
      <sheetData sheetId="34" refreshError="1">
        <row r="148">
          <cell r="F148" t="str">
            <v>N/A</v>
          </cell>
          <cell r="G148" t="str">
            <v>N/A</v>
          </cell>
          <cell r="J148" t="str">
            <v>N/A</v>
          </cell>
        </row>
      </sheetData>
      <sheetData sheetId="35" refreshError="1">
        <row r="148">
          <cell r="F148" t="str">
            <v>N/A</v>
          </cell>
          <cell r="G148" t="str">
            <v>N/A</v>
          </cell>
          <cell r="J148" t="str">
            <v>N/A</v>
          </cell>
        </row>
      </sheetData>
      <sheetData sheetId="36" refreshError="1">
        <row r="148">
          <cell r="F148" t="str">
            <v>N/A</v>
          </cell>
          <cell r="G148" t="str">
            <v>N/A</v>
          </cell>
          <cell r="J148" t="str">
            <v>N/A</v>
          </cell>
        </row>
      </sheetData>
      <sheetData sheetId="37" refreshError="1">
        <row r="148">
          <cell r="F148" t="str">
            <v>N/A</v>
          </cell>
          <cell r="G148" t="str">
            <v>N/A</v>
          </cell>
          <cell r="J148" t="str">
            <v>N/A</v>
          </cell>
        </row>
      </sheetData>
      <sheetData sheetId="38" refreshError="1">
        <row r="148">
          <cell r="F148" t="str">
            <v>N/A</v>
          </cell>
          <cell r="G148" t="str">
            <v>N/A</v>
          </cell>
          <cell r="J148" t="str">
            <v>N/A</v>
          </cell>
        </row>
      </sheetData>
      <sheetData sheetId="39" refreshError="1">
        <row r="148">
          <cell r="F148" t="str">
            <v>N/A</v>
          </cell>
          <cell r="G148" t="str">
            <v>N/A</v>
          </cell>
          <cell r="J148" t="str">
            <v>N/A</v>
          </cell>
        </row>
      </sheetData>
      <sheetData sheetId="40" refreshError="1">
        <row r="148">
          <cell r="F148" t="str">
            <v>N/A</v>
          </cell>
          <cell r="G148" t="str">
            <v>N/A</v>
          </cell>
          <cell r="J148" t="str">
            <v>N/A</v>
          </cell>
        </row>
      </sheetData>
      <sheetData sheetId="41" refreshError="1">
        <row r="148">
          <cell r="F148" t="str">
            <v>N/A</v>
          </cell>
          <cell r="G148" t="str">
            <v>N/A</v>
          </cell>
          <cell r="J148" t="str">
            <v>N/A</v>
          </cell>
        </row>
      </sheetData>
      <sheetData sheetId="42" refreshError="1">
        <row r="148">
          <cell r="F148" t="str">
            <v>N/A</v>
          </cell>
          <cell r="G148" t="str">
            <v>N/A</v>
          </cell>
          <cell r="J148" t="str">
            <v>N/A</v>
          </cell>
        </row>
      </sheetData>
      <sheetData sheetId="43" refreshError="1">
        <row r="148">
          <cell r="F148" t="str">
            <v>N/A</v>
          </cell>
          <cell r="G148" t="str">
            <v>N/A</v>
          </cell>
          <cell r="J148" t="str">
            <v>N/A</v>
          </cell>
        </row>
      </sheetData>
      <sheetData sheetId="44" refreshError="1">
        <row r="148">
          <cell r="F148" t="str">
            <v>N/A</v>
          </cell>
          <cell r="G148" t="str">
            <v>N/A</v>
          </cell>
          <cell r="J148" t="str">
            <v>N/A</v>
          </cell>
        </row>
      </sheetData>
      <sheetData sheetId="45" refreshError="1">
        <row r="148">
          <cell r="F148" t="str">
            <v>N/A</v>
          </cell>
          <cell r="G148" t="str">
            <v>N/A</v>
          </cell>
          <cell r="J148" t="str">
            <v>N/A</v>
          </cell>
        </row>
      </sheetData>
      <sheetData sheetId="46" refreshError="1">
        <row r="148">
          <cell r="F148" t="str">
            <v>N/A</v>
          </cell>
          <cell r="G148" t="str">
            <v>N/A</v>
          </cell>
          <cell r="J148" t="str">
            <v>N/A</v>
          </cell>
        </row>
      </sheetData>
      <sheetData sheetId="47" refreshError="1">
        <row r="148">
          <cell r="F148" t="str">
            <v>N/A</v>
          </cell>
          <cell r="G148" t="str">
            <v>N/A</v>
          </cell>
          <cell r="J148" t="str">
            <v>N/A</v>
          </cell>
        </row>
      </sheetData>
      <sheetData sheetId="48" refreshError="1">
        <row r="148">
          <cell r="F148" t="str">
            <v>N/A</v>
          </cell>
          <cell r="G148" t="str">
            <v>N/A</v>
          </cell>
          <cell r="J148" t="str">
            <v>N/A</v>
          </cell>
        </row>
      </sheetData>
      <sheetData sheetId="49" refreshError="1">
        <row r="148">
          <cell r="F148" t="str">
            <v>N/A</v>
          </cell>
          <cell r="G148" t="str">
            <v>N/A</v>
          </cell>
          <cell r="J148" t="str">
            <v>N/A</v>
          </cell>
        </row>
      </sheetData>
      <sheetData sheetId="50" refreshError="1">
        <row r="148">
          <cell r="F148" t="str">
            <v>N/A</v>
          </cell>
          <cell r="G148" t="str">
            <v>N/A</v>
          </cell>
          <cell r="J148" t="str">
            <v>N/A</v>
          </cell>
        </row>
      </sheetData>
      <sheetData sheetId="51" refreshError="1">
        <row r="148">
          <cell r="F148" t="str">
            <v>N/A</v>
          </cell>
          <cell r="G148" t="str">
            <v>N/A</v>
          </cell>
          <cell r="J148" t="str">
            <v>N/A</v>
          </cell>
        </row>
      </sheetData>
      <sheetData sheetId="52" refreshError="1">
        <row r="148">
          <cell r="F148" t="str">
            <v>N/A</v>
          </cell>
          <cell r="G148" t="str">
            <v>N/A</v>
          </cell>
          <cell r="J148" t="str">
            <v>N/A</v>
          </cell>
        </row>
      </sheetData>
      <sheetData sheetId="53" refreshError="1">
        <row r="148">
          <cell r="F148" t="str">
            <v>N/A</v>
          </cell>
          <cell r="G148" t="str">
            <v>N/A</v>
          </cell>
          <cell r="J148" t="str">
            <v>N/A</v>
          </cell>
        </row>
      </sheetData>
      <sheetData sheetId="54" refreshError="1">
        <row r="148">
          <cell r="F148" t="str">
            <v>N/A</v>
          </cell>
          <cell r="G148" t="str">
            <v>N/A</v>
          </cell>
          <cell r="J148" t="str">
            <v>N/A</v>
          </cell>
        </row>
      </sheetData>
      <sheetData sheetId="55" refreshError="1">
        <row r="148">
          <cell r="F148" t="str">
            <v>N/A</v>
          </cell>
          <cell r="G148" t="str">
            <v>N/A</v>
          </cell>
          <cell r="J148" t="str">
            <v>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Totals"/>
      <sheetName val="FY2011-2010 Comparison"/>
      <sheetName val="AAMC 11"/>
      <sheetName val="Atlantic General 11"/>
      <sheetName val="Bon Secours 11"/>
      <sheetName val="BWMC 11"/>
      <sheetName val="Calvert 11"/>
      <sheetName val="Carroll 11"/>
      <sheetName val="Chester River 11"/>
      <sheetName val="CIVISTA 11"/>
      <sheetName val="Doctors 11"/>
      <sheetName val="Dorchester 11"/>
      <sheetName val="Memorial Easton 11"/>
      <sheetName val="Franklin Square 11"/>
      <sheetName val="Frederick 11"/>
      <sheetName val="Ft Washington 11"/>
      <sheetName val="Garrett 11"/>
      <sheetName val="Good Samaritan 11"/>
      <sheetName val="GBMC 11"/>
      <sheetName val="Harbor 11"/>
      <sheetName val="Holy Cross 11"/>
      <sheetName val="HCGH 11"/>
      <sheetName val="JHH 11"/>
      <sheetName val="JHB 11"/>
      <sheetName val="Kernan 11"/>
      <sheetName val="Laurel 11"/>
      <sheetName val="MD General 11"/>
      <sheetName val="McCready 11"/>
      <sheetName val="Mercy 11"/>
      <sheetName val="Meritus 11"/>
      <sheetName val="Montgomery Gen 11"/>
      <sheetName val="Northwest 11"/>
      <sheetName val="Pen Gen 11"/>
      <sheetName val="Prince Georges 11"/>
      <sheetName val="Shady Grove 11"/>
      <sheetName val="Sinai 11"/>
      <sheetName val="Southern MD 11"/>
      <sheetName val="St Agnes 11"/>
      <sheetName val="St. Joes 11"/>
      <sheetName val="St. Marys 11"/>
      <sheetName val="Suburban 11"/>
      <sheetName val="Union Cecil 11"/>
      <sheetName val="Union Mem 11"/>
      <sheetName val="UMMC 11"/>
      <sheetName val="UCH - Harford Mem 11"/>
      <sheetName val="UCH -Upper Ches 11"/>
      <sheetName val="Wash Adventist 11"/>
      <sheetName val="WMHS 11"/>
    </sheetNames>
    <sheetDataSet>
      <sheetData sheetId="0"/>
      <sheetData sheetId="1"/>
      <sheetData sheetId="2">
        <row r="121">
          <cell r="F121">
            <v>439610000</v>
          </cell>
        </row>
      </sheetData>
      <sheetData sheetId="3">
        <row r="121">
          <cell r="F121">
            <v>88062865</v>
          </cell>
        </row>
      </sheetData>
      <sheetData sheetId="4">
        <row r="121">
          <cell r="F121">
            <v>135427187</v>
          </cell>
        </row>
      </sheetData>
      <sheetData sheetId="5">
        <row r="121">
          <cell r="F121">
            <v>319612000</v>
          </cell>
        </row>
      </sheetData>
      <sheetData sheetId="6">
        <row r="121">
          <cell r="F121">
            <v>115707400</v>
          </cell>
        </row>
      </sheetData>
      <sheetData sheetId="7">
        <row r="121">
          <cell r="F121">
            <v>188182000</v>
          </cell>
        </row>
      </sheetData>
      <sheetData sheetId="8">
        <row r="121">
          <cell r="F121">
            <v>55032000</v>
          </cell>
        </row>
      </sheetData>
      <sheetData sheetId="9">
        <row r="121">
          <cell r="F121">
            <v>102090948</v>
          </cell>
        </row>
      </sheetData>
      <sheetData sheetId="10">
        <row r="121">
          <cell r="F121">
            <v>194523558</v>
          </cell>
        </row>
      </sheetData>
      <sheetData sheetId="11">
        <row r="121">
          <cell r="F121">
            <v>41944946.561561666</v>
          </cell>
        </row>
      </sheetData>
      <sheetData sheetId="12">
        <row r="121">
          <cell r="F121">
            <v>140221608.23718029</v>
          </cell>
        </row>
      </sheetData>
      <sheetData sheetId="13">
        <row r="121">
          <cell r="F121">
            <v>410262600</v>
          </cell>
        </row>
      </sheetData>
      <sheetData sheetId="14">
        <row r="121">
          <cell r="F121">
            <v>332418000</v>
          </cell>
        </row>
      </sheetData>
      <sheetData sheetId="15">
        <row r="121">
          <cell r="F121">
            <v>40954995</v>
          </cell>
        </row>
      </sheetData>
      <sheetData sheetId="16">
        <row r="121">
          <cell r="F121">
            <v>35606008</v>
          </cell>
        </row>
      </sheetData>
      <sheetData sheetId="17">
        <row r="121">
          <cell r="F121">
            <v>300220500</v>
          </cell>
        </row>
      </sheetData>
      <sheetData sheetId="18">
        <row r="121">
          <cell r="F121">
            <v>392667399</v>
          </cell>
        </row>
      </sheetData>
      <sheetData sheetId="19">
        <row r="121">
          <cell r="F121">
            <v>183840500</v>
          </cell>
        </row>
      </sheetData>
      <sheetData sheetId="20">
        <row r="121">
          <cell r="F121">
            <v>389986549</v>
          </cell>
        </row>
      </sheetData>
      <sheetData sheetId="21">
        <row r="121">
          <cell r="F121">
            <v>226186000</v>
          </cell>
        </row>
      </sheetData>
      <sheetData sheetId="22">
        <row r="121">
          <cell r="F121">
            <v>1648599000</v>
          </cell>
        </row>
      </sheetData>
      <sheetData sheetId="23">
        <row r="121">
          <cell r="F121">
            <v>504690000</v>
          </cell>
        </row>
      </sheetData>
      <sheetData sheetId="24">
        <row r="121">
          <cell r="F121">
            <v>90594000</v>
          </cell>
        </row>
      </sheetData>
      <sheetData sheetId="25">
        <row r="121">
          <cell r="F121">
            <v>94179100</v>
          </cell>
        </row>
      </sheetData>
      <sheetData sheetId="26">
        <row r="121">
          <cell r="F121">
            <v>178038000</v>
          </cell>
        </row>
      </sheetData>
      <sheetData sheetId="27">
        <row r="121">
          <cell r="F121">
            <v>17313509</v>
          </cell>
        </row>
      </sheetData>
      <sheetData sheetId="28">
        <row r="121">
          <cell r="F121">
            <v>386361000</v>
          </cell>
        </row>
      </sheetData>
      <sheetData sheetId="29">
        <row r="121">
          <cell r="F121">
            <v>270510801</v>
          </cell>
        </row>
      </sheetData>
      <sheetData sheetId="30">
        <row r="121">
          <cell r="F121">
            <v>133009700</v>
          </cell>
        </row>
      </sheetData>
      <sheetData sheetId="31">
        <row r="121">
          <cell r="F121">
            <v>204008000</v>
          </cell>
        </row>
      </sheetData>
      <sheetData sheetId="32">
        <row r="121">
          <cell r="F121">
            <v>366862000</v>
          </cell>
        </row>
      </sheetData>
      <sheetData sheetId="33">
        <row r="121">
          <cell r="F121">
            <v>242965900</v>
          </cell>
        </row>
      </sheetData>
      <sheetData sheetId="34">
        <row r="121">
          <cell r="F121">
            <v>269589154.85699999</v>
          </cell>
        </row>
      </sheetData>
      <sheetData sheetId="35">
        <row r="121">
          <cell r="F121">
            <v>651313000</v>
          </cell>
        </row>
      </sheetData>
      <sheetData sheetId="36">
        <row r="121">
          <cell r="F121">
            <v>227132278</v>
          </cell>
        </row>
      </sheetData>
      <sheetData sheetId="37">
        <row r="121">
          <cell r="F121">
            <v>380659763</v>
          </cell>
        </row>
      </sheetData>
      <sheetData sheetId="38">
        <row r="121">
          <cell r="F121">
            <v>330327712</v>
          </cell>
        </row>
      </sheetData>
      <sheetData sheetId="39">
        <row r="121">
          <cell r="F121">
            <v>112047400</v>
          </cell>
        </row>
      </sheetData>
      <sheetData sheetId="40">
        <row r="121">
          <cell r="F121">
            <v>241360000</v>
          </cell>
        </row>
      </sheetData>
      <sheetData sheetId="41">
        <row r="121">
          <cell r="F121">
            <v>135590000</v>
          </cell>
        </row>
      </sheetData>
      <sheetData sheetId="42">
        <row r="121">
          <cell r="F121">
            <v>384090500</v>
          </cell>
        </row>
      </sheetData>
      <sheetData sheetId="43">
        <row r="121">
          <cell r="F121">
            <v>1249077000</v>
          </cell>
        </row>
      </sheetData>
      <sheetData sheetId="44">
        <row r="121">
          <cell r="F121">
            <v>88883000</v>
          </cell>
        </row>
      </sheetData>
      <sheetData sheetId="45">
        <row r="121">
          <cell r="F121">
            <v>194088000</v>
          </cell>
        </row>
      </sheetData>
      <sheetData sheetId="46">
        <row r="121">
          <cell r="F121">
            <v>211836413.13800001</v>
          </cell>
        </row>
      </sheetData>
      <sheetData sheetId="47">
        <row r="121">
          <cell r="F121">
            <v>293906377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rsamuels@adventisthealthcare.com"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msanfuentes@jhmi.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breilly@aahs.org"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mailto:glhoward@umm.edu"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mailto:rsamuels@adventisthealthcare.com" TargetMode="Externa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mailto:rsamuels@adventisthealthcare.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mailto:rsamuels@adventisthealthcare.com" TargetMode="Externa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mailto:rsamuels@adventisthealthcare.com" TargetMode="External"/></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7"/>
  <sheetViews>
    <sheetView zoomScaleNormal="100" workbookViewId="0">
      <selection activeCell="H1" sqref="H1:N13"/>
    </sheetView>
  </sheetViews>
  <sheetFormatPr defaultRowHeight="15"/>
  <cols>
    <col min="1" max="1" width="41.42578125" style="70" bestFit="1" customWidth="1"/>
    <col min="2" max="2" width="5" style="70" bestFit="1" customWidth="1"/>
    <col min="3" max="3" width="13.85546875" style="78" bestFit="1" customWidth="1"/>
    <col min="4" max="4" width="13.28515625" style="78" bestFit="1" customWidth="1"/>
    <col min="5" max="5" width="15.28515625" style="70" bestFit="1" customWidth="1"/>
    <col min="6" max="6" width="9.140625" style="70"/>
    <col min="7" max="7" width="41.42578125" style="70" bestFit="1" customWidth="1"/>
    <col min="8" max="8" width="10.5703125" style="70" bestFit="1" customWidth="1"/>
    <col min="9" max="9" width="10.5703125" style="78" bestFit="1" customWidth="1"/>
    <col min="10" max="10" width="11.5703125" style="70" bestFit="1" customWidth="1"/>
    <col min="11" max="11" width="9.140625" style="70"/>
    <col min="12" max="12" width="51.42578125" style="70" customWidth="1"/>
    <col min="13" max="13" width="7.7109375" style="70" bestFit="1" customWidth="1"/>
    <col min="14" max="14" width="20.140625" style="70" bestFit="1" customWidth="1"/>
    <col min="15" max="16" width="9.140625" style="70"/>
    <col min="17" max="17" width="32.42578125" style="70" customWidth="1"/>
    <col min="18" max="21" width="9.140625" style="70"/>
    <col min="22" max="22" width="10.140625" style="70" bestFit="1" customWidth="1"/>
    <col min="23" max="26" width="9.140625" style="70"/>
    <col min="27" max="27" width="10.140625" style="70" bestFit="1" customWidth="1"/>
    <col min="28" max="28" width="15.28515625" style="70" bestFit="1" customWidth="1"/>
    <col min="29" max="16384" width="9.140625" style="70"/>
  </cols>
  <sheetData>
    <row r="1" spans="1:28" s="71" customFormat="1">
      <c r="A1" s="71" t="s">
        <v>216</v>
      </c>
      <c r="B1" s="154"/>
      <c r="C1" s="155" t="s">
        <v>217</v>
      </c>
      <c r="D1" s="155" t="s">
        <v>218</v>
      </c>
      <c r="E1" s="154" t="s">
        <v>219</v>
      </c>
      <c r="G1" s="82" t="s">
        <v>227</v>
      </c>
      <c r="H1" s="82" t="s">
        <v>228</v>
      </c>
      <c r="I1" s="82" t="s">
        <v>229</v>
      </c>
      <c r="L1" s="79" t="s">
        <v>221</v>
      </c>
      <c r="M1" s="80" t="s">
        <v>222</v>
      </c>
      <c r="N1" s="81" t="s">
        <v>223</v>
      </c>
      <c r="V1" s="586" t="s">
        <v>228</v>
      </c>
      <c r="Z1" s="586" t="s">
        <v>229</v>
      </c>
    </row>
    <row r="2" spans="1:28">
      <c r="A2" s="70" t="s">
        <v>205</v>
      </c>
      <c r="B2" s="77">
        <v>1</v>
      </c>
      <c r="C2" s="72">
        <v>0</v>
      </c>
      <c r="D2" s="73">
        <f>N2</f>
        <v>295465.2</v>
      </c>
      <c r="E2" s="593">
        <f>C2+D2</f>
        <v>295465.2</v>
      </c>
      <c r="G2" s="152" t="s">
        <v>205</v>
      </c>
      <c r="H2" s="588">
        <v>0</v>
      </c>
      <c r="I2" s="588">
        <v>0</v>
      </c>
      <c r="L2" s="152" t="s">
        <v>205</v>
      </c>
      <c r="M2" s="152">
        <v>1</v>
      </c>
      <c r="N2" s="76">
        <f>R2</f>
        <v>295465.2</v>
      </c>
      <c r="O2" s="70">
        <v>1</v>
      </c>
      <c r="P2" s="70" t="s">
        <v>205</v>
      </c>
      <c r="R2" s="70">
        <v>295465.2</v>
      </c>
      <c r="T2" s="587">
        <v>2014</v>
      </c>
      <c r="U2" s="587">
        <v>210001</v>
      </c>
      <c r="V2" s="588">
        <v>0</v>
      </c>
      <c r="X2" s="587">
        <v>2014</v>
      </c>
      <c r="Y2" s="587">
        <v>210001</v>
      </c>
      <c r="Z2" s="588">
        <v>0</v>
      </c>
      <c r="AB2" s="586"/>
    </row>
    <row r="3" spans="1:28">
      <c r="A3" s="70" t="s">
        <v>298</v>
      </c>
      <c r="B3" s="77">
        <v>2</v>
      </c>
      <c r="C3" s="72">
        <f>(H3+I3)*1000</f>
        <v>91440450</v>
      </c>
      <c r="D3" s="73">
        <f t="shared" ref="D3:D53" si="0">N3</f>
        <v>1420398</v>
      </c>
      <c r="E3" s="593">
        <f t="shared" ref="E3:E53" si="1">C3+D3</f>
        <v>92860848</v>
      </c>
      <c r="G3" s="152" t="s">
        <v>298</v>
      </c>
      <c r="H3" s="588">
        <v>69628.23</v>
      </c>
      <c r="I3" s="588">
        <v>21812.219999999998</v>
      </c>
      <c r="L3" s="152" t="s">
        <v>298</v>
      </c>
      <c r="M3" s="152">
        <v>2</v>
      </c>
      <c r="N3" s="76">
        <f t="shared" ref="N3:N53" si="2">R3</f>
        <v>1420398</v>
      </c>
      <c r="O3" s="70">
        <v>2</v>
      </c>
      <c r="P3" s="70" t="s">
        <v>298</v>
      </c>
      <c r="R3" s="70">
        <v>1420398</v>
      </c>
      <c r="T3" s="587">
        <v>2014</v>
      </c>
      <c r="U3" s="587">
        <v>210002</v>
      </c>
      <c r="V3" s="588">
        <v>69628.23</v>
      </c>
      <c r="X3" s="587">
        <v>2014</v>
      </c>
      <c r="Y3" s="587" t="s">
        <v>999</v>
      </c>
      <c r="Z3" s="588">
        <v>21812.219999999998</v>
      </c>
      <c r="AA3" s="590"/>
      <c r="AB3" s="590"/>
    </row>
    <row r="4" spans="1:28">
      <c r="A4" s="70" t="s">
        <v>299</v>
      </c>
      <c r="B4" s="77">
        <v>3</v>
      </c>
      <c r="C4" s="72">
        <f t="shared" ref="C4:C53" si="3">(H4+I4)*1000</f>
        <v>3988329.9999999995</v>
      </c>
      <c r="D4" s="73">
        <f t="shared" si="0"/>
        <v>255903.80000000002</v>
      </c>
      <c r="E4" s="593">
        <f t="shared" si="1"/>
        <v>4244233.8</v>
      </c>
      <c r="G4" s="152" t="s">
        <v>299</v>
      </c>
      <c r="H4" s="588">
        <v>3988.3299999999995</v>
      </c>
      <c r="I4" s="588">
        <v>0</v>
      </c>
      <c r="J4" s="84"/>
      <c r="L4" s="152" t="s">
        <v>299</v>
      </c>
      <c r="M4" s="152">
        <v>3</v>
      </c>
      <c r="N4" s="76">
        <f t="shared" si="2"/>
        <v>255903.80000000002</v>
      </c>
      <c r="O4" s="70">
        <v>3</v>
      </c>
      <c r="P4" s="70" t="s">
        <v>299</v>
      </c>
      <c r="R4" s="70">
        <v>255903.80000000002</v>
      </c>
      <c r="T4" s="587">
        <v>2014</v>
      </c>
      <c r="U4" s="587">
        <v>210003</v>
      </c>
      <c r="V4" s="588">
        <v>3988.3299999999995</v>
      </c>
      <c r="X4" s="587">
        <v>2014</v>
      </c>
      <c r="Y4" s="587">
        <v>210003</v>
      </c>
      <c r="Z4" s="588">
        <v>0</v>
      </c>
      <c r="AB4" s="590"/>
    </row>
    <row r="5" spans="1:28">
      <c r="A5" s="70" t="s">
        <v>300</v>
      </c>
      <c r="B5" s="77">
        <v>4</v>
      </c>
      <c r="C5" s="72">
        <f t="shared" si="3"/>
        <v>2757759.9999999995</v>
      </c>
      <c r="D5" s="73">
        <f t="shared" si="0"/>
        <v>453731.60000000003</v>
      </c>
      <c r="E5" s="593">
        <f t="shared" si="1"/>
        <v>3211491.5999999996</v>
      </c>
      <c r="G5" s="152" t="s">
        <v>300</v>
      </c>
      <c r="H5" s="588">
        <v>2757.7599999999998</v>
      </c>
      <c r="I5" s="588">
        <v>0</v>
      </c>
      <c r="J5" s="84"/>
      <c r="L5" s="152" t="s">
        <v>300</v>
      </c>
      <c r="M5" s="152">
        <v>4</v>
      </c>
      <c r="N5" s="76">
        <f t="shared" si="2"/>
        <v>453731.60000000003</v>
      </c>
      <c r="O5" s="70">
        <v>4</v>
      </c>
      <c r="P5" s="70" t="s">
        <v>300</v>
      </c>
      <c r="R5" s="70">
        <v>453731.60000000003</v>
      </c>
      <c r="T5" s="587">
        <v>2014</v>
      </c>
      <c r="U5" s="587">
        <v>210004</v>
      </c>
      <c r="V5" s="588">
        <v>2757.7599999999998</v>
      </c>
      <c r="X5" s="587">
        <v>2014</v>
      </c>
      <c r="Y5" s="587">
        <v>210004</v>
      </c>
      <c r="Z5" s="588">
        <v>0</v>
      </c>
      <c r="AB5" s="590"/>
    </row>
    <row r="6" spans="1:28">
      <c r="A6" s="70" t="s">
        <v>206</v>
      </c>
      <c r="B6" s="77">
        <v>5</v>
      </c>
      <c r="C6" s="72">
        <f t="shared" si="3"/>
        <v>0</v>
      </c>
      <c r="D6" s="73">
        <f t="shared" si="0"/>
        <v>334410.30000000005</v>
      </c>
      <c r="E6" s="593">
        <f t="shared" si="1"/>
        <v>334410.30000000005</v>
      </c>
      <c r="G6" s="152" t="s">
        <v>206</v>
      </c>
      <c r="H6" s="588">
        <v>0</v>
      </c>
      <c r="I6" s="588">
        <v>0</v>
      </c>
      <c r="J6" s="84"/>
      <c r="L6" s="152" t="s">
        <v>206</v>
      </c>
      <c r="M6" s="152">
        <v>5</v>
      </c>
      <c r="N6" s="76">
        <f t="shared" si="2"/>
        <v>334410.30000000005</v>
      </c>
      <c r="O6" s="70">
        <v>5</v>
      </c>
      <c r="P6" s="70" t="s">
        <v>206</v>
      </c>
      <c r="R6" s="70">
        <v>334410.30000000005</v>
      </c>
      <c r="T6" s="587">
        <v>2014</v>
      </c>
      <c r="U6" s="587">
        <v>210005</v>
      </c>
      <c r="V6" s="588">
        <v>0</v>
      </c>
      <c r="X6" s="587">
        <v>2014</v>
      </c>
      <c r="Y6" s="587">
        <v>210005</v>
      </c>
      <c r="Z6" s="588">
        <v>0</v>
      </c>
      <c r="AB6" s="590"/>
    </row>
    <row r="7" spans="1:28">
      <c r="A7" s="83" t="s">
        <v>301</v>
      </c>
      <c r="B7" s="77">
        <v>6</v>
      </c>
      <c r="C7" s="72">
        <f t="shared" si="3"/>
        <v>0</v>
      </c>
      <c r="D7" s="73">
        <f t="shared" si="0"/>
        <v>104451.40000000001</v>
      </c>
      <c r="E7" s="593">
        <f t="shared" si="1"/>
        <v>104451.40000000001</v>
      </c>
      <c r="G7" s="152" t="s">
        <v>301</v>
      </c>
      <c r="H7" s="588">
        <v>0</v>
      </c>
      <c r="I7" s="588">
        <v>0</v>
      </c>
      <c r="J7" s="84"/>
      <c r="L7" s="152" t="s">
        <v>301</v>
      </c>
      <c r="M7" s="152">
        <v>6</v>
      </c>
      <c r="N7" s="76">
        <f t="shared" si="2"/>
        <v>104451.40000000001</v>
      </c>
      <c r="O7" s="70">
        <v>6</v>
      </c>
      <c r="P7" s="70" t="s">
        <v>301</v>
      </c>
      <c r="R7" s="70">
        <v>104451.40000000001</v>
      </c>
      <c r="T7" s="587">
        <v>2014</v>
      </c>
      <c r="U7" s="587">
        <v>210006</v>
      </c>
      <c r="V7" s="588">
        <v>0</v>
      </c>
      <c r="X7" s="587">
        <v>2014</v>
      </c>
      <c r="Y7" s="587">
        <v>210006</v>
      </c>
      <c r="Z7" s="588">
        <v>0</v>
      </c>
      <c r="AB7" s="590"/>
    </row>
    <row r="8" spans="1:28">
      <c r="A8" s="70" t="s">
        <v>302</v>
      </c>
      <c r="B8" s="77">
        <v>8</v>
      </c>
      <c r="C8" s="72">
        <f t="shared" si="3"/>
        <v>4675330</v>
      </c>
      <c r="D8" s="73">
        <f t="shared" si="0"/>
        <v>459265.69999999995</v>
      </c>
      <c r="E8" s="593">
        <f t="shared" si="1"/>
        <v>5134595.7</v>
      </c>
      <c r="G8" s="152" t="s">
        <v>302</v>
      </c>
      <c r="H8" s="588">
        <v>4015.59</v>
      </c>
      <c r="I8" s="588">
        <v>659.74</v>
      </c>
      <c r="J8" s="84"/>
      <c r="L8" s="152" t="s">
        <v>302</v>
      </c>
      <c r="M8" s="152">
        <v>8</v>
      </c>
      <c r="N8" s="76">
        <f t="shared" si="2"/>
        <v>459265.69999999995</v>
      </c>
      <c r="O8" s="70">
        <v>8</v>
      </c>
      <c r="P8" s="70" t="s">
        <v>302</v>
      </c>
      <c r="R8" s="70">
        <v>459265.69999999995</v>
      </c>
      <c r="T8" s="587">
        <v>2014</v>
      </c>
      <c r="U8" s="587">
        <v>210008</v>
      </c>
      <c r="V8" s="588">
        <v>4015.59</v>
      </c>
      <c r="X8" s="587">
        <v>2014</v>
      </c>
      <c r="Y8" s="587">
        <v>210008</v>
      </c>
      <c r="Z8" s="588">
        <v>659.74</v>
      </c>
      <c r="AB8" s="590"/>
    </row>
    <row r="9" spans="1:28">
      <c r="A9" s="70" t="s">
        <v>303</v>
      </c>
      <c r="B9" s="77">
        <v>9</v>
      </c>
      <c r="C9" s="72">
        <f t="shared" si="3"/>
        <v>103050920.00000001</v>
      </c>
      <c r="D9" s="73">
        <f t="shared" si="0"/>
        <v>1851351.5</v>
      </c>
      <c r="E9" s="593">
        <f t="shared" si="1"/>
        <v>104902271.50000001</v>
      </c>
      <c r="G9" s="152" t="s">
        <v>303</v>
      </c>
      <c r="H9" s="588">
        <v>92842.12000000001</v>
      </c>
      <c r="I9" s="588">
        <v>10208.799999999999</v>
      </c>
      <c r="J9" s="84"/>
      <c r="L9" s="152" t="s">
        <v>303</v>
      </c>
      <c r="M9" s="152">
        <v>9</v>
      </c>
      <c r="N9" s="76">
        <f t="shared" si="2"/>
        <v>1851351.5</v>
      </c>
      <c r="O9" s="70">
        <v>9</v>
      </c>
      <c r="P9" s="70" t="s">
        <v>303</v>
      </c>
      <c r="R9" s="70">
        <v>1851351.5</v>
      </c>
      <c r="T9" s="587">
        <v>2014</v>
      </c>
      <c r="U9" s="587">
        <v>210009</v>
      </c>
      <c r="V9" s="588">
        <v>92842.12000000001</v>
      </c>
      <c r="X9" s="587">
        <v>2014</v>
      </c>
      <c r="Y9" s="587">
        <v>210009</v>
      </c>
      <c r="Z9" s="588">
        <v>10208.799999999999</v>
      </c>
      <c r="AB9" s="590"/>
    </row>
    <row r="10" spans="1:28">
      <c r="A10" s="70" t="s">
        <v>304</v>
      </c>
      <c r="B10" s="77">
        <v>10</v>
      </c>
      <c r="C10" s="72">
        <f t="shared" si="3"/>
        <v>0</v>
      </c>
      <c r="D10" s="73">
        <f t="shared" si="0"/>
        <v>59359.9</v>
      </c>
      <c r="E10" s="593">
        <f t="shared" si="1"/>
        <v>59359.9</v>
      </c>
      <c r="G10" s="152" t="s">
        <v>304</v>
      </c>
      <c r="H10" s="588">
        <v>0</v>
      </c>
      <c r="I10" s="588">
        <v>0</v>
      </c>
      <c r="J10" s="84"/>
      <c r="L10" s="152" t="s">
        <v>304</v>
      </c>
      <c r="M10" s="152">
        <v>10</v>
      </c>
      <c r="N10" s="76">
        <f t="shared" si="2"/>
        <v>59359.9</v>
      </c>
      <c r="O10" s="70">
        <v>10</v>
      </c>
      <c r="P10" s="70" t="s">
        <v>304</v>
      </c>
      <c r="R10" s="70">
        <v>59359.9</v>
      </c>
      <c r="T10" s="587">
        <v>2014</v>
      </c>
      <c r="U10" s="587">
        <v>210010</v>
      </c>
      <c r="V10" s="588">
        <v>0</v>
      </c>
      <c r="X10" s="587">
        <v>2014</v>
      </c>
      <c r="Y10" s="587">
        <v>210010</v>
      </c>
      <c r="Z10" s="588">
        <v>0</v>
      </c>
      <c r="AB10" s="590"/>
    </row>
    <row r="11" spans="1:28">
      <c r="A11" s="70" t="s">
        <v>207</v>
      </c>
      <c r="B11" s="77">
        <v>11</v>
      </c>
      <c r="C11" s="72">
        <f t="shared" si="3"/>
        <v>6888070.0000000019</v>
      </c>
      <c r="D11" s="73">
        <f t="shared" si="0"/>
        <v>401564.2</v>
      </c>
      <c r="E11" s="593">
        <f t="shared" si="1"/>
        <v>7289634.200000002</v>
      </c>
      <c r="G11" s="152" t="s">
        <v>207</v>
      </c>
      <c r="H11" s="588">
        <v>6888.0700000000015</v>
      </c>
      <c r="I11" s="588">
        <v>0</v>
      </c>
      <c r="J11" s="84"/>
      <c r="L11" s="152" t="s">
        <v>207</v>
      </c>
      <c r="M11" s="152">
        <v>11</v>
      </c>
      <c r="N11" s="76">
        <f t="shared" si="2"/>
        <v>401564.2</v>
      </c>
      <c r="O11" s="70">
        <v>11</v>
      </c>
      <c r="P11" s="70" t="s">
        <v>207</v>
      </c>
      <c r="R11" s="70">
        <v>401564.2</v>
      </c>
      <c r="T11" s="587">
        <v>2014</v>
      </c>
      <c r="U11" s="587">
        <v>210011</v>
      </c>
      <c r="V11" s="588">
        <v>6888.0700000000015</v>
      </c>
      <c r="X11" s="587">
        <v>2014</v>
      </c>
      <c r="Y11" s="587">
        <v>210011</v>
      </c>
      <c r="Z11" s="588">
        <v>0</v>
      </c>
      <c r="AB11" s="590"/>
    </row>
    <row r="12" spans="1:28">
      <c r="A12" s="70" t="s">
        <v>305</v>
      </c>
      <c r="B12" s="77">
        <v>12</v>
      </c>
      <c r="C12" s="72">
        <f t="shared" si="3"/>
        <v>15265590.000000004</v>
      </c>
      <c r="D12" s="73">
        <f t="shared" si="0"/>
        <v>676602.70000000019</v>
      </c>
      <c r="E12" s="593">
        <f t="shared" si="1"/>
        <v>15942192.700000003</v>
      </c>
      <c r="G12" s="152" t="s">
        <v>305</v>
      </c>
      <c r="H12" s="588">
        <v>14654.470000000003</v>
      </c>
      <c r="I12" s="588">
        <v>611.12000000000012</v>
      </c>
      <c r="J12" s="84"/>
      <c r="L12" s="152" t="s">
        <v>305</v>
      </c>
      <c r="M12" s="152">
        <v>12</v>
      </c>
      <c r="N12" s="76">
        <f t="shared" si="2"/>
        <v>676602.70000000019</v>
      </c>
      <c r="O12" s="70">
        <v>12</v>
      </c>
      <c r="P12" s="70" t="s">
        <v>305</v>
      </c>
      <c r="R12" s="70">
        <v>676602.70000000019</v>
      </c>
      <c r="T12" s="587">
        <v>2014</v>
      </c>
      <c r="U12" s="587">
        <v>210012</v>
      </c>
      <c r="V12" s="588">
        <v>14654.470000000003</v>
      </c>
      <c r="X12" s="587">
        <v>2014</v>
      </c>
      <c r="Y12" s="587">
        <v>210012</v>
      </c>
      <c r="Z12" s="588">
        <v>611.12000000000012</v>
      </c>
      <c r="AB12" s="590"/>
    </row>
    <row r="13" spans="1:28">
      <c r="A13" s="70" t="s">
        <v>208</v>
      </c>
      <c r="B13" s="77">
        <v>13</v>
      </c>
      <c r="C13" s="72">
        <f t="shared" si="3"/>
        <v>0</v>
      </c>
      <c r="D13" s="73">
        <f t="shared" si="0"/>
        <v>130651.8</v>
      </c>
      <c r="E13" s="593">
        <f t="shared" si="1"/>
        <v>130651.8</v>
      </c>
      <c r="G13" s="152" t="s">
        <v>208</v>
      </c>
      <c r="H13" s="588">
        <v>0</v>
      </c>
      <c r="I13" s="588">
        <v>0</v>
      </c>
      <c r="J13" s="84"/>
      <c r="L13" s="152" t="s">
        <v>208</v>
      </c>
      <c r="M13" s="152">
        <v>13</v>
      </c>
      <c r="N13" s="76">
        <f t="shared" si="2"/>
        <v>130651.8</v>
      </c>
      <c r="O13" s="70">
        <v>13</v>
      </c>
      <c r="P13" s="70" t="s">
        <v>208</v>
      </c>
      <c r="R13" s="70">
        <v>130651.8</v>
      </c>
      <c r="T13" s="587">
        <v>2014</v>
      </c>
      <c r="U13" s="587">
        <v>210013</v>
      </c>
      <c r="V13" s="588">
        <v>0</v>
      </c>
      <c r="X13" s="587">
        <v>2014</v>
      </c>
      <c r="Y13" s="587">
        <v>210013</v>
      </c>
      <c r="Z13" s="588">
        <v>0</v>
      </c>
      <c r="AB13" s="590"/>
    </row>
    <row r="14" spans="1:28">
      <c r="A14" s="70" t="s">
        <v>306</v>
      </c>
      <c r="B14" s="77">
        <v>15</v>
      </c>
      <c r="C14" s="72">
        <f t="shared" si="3"/>
        <v>7574040</v>
      </c>
      <c r="D14" s="73">
        <f t="shared" si="0"/>
        <v>477082</v>
      </c>
      <c r="E14" s="593">
        <f t="shared" si="1"/>
        <v>8051122</v>
      </c>
      <c r="G14" s="152" t="s">
        <v>306</v>
      </c>
      <c r="H14" s="588">
        <v>7574.04</v>
      </c>
      <c r="I14" s="588">
        <v>0</v>
      </c>
      <c r="J14" s="84"/>
      <c r="L14" s="152" t="s">
        <v>306</v>
      </c>
      <c r="M14" s="152">
        <v>15</v>
      </c>
      <c r="N14" s="76">
        <f t="shared" si="2"/>
        <v>477082</v>
      </c>
      <c r="O14" s="70">
        <v>15</v>
      </c>
      <c r="P14" s="70" t="s">
        <v>306</v>
      </c>
      <c r="R14" s="70">
        <v>477082</v>
      </c>
      <c r="T14" s="587">
        <v>2014</v>
      </c>
      <c r="U14" s="587">
        <v>210015</v>
      </c>
      <c r="V14" s="588">
        <v>7574.04</v>
      </c>
      <c r="X14" s="587">
        <v>2014</v>
      </c>
      <c r="Y14" s="587">
        <v>210015</v>
      </c>
      <c r="Z14" s="588">
        <v>0</v>
      </c>
      <c r="AB14" s="590"/>
    </row>
    <row r="15" spans="1:28">
      <c r="A15" s="70" t="s">
        <v>307</v>
      </c>
      <c r="B15" s="77">
        <v>16</v>
      </c>
      <c r="C15" s="72">
        <f t="shared" si="3"/>
        <v>0</v>
      </c>
      <c r="D15" s="73">
        <f t="shared" si="0"/>
        <v>260716.09999999998</v>
      </c>
      <c r="E15" s="593">
        <f t="shared" si="1"/>
        <v>260716.09999999998</v>
      </c>
      <c r="G15" s="152" t="s">
        <v>307</v>
      </c>
      <c r="H15" s="588">
        <v>0</v>
      </c>
      <c r="I15" s="588">
        <v>0</v>
      </c>
      <c r="J15" s="84"/>
      <c r="L15" s="152" t="s">
        <v>307</v>
      </c>
      <c r="M15" s="152">
        <v>16</v>
      </c>
      <c r="N15" s="76">
        <f t="shared" si="2"/>
        <v>260716.09999999998</v>
      </c>
      <c r="O15" s="70">
        <v>16</v>
      </c>
      <c r="P15" s="70" t="s">
        <v>307</v>
      </c>
      <c r="R15" s="70">
        <v>260716.09999999998</v>
      </c>
      <c r="T15" s="587">
        <v>2014</v>
      </c>
      <c r="U15" s="587">
        <v>210016</v>
      </c>
      <c r="V15" s="588">
        <v>0</v>
      </c>
      <c r="X15" s="587">
        <v>2014</v>
      </c>
      <c r="Y15" s="587">
        <v>210016</v>
      </c>
      <c r="Z15" s="588">
        <v>0</v>
      </c>
      <c r="AB15" s="590"/>
    </row>
    <row r="16" spans="1:28">
      <c r="A16" s="83" t="s">
        <v>308</v>
      </c>
      <c r="B16" s="77">
        <v>17</v>
      </c>
      <c r="C16" s="72">
        <f t="shared" si="3"/>
        <v>0</v>
      </c>
      <c r="D16" s="73">
        <f t="shared" si="0"/>
        <v>42709.9</v>
      </c>
      <c r="E16" s="593">
        <f t="shared" si="1"/>
        <v>42709.9</v>
      </c>
      <c r="G16" s="152" t="s">
        <v>308</v>
      </c>
      <c r="H16" s="588">
        <v>0</v>
      </c>
      <c r="I16" s="588">
        <v>0</v>
      </c>
      <c r="J16" s="84"/>
      <c r="L16" s="152" t="s">
        <v>308</v>
      </c>
      <c r="M16" s="152">
        <v>17</v>
      </c>
      <c r="N16" s="76">
        <f t="shared" si="2"/>
        <v>42709.9</v>
      </c>
      <c r="O16" s="70">
        <v>17</v>
      </c>
      <c r="P16" s="70" t="s">
        <v>308</v>
      </c>
      <c r="R16" s="70">
        <v>42709.9</v>
      </c>
      <c r="T16" s="587">
        <v>2014</v>
      </c>
      <c r="U16" s="587">
        <v>210017</v>
      </c>
      <c r="V16" s="588">
        <v>0</v>
      </c>
      <c r="X16" s="587">
        <v>2014</v>
      </c>
      <c r="Y16" s="587">
        <v>210017</v>
      </c>
      <c r="Z16" s="588">
        <v>0</v>
      </c>
      <c r="AB16" s="590"/>
    </row>
    <row r="17" spans="1:28">
      <c r="A17" s="70" t="s">
        <v>309</v>
      </c>
      <c r="B17" s="77">
        <v>18</v>
      </c>
      <c r="C17" s="72">
        <f t="shared" si="3"/>
        <v>0</v>
      </c>
      <c r="D17" s="73">
        <f t="shared" si="0"/>
        <v>165915</v>
      </c>
      <c r="E17" s="593">
        <f t="shared" si="1"/>
        <v>165915</v>
      </c>
      <c r="G17" s="152" t="s">
        <v>309</v>
      </c>
      <c r="H17" s="588">
        <v>0</v>
      </c>
      <c r="I17" s="588">
        <v>0</v>
      </c>
      <c r="J17" s="84"/>
      <c r="L17" s="152" t="s">
        <v>309</v>
      </c>
      <c r="M17" s="152">
        <v>18</v>
      </c>
      <c r="N17" s="76">
        <f t="shared" si="2"/>
        <v>165915</v>
      </c>
      <c r="O17" s="70">
        <v>18</v>
      </c>
      <c r="P17" s="70" t="s">
        <v>309</v>
      </c>
      <c r="R17" s="70">
        <v>165915</v>
      </c>
      <c r="T17" s="587">
        <v>2014</v>
      </c>
      <c r="U17" s="587">
        <v>210018</v>
      </c>
      <c r="V17" s="588">
        <v>0</v>
      </c>
      <c r="X17" s="587">
        <v>2014</v>
      </c>
      <c r="Y17" s="587">
        <v>210018</v>
      </c>
      <c r="Z17" s="588">
        <v>0</v>
      </c>
      <c r="AB17" s="590"/>
    </row>
    <row r="18" spans="1:28">
      <c r="A18" s="70" t="s">
        <v>310</v>
      </c>
      <c r="B18" s="77">
        <v>19</v>
      </c>
      <c r="C18" s="72">
        <f t="shared" si="3"/>
        <v>0</v>
      </c>
      <c r="D18" s="73">
        <f t="shared" si="0"/>
        <v>414765.5</v>
      </c>
      <c r="E18" s="593">
        <f t="shared" si="1"/>
        <v>414765.5</v>
      </c>
      <c r="G18" s="152" t="s">
        <v>310</v>
      </c>
      <c r="H18" s="588">
        <v>0</v>
      </c>
      <c r="I18" s="588">
        <v>0</v>
      </c>
      <c r="J18" s="84"/>
      <c r="L18" s="152" t="s">
        <v>310</v>
      </c>
      <c r="M18" s="152">
        <v>19</v>
      </c>
      <c r="N18" s="76">
        <f t="shared" si="2"/>
        <v>414765.5</v>
      </c>
      <c r="O18" s="70">
        <v>19</v>
      </c>
      <c r="P18" s="70" t="s">
        <v>310</v>
      </c>
      <c r="R18" s="70">
        <v>414765.5</v>
      </c>
      <c r="T18" s="587">
        <v>2014</v>
      </c>
      <c r="U18" s="587">
        <v>210019</v>
      </c>
      <c r="V18" s="588">
        <v>0</v>
      </c>
      <c r="X18" s="587">
        <v>2014</v>
      </c>
      <c r="Y18" s="587">
        <v>210019</v>
      </c>
      <c r="Z18" s="588">
        <v>0</v>
      </c>
      <c r="AB18" s="590"/>
    </row>
    <row r="19" spans="1:28">
      <c r="A19" s="70" t="s">
        <v>311</v>
      </c>
      <c r="B19" s="77">
        <v>22</v>
      </c>
      <c r="C19" s="72">
        <f t="shared" si="3"/>
        <v>314919.99999999994</v>
      </c>
      <c r="D19" s="73">
        <f t="shared" si="0"/>
        <v>272892.40000000002</v>
      </c>
      <c r="E19" s="593">
        <f t="shared" si="1"/>
        <v>587812.39999999991</v>
      </c>
      <c r="G19" s="152" t="s">
        <v>311</v>
      </c>
      <c r="H19" s="588">
        <v>314.91999999999996</v>
      </c>
      <c r="I19" s="588">
        <v>0</v>
      </c>
      <c r="J19" s="84"/>
      <c r="L19" s="152" t="s">
        <v>311</v>
      </c>
      <c r="M19" s="152">
        <v>22</v>
      </c>
      <c r="N19" s="76">
        <f t="shared" si="2"/>
        <v>272892.40000000002</v>
      </c>
      <c r="O19" s="70">
        <v>22</v>
      </c>
      <c r="P19" s="70" t="s">
        <v>311</v>
      </c>
      <c r="R19" s="70">
        <v>272892.40000000002</v>
      </c>
      <c r="T19" s="587">
        <v>2014</v>
      </c>
      <c r="U19" s="587">
        <v>210022</v>
      </c>
      <c r="V19" s="588">
        <v>314.91999999999996</v>
      </c>
      <c r="X19" s="587">
        <v>2014</v>
      </c>
      <c r="Y19" s="587">
        <v>210022</v>
      </c>
      <c r="Z19" s="588">
        <v>0</v>
      </c>
      <c r="AB19" s="590"/>
    </row>
    <row r="20" spans="1:28">
      <c r="A20" s="70" t="s">
        <v>312</v>
      </c>
      <c r="B20" s="77">
        <v>23</v>
      </c>
      <c r="C20" s="72">
        <f t="shared" si="3"/>
        <v>0</v>
      </c>
      <c r="D20" s="73">
        <f t="shared" si="0"/>
        <v>523717</v>
      </c>
      <c r="E20" s="593">
        <f t="shared" si="1"/>
        <v>523717</v>
      </c>
      <c r="G20" s="152" t="s">
        <v>312</v>
      </c>
      <c r="H20" s="588">
        <v>0</v>
      </c>
      <c r="I20" s="588">
        <v>0</v>
      </c>
      <c r="J20" s="84"/>
      <c r="L20" s="152" t="s">
        <v>312</v>
      </c>
      <c r="M20" s="152">
        <v>23</v>
      </c>
      <c r="N20" s="76">
        <f t="shared" si="2"/>
        <v>523717</v>
      </c>
      <c r="O20" s="70">
        <v>23</v>
      </c>
      <c r="P20" s="70" t="s">
        <v>312</v>
      </c>
      <c r="R20" s="70">
        <v>523717</v>
      </c>
      <c r="T20" s="587">
        <v>2014</v>
      </c>
      <c r="U20" s="587">
        <v>210023</v>
      </c>
      <c r="V20" s="588">
        <v>0</v>
      </c>
      <c r="X20" s="587">
        <v>2014</v>
      </c>
      <c r="Y20" s="587">
        <v>210023</v>
      </c>
      <c r="Z20" s="588">
        <v>0</v>
      </c>
      <c r="AB20" s="590"/>
    </row>
    <row r="21" spans="1:28">
      <c r="A21" s="70" t="s">
        <v>313</v>
      </c>
      <c r="B21" s="77">
        <v>24</v>
      </c>
      <c r="C21" s="72">
        <f t="shared" si="3"/>
        <v>11238489.999999998</v>
      </c>
      <c r="D21" s="73">
        <f t="shared" si="0"/>
        <v>422530.70000000007</v>
      </c>
      <c r="E21" s="593">
        <f t="shared" si="1"/>
        <v>11661020.699999997</v>
      </c>
      <c r="G21" s="152" t="s">
        <v>313</v>
      </c>
      <c r="H21" s="588">
        <v>10107.019999999999</v>
      </c>
      <c r="I21" s="588">
        <v>1131.47</v>
      </c>
      <c r="L21" s="152" t="s">
        <v>313</v>
      </c>
      <c r="M21" s="152">
        <v>24</v>
      </c>
      <c r="N21" s="76">
        <f t="shared" si="2"/>
        <v>422530.70000000007</v>
      </c>
      <c r="O21" s="70">
        <v>24</v>
      </c>
      <c r="P21" s="70" t="s">
        <v>313</v>
      </c>
      <c r="R21" s="70">
        <v>422530.70000000007</v>
      </c>
      <c r="T21" s="587">
        <v>2014</v>
      </c>
      <c r="U21" s="587">
        <v>210024</v>
      </c>
      <c r="V21" s="588">
        <v>10107.019999999999</v>
      </c>
      <c r="X21" s="587">
        <v>2014</v>
      </c>
      <c r="Y21" s="587">
        <v>210024</v>
      </c>
      <c r="Z21" s="588">
        <v>1131.47</v>
      </c>
      <c r="AB21" s="590"/>
    </row>
    <row r="22" spans="1:28">
      <c r="A22" s="70" t="s">
        <v>314</v>
      </c>
      <c r="B22" s="77">
        <v>27</v>
      </c>
      <c r="C22" s="72">
        <f t="shared" si="3"/>
        <v>0</v>
      </c>
      <c r="D22" s="73">
        <f t="shared" si="0"/>
        <v>308555.8</v>
      </c>
      <c r="E22" s="593">
        <f t="shared" si="1"/>
        <v>308555.8</v>
      </c>
      <c r="G22" s="152" t="s">
        <v>314</v>
      </c>
      <c r="H22" s="588">
        <v>0</v>
      </c>
      <c r="I22" s="588">
        <v>0</v>
      </c>
      <c r="L22" s="152" t="s">
        <v>314</v>
      </c>
      <c r="M22" s="152">
        <v>27</v>
      </c>
      <c r="N22" s="76">
        <f t="shared" si="2"/>
        <v>308555.8</v>
      </c>
      <c r="O22" s="70">
        <v>27</v>
      </c>
      <c r="P22" s="70" t="s">
        <v>314</v>
      </c>
      <c r="R22" s="70">
        <v>308555.8</v>
      </c>
      <c r="T22" s="587">
        <v>2014</v>
      </c>
      <c r="U22" s="587">
        <v>210027</v>
      </c>
      <c r="V22" s="588">
        <v>0</v>
      </c>
      <c r="X22" s="587">
        <v>2014</v>
      </c>
      <c r="Y22" s="587">
        <v>210027</v>
      </c>
      <c r="Z22" s="588">
        <v>0</v>
      </c>
      <c r="AB22" s="590"/>
    </row>
    <row r="23" spans="1:28">
      <c r="A23" s="70" t="s">
        <v>315</v>
      </c>
      <c r="B23" s="77">
        <v>28</v>
      </c>
      <c r="C23" s="72">
        <f t="shared" si="3"/>
        <v>0</v>
      </c>
      <c r="D23" s="73">
        <f t="shared" si="0"/>
        <v>151897</v>
      </c>
      <c r="E23" s="593">
        <f t="shared" si="1"/>
        <v>151897</v>
      </c>
      <c r="G23" s="152" t="s">
        <v>315</v>
      </c>
      <c r="H23" s="588">
        <v>0</v>
      </c>
      <c r="I23" s="588">
        <v>0</v>
      </c>
      <c r="L23" s="152" t="s">
        <v>315</v>
      </c>
      <c r="M23" s="152">
        <v>28</v>
      </c>
      <c r="N23" s="76">
        <f t="shared" si="2"/>
        <v>151897</v>
      </c>
      <c r="O23" s="70">
        <v>28</v>
      </c>
      <c r="P23" s="70" t="s">
        <v>315</v>
      </c>
      <c r="R23" s="70">
        <v>151897</v>
      </c>
      <c r="T23" s="587">
        <v>2014</v>
      </c>
      <c r="U23" s="587">
        <v>210028</v>
      </c>
      <c r="V23" s="588">
        <v>0</v>
      </c>
      <c r="X23" s="587">
        <v>2014</v>
      </c>
      <c r="Y23" s="587">
        <v>210028</v>
      </c>
      <c r="Z23" s="588">
        <v>0</v>
      </c>
    </row>
    <row r="24" spans="1:28">
      <c r="A24" s="70" t="s">
        <v>316</v>
      </c>
      <c r="B24" s="77">
        <v>29</v>
      </c>
      <c r="C24" s="72">
        <f t="shared" si="3"/>
        <v>21979800</v>
      </c>
      <c r="D24" s="73">
        <f t="shared" si="0"/>
        <v>584860.1</v>
      </c>
      <c r="E24" s="593">
        <f t="shared" si="1"/>
        <v>22564660.100000001</v>
      </c>
      <c r="G24" s="152" t="s">
        <v>316</v>
      </c>
      <c r="H24" s="588">
        <v>20369.599999999999</v>
      </c>
      <c r="I24" s="588">
        <v>1610.2000000000003</v>
      </c>
      <c r="L24" s="152" t="s">
        <v>316</v>
      </c>
      <c r="M24" s="152">
        <v>29</v>
      </c>
      <c r="N24" s="76">
        <f t="shared" si="2"/>
        <v>584860.1</v>
      </c>
      <c r="O24" s="70">
        <v>29</v>
      </c>
      <c r="P24" s="70" t="s">
        <v>316</v>
      </c>
      <c r="R24" s="70">
        <v>584860.1</v>
      </c>
      <c r="T24" s="587">
        <v>2014</v>
      </c>
      <c r="U24" s="587">
        <v>210029</v>
      </c>
      <c r="V24" s="588">
        <v>20369.599999999999</v>
      </c>
      <c r="X24" s="587">
        <v>2014</v>
      </c>
      <c r="Y24" s="587">
        <v>210029</v>
      </c>
      <c r="Z24" s="588">
        <v>1610.2000000000003</v>
      </c>
    </row>
    <row r="25" spans="1:28">
      <c r="A25" s="70" t="s">
        <v>317</v>
      </c>
      <c r="B25" s="77">
        <v>30</v>
      </c>
      <c r="C25" s="72">
        <f t="shared" si="3"/>
        <v>0</v>
      </c>
      <c r="D25" s="73">
        <f t="shared" si="0"/>
        <v>65051.700000000004</v>
      </c>
      <c r="E25" s="593">
        <f t="shared" si="1"/>
        <v>65051.700000000004</v>
      </c>
      <c r="G25" s="152" t="s">
        <v>317</v>
      </c>
      <c r="H25" s="588">
        <v>0</v>
      </c>
      <c r="I25" s="588">
        <v>0</v>
      </c>
      <c r="L25" s="152" t="s">
        <v>317</v>
      </c>
      <c r="M25" s="152">
        <v>30</v>
      </c>
      <c r="N25" s="76">
        <f t="shared" si="2"/>
        <v>65051.700000000004</v>
      </c>
      <c r="O25" s="70">
        <v>30</v>
      </c>
      <c r="P25" s="70" t="s">
        <v>317</v>
      </c>
      <c r="R25" s="70">
        <v>65051.700000000004</v>
      </c>
      <c r="T25" s="587">
        <v>2014</v>
      </c>
      <c r="U25" s="587">
        <v>210030</v>
      </c>
      <c r="V25" s="588">
        <v>0</v>
      </c>
      <c r="X25" s="587">
        <v>2014</v>
      </c>
      <c r="Y25" s="587">
        <v>210030</v>
      </c>
      <c r="Z25" s="588">
        <v>0</v>
      </c>
    </row>
    <row r="26" spans="1:28">
      <c r="A26" s="70" t="s">
        <v>318</v>
      </c>
      <c r="B26" s="77">
        <v>32</v>
      </c>
      <c r="C26" s="72">
        <f t="shared" si="3"/>
        <v>0</v>
      </c>
      <c r="D26" s="73">
        <f t="shared" si="0"/>
        <v>148428.40000000002</v>
      </c>
      <c r="E26" s="593">
        <f t="shared" si="1"/>
        <v>148428.40000000002</v>
      </c>
      <c r="G26" s="152" t="s">
        <v>318</v>
      </c>
      <c r="H26" s="588">
        <v>0</v>
      </c>
      <c r="I26" s="588">
        <v>0</v>
      </c>
      <c r="L26" s="152" t="s">
        <v>318</v>
      </c>
      <c r="M26" s="152">
        <v>32</v>
      </c>
      <c r="N26" s="76">
        <f t="shared" si="2"/>
        <v>148428.40000000002</v>
      </c>
      <c r="O26" s="70">
        <v>32</v>
      </c>
      <c r="P26" s="70" t="s">
        <v>318</v>
      </c>
      <c r="R26" s="70">
        <v>148428.40000000002</v>
      </c>
      <c r="T26" s="587">
        <v>2014</v>
      </c>
      <c r="U26" s="587">
        <v>210032</v>
      </c>
      <c r="V26" s="588">
        <v>0</v>
      </c>
      <c r="X26" s="587">
        <v>2014</v>
      </c>
      <c r="Y26" s="587">
        <v>210032</v>
      </c>
      <c r="Z26" s="588">
        <v>0</v>
      </c>
    </row>
    <row r="27" spans="1:28">
      <c r="A27" s="70" t="s">
        <v>319</v>
      </c>
      <c r="B27" s="77">
        <v>33</v>
      </c>
      <c r="C27" s="72">
        <f t="shared" si="3"/>
        <v>0</v>
      </c>
      <c r="D27" s="73">
        <f t="shared" si="0"/>
        <v>243424.4</v>
      </c>
      <c r="E27" s="593">
        <f t="shared" si="1"/>
        <v>243424.4</v>
      </c>
      <c r="G27" s="152" t="s">
        <v>319</v>
      </c>
      <c r="H27" s="588">
        <v>0</v>
      </c>
      <c r="I27" s="588">
        <v>0</v>
      </c>
      <c r="L27" s="152" t="s">
        <v>319</v>
      </c>
      <c r="M27" s="152">
        <v>33</v>
      </c>
      <c r="N27" s="76">
        <f t="shared" si="2"/>
        <v>243424.4</v>
      </c>
      <c r="O27" s="70">
        <v>33</v>
      </c>
      <c r="P27" s="70" t="s">
        <v>319</v>
      </c>
      <c r="R27" s="70">
        <v>243424.4</v>
      </c>
      <c r="T27" s="587">
        <v>2014</v>
      </c>
      <c r="U27" s="587">
        <v>210033</v>
      </c>
      <c r="V27" s="588">
        <v>0</v>
      </c>
      <c r="X27" s="587">
        <v>2014</v>
      </c>
      <c r="Y27" s="587">
        <v>210033</v>
      </c>
      <c r="Z27" s="588">
        <v>0</v>
      </c>
    </row>
    <row r="28" spans="1:28">
      <c r="A28" s="70" t="s">
        <v>320</v>
      </c>
      <c r="B28" s="77">
        <v>34</v>
      </c>
      <c r="C28" s="72">
        <f t="shared" si="3"/>
        <v>4402330</v>
      </c>
      <c r="D28" s="73">
        <f t="shared" si="0"/>
        <v>209694.30000000005</v>
      </c>
      <c r="E28" s="593">
        <f t="shared" si="1"/>
        <v>4612024.3</v>
      </c>
      <c r="G28" s="152" t="s">
        <v>320</v>
      </c>
      <c r="H28" s="588">
        <v>4402.33</v>
      </c>
      <c r="I28" s="588">
        <v>0</v>
      </c>
      <c r="L28" s="152" t="s">
        <v>320</v>
      </c>
      <c r="M28" s="152">
        <v>34</v>
      </c>
      <c r="N28" s="76">
        <f t="shared" si="2"/>
        <v>209694.30000000005</v>
      </c>
      <c r="O28" s="70">
        <v>34</v>
      </c>
      <c r="P28" s="70" t="s">
        <v>320</v>
      </c>
      <c r="R28" s="70">
        <v>209694.30000000005</v>
      </c>
      <c r="T28" s="587">
        <v>2014</v>
      </c>
      <c r="U28" s="587">
        <v>210034</v>
      </c>
      <c r="V28" s="588">
        <v>4402.33</v>
      </c>
      <c r="X28" s="587">
        <v>2014</v>
      </c>
      <c r="Y28" s="587">
        <v>210034</v>
      </c>
      <c r="Z28" s="588">
        <v>0</v>
      </c>
    </row>
    <row r="29" spans="1:28">
      <c r="A29" s="70" t="s">
        <v>321</v>
      </c>
      <c r="B29" s="77">
        <v>35</v>
      </c>
      <c r="C29" s="72">
        <f t="shared" si="3"/>
        <v>0</v>
      </c>
      <c r="D29" s="73">
        <f t="shared" si="0"/>
        <v>126393.90000000001</v>
      </c>
      <c r="E29" s="593">
        <f t="shared" si="1"/>
        <v>126393.90000000001</v>
      </c>
      <c r="G29" s="152" t="s">
        <v>321</v>
      </c>
      <c r="H29" s="588">
        <v>0</v>
      </c>
      <c r="I29" s="588">
        <v>0</v>
      </c>
      <c r="L29" s="152" t="s">
        <v>321</v>
      </c>
      <c r="M29" s="152">
        <v>35</v>
      </c>
      <c r="N29" s="76">
        <f t="shared" si="2"/>
        <v>126393.90000000001</v>
      </c>
      <c r="O29" s="70">
        <v>35</v>
      </c>
      <c r="P29" s="70" t="s">
        <v>321</v>
      </c>
      <c r="R29" s="70">
        <v>126393.90000000001</v>
      </c>
      <c r="T29" s="587">
        <v>2014</v>
      </c>
      <c r="U29" s="587">
        <v>210035</v>
      </c>
      <c r="V29" s="588">
        <v>0</v>
      </c>
      <c r="X29" s="587">
        <v>2014</v>
      </c>
      <c r="Y29" s="587">
        <v>210035</v>
      </c>
      <c r="Z29" s="588">
        <v>0</v>
      </c>
    </row>
    <row r="30" spans="1:28">
      <c r="A30" s="70" t="s">
        <v>322</v>
      </c>
      <c r="B30" s="77">
        <v>37</v>
      </c>
      <c r="C30" s="72">
        <f t="shared" si="3"/>
        <v>0</v>
      </c>
      <c r="D30" s="73">
        <f t="shared" si="0"/>
        <v>184647.5</v>
      </c>
      <c r="E30" s="593">
        <f t="shared" si="1"/>
        <v>184647.5</v>
      </c>
      <c r="G30" s="152" t="s">
        <v>322</v>
      </c>
      <c r="H30" s="588">
        <v>0</v>
      </c>
      <c r="I30" s="588">
        <v>0</v>
      </c>
      <c r="L30" s="152" t="s">
        <v>322</v>
      </c>
      <c r="M30" s="152">
        <v>37</v>
      </c>
      <c r="N30" s="76">
        <f t="shared" si="2"/>
        <v>184647.5</v>
      </c>
      <c r="O30" s="70">
        <v>37</v>
      </c>
      <c r="P30" s="70" t="s">
        <v>322</v>
      </c>
      <c r="R30" s="70">
        <v>184647.5</v>
      </c>
      <c r="T30" s="587">
        <v>2014</v>
      </c>
      <c r="U30" s="587">
        <v>210037</v>
      </c>
      <c r="V30" s="588">
        <v>0</v>
      </c>
      <c r="X30" s="587">
        <v>2014</v>
      </c>
      <c r="Y30" s="587">
        <v>210037</v>
      </c>
      <c r="Z30" s="588">
        <v>0</v>
      </c>
    </row>
    <row r="31" spans="1:28">
      <c r="A31" s="70" t="s">
        <v>323</v>
      </c>
      <c r="B31" s="77">
        <v>38</v>
      </c>
      <c r="C31" s="72">
        <f t="shared" si="3"/>
        <v>4245769.9999999991</v>
      </c>
      <c r="D31" s="73">
        <f t="shared" si="0"/>
        <v>185438.39</v>
      </c>
      <c r="E31" s="593">
        <f t="shared" si="1"/>
        <v>4431208.3899999987</v>
      </c>
      <c r="G31" s="152" t="s">
        <v>323</v>
      </c>
      <c r="H31" s="588">
        <v>4245.7699999999995</v>
      </c>
      <c r="I31" s="588">
        <v>0</v>
      </c>
      <c r="L31" s="152" t="s">
        <v>323</v>
      </c>
      <c r="M31" s="152">
        <v>38</v>
      </c>
      <c r="N31" s="76">
        <f t="shared" si="2"/>
        <v>185438.39</v>
      </c>
      <c r="O31" s="70">
        <v>38</v>
      </c>
      <c r="P31" s="70" t="s">
        <v>323</v>
      </c>
      <c r="R31" s="70">
        <v>185438.39</v>
      </c>
      <c r="T31" s="587">
        <v>2014</v>
      </c>
      <c r="U31" s="587">
        <v>210038</v>
      </c>
      <c r="V31" s="588">
        <v>4245.7699999999995</v>
      </c>
      <c r="X31" s="587">
        <v>2014</v>
      </c>
      <c r="Y31" s="587">
        <v>210038</v>
      </c>
      <c r="Z31" s="588">
        <v>0</v>
      </c>
    </row>
    <row r="32" spans="1:28">
      <c r="A32" s="70" t="s">
        <v>324</v>
      </c>
      <c r="B32" s="77">
        <v>39</v>
      </c>
      <c r="C32" s="72">
        <f t="shared" si="3"/>
        <v>0</v>
      </c>
      <c r="D32" s="73">
        <f t="shared" si="0"/>
        <v>135740.5</v>
      </c>
      <c r="E32" s="593">
        <f t="shared" si="1"/>
        <v>135740.5</v>
      </c>
      <c r="G32" s="152" t="s">
        <v>324</v>
      </c>
      <c r="H32" s="588">
        <v>0</v>
      </c>
      <c r="I32" s="588">
        <v>0</v>
      </c>
      <c r="L32" s="152" t="s">
        <v>324</v>
      </c>
      <c r="M32" s="152">
        <v>39</v>
      </c>
      <c r="N32" s="76">
        <f t="shared" si="2"/>
        <v>135740.5</v>
      </c>
      <c r="O32" s="70">
        <v>39</v>
      </c>
      <c r="P32" s="70" t="s">
        <v>324</v>
      </c>
      <c r="R32" s="70">
        <v>135740.5</v>
      </c>
      <c r="T32" s="587">
        <v>2014</v>
      </c>
      <c r="U32" s="587">
        <v>210039</v>
      </c>
      <c r="V32" s="588">
        <v>0</v>
      </c>
      <c r="X32" s="587">
        <v>2014</v>
      </c>
      <c r="Y32" s="587">
        <v>210039</v>
      </c>
      <c r="Z32" s="588">
        <v>0</v>
      </c>
    </row>
    <row r="33" spans="1:26">
      <c r="A33" s="70" t="s">
        <v>325</v>
      </c>
      <c r="B33" s="77">
        <v>40</v>
      </c>
      <c r="C33" s="72">
        <f t="shared" si="3"/>
        <v>0</v>
      </c>
      <c r="D33" s="73">
        <f t="shared" si="0"/>
        <v>238730.10000000003</v>
      </c>
      <c r="E33" s="593">
        <f t="shared" si="1"/>
        <v>238730.10000000003</v>
      </c>
      <c r="G33" s="152" t="s">
        <v>325</v>
      </c>
      <c r="H33" s="588">
        <v>0</v>
      </c>
      <c r="I33" s="588">
        <v>0</v>
      </c>
      <c r="L33" s="152" t="s">
        <v>325</v>
      </c>
      <c r="M33" s="152">
        <v>40</v>
      </c>
      <c r="N33" s="76">
        <f t="shared" si="2"/>
        <v>238730.10000000003</v>
      </c>
      <c r="O33" s="70">
        <v>40</v>
      </c>
      <c r="P33" s="70" t="s">
        <v>325</v>
      </c>
      <c r="R33" s="70">
        <v>238730.10000000003</v>
      </c>
      <c r="T33" s="587">
        <v>2014</v>
      </c>
      <c r="U33" s="587">
        <v>210040</v>
      </c>
      <c r="V33" s="588">
        <v>0</v>
      </c>
      <c r="X33" s="587">
        <v>2014</v>
      </c>
      <c r="Y33" s="587">
        <v>210040</v>
      </c>
      <c r="Z33" s="588">
        <v>0</v>
      </c>
    </row>
    <row r="34" spans="1:26">
      <c r="A34" s="70" t="s">
        <v>326</v>
      </c>
      <c r="B34" s="77">
        <v>43</v>
      </c>
      <c r="C34" s="72">
        <f t="shared" si="3"/>
        <v>421820</v>
      </c>
      <c r="D34" s="73">
        <f t="shared" si="0"/>
        <v>381065.3</v>
      </c>
      <c r="E34" s="593">
        <f t="shared" si="1"/>
        <v>802885.3</v>
      </c>
      <c r="G34" s="152" t="s">
        <v>326</v>
      </c>
      <c r="H34" s="588">
        <v>421.82</v>
      </c>
      <c r="I34" s="588">
        <v>0</v>
      </c>
      <c r="L34" s="152" t="s">
        <v>326</v>
      </c>
      <c r="M34" s="152">
        <v>43</v>
      </c>
      <c r="N34" s="76">
        <f t="shared" si="2"/>
        <v>381065.3</v>
      </c>
      <c r="O34" s="70">
        <v>43</v>
      </c>
      <c r="P34" s="70" t="s">
        <v>326</v>
      </c>
      <c r="R34" s="70">
        <v>381065.3</v>
      </c>
      <c r="T34" s="587">
        <v>2014</v>
      </c>
      <c r="U34" s="587">
        <v>210043</v>
      </c>
      <c r="V34" s="588">
        <v>421.82</v>
      </c>
      <c r="X34" s="587">
        <v>2014</v>
      </c>
      <c r="Y34" s="587">
        <v>210043</v>
      </c>
      <c r="Z34" s="588">
        <v>0</v>
      </c>
    </row>
    <row r="35" spans="1:26">
      <c r="A35" s="70" t="s">
        <v>212</v>
      </c>
      <c r="B35" s="77">
        <v>44</v>
      </c>
      <c r="C35" s="72">
        <f t="shared" si="3"/>
        <v>5078600</v>
      </c>
      <c r="D35" s="73">
        <f t="shared" si="0"/>
        <v>426432.4</v>
      </c>
      <c r="E35" s="593">
        <f t="shared" si="1"/>
        <v>5505032.4000000004</v>
      </c>
      <c r="G35" s="152" t="s">
        <v>212</v>
      </c>
      <c r="H35" s="588">
        <v>5078.6000000000004</v>
      </c>
      <c r="I35" s="588">
        <v>0</v>
      </c>
      <c r="L35" s="152" t="s">
        <v>212</v>
      </c>
      <c r="M35" s="152">
        <v>44</v>
      </c>
      <c r="N35" s="76">
        <f t="shared" si="2"/>
        <v>426432.4</v>
      </c>
      <c r="O35" s="70">
        <v>44</v>
      </c>
      <c r="P35" s="70" t="s">
        <v>212</v>
      </c>
      <c r="R35" s="70">
        <v>426432.4</v>
      </c>
      <c r="T35" s="587">
        <v>2014</v>
      </c>
      <c r="U35" s="587">
        <v>210044</v>
      </c>
      <c r="V35" s="588">
        <v>5078.6000000000004</v>
      </c>
      <c r="X35" s="587">
        <v>2014</v>
      </c>
      <c r="Y35" s="587">
        <v>210044</v>
      </c>
      <c r="Z35" s="588">
        <v>0</v>
      </c>
    </row>
    <row r="36" spans="1:26">
      <c r="A36" s="70" t="s">
        <v>213</v>
      </c>
      <c r="B36" s="77">
        <v>45</v>
      </c>
      <c r="C36" s="72">
        <f t="shared" si="3"/>
        <v>0</v>
      </c>
      <c r="D36" s="73">
        <f t="shared" si="0"/>
        <v>17710.400000000001</v>
      </c>
      <c r="E36" s="593">
        <f t="shared" si="1"/>
        <v>17710.400000000001</v>
      </c>
      <c r="G36" s="152" t="s">
        <v>213</v>
      </c>
      <c r="H36" s="588">
        <v>0</v>
      </c>
      <c r="I36" s="588">
        <v>0</v>
      </c>
      <c r="L36" s="152" t="s">
        <v>213</v>
      </c>
      <c r="M36" s="152">
        <v>45</v>
      </c>
      <c r="N36" s="76">
        <f t="shared" si="2"/>
        <v>17710.400000000001</v>
      </c>
      <c r="O36" s="70">
        <v>45</v>
      </c>
      <c r="P36" s="70" t="s">
        <v>213</v>
      </c>
      <c r="R36" s="70">
        <v>17710.400000000001</v>
      </c>
      <c r="T36" s="587">
        <v>2014</v>
      </c>
      <c r="U36" s="587">
        <v>210045</v>
      </c>
      <c r="V36" s="588">
        <v>0</v>
      </c>
      <c r="X36" s="587">
        <v>2014</v>
      </c>
      <c r="Y36" s="587">
        <v>210045</v>
      </c>
      <c r="Z36" s="588">
        <v>0</v>
      </c>
    </row>
    <row r="37" spans="1:26">
      <c r="A37" s="70" t="s">
        <v>327</v>
      </c>
      <c r="B37" s="77">
        <v>48</v>
      </c>
      <c r="C37" s="72">
        <f t="shared" si="3"/>
        <v>0</v>
      </c>
      <c r="D37" s="73">
        <f t="shared" si="0"/>
        <v>275201.89999999997</v>
      </c>
      <c r="E37" s="593">
        <f t="shared" si="1"/>
        <v>275201.89999999997</v>
      </c>
      <c r="G37" s="152" t="s">
        <v>327</v>
      </c>
      <c r="H37" s="588">
        <v>0</v>
      </c>
      <c r="I37" s="588">
        <v>0</v>
      </c>
      <c r="L37" s="152" t="s">
        <v>327</v>
      </c>
      <c r="M37" s="152">
        <v>48</v>
      </c>
      <c r="N37" s="76">
        <f t="shared" si="2"/>
        <v>275201.89999999997</v>
      </c>
      <c r="O37" s="70">
        <v>48</v>
      </c>
      <c r="P37" s="70" t="s">
        <v>327</v>
      </c>
      <c r="R37" s="70">
        <v>275201.89999999997</v>
      </c>
      <c r="T37" s="587">
        <v>2014</v>
      </c>
      <c r="U37" s="587">
        <v>210048</v>
      </c>
      <c r="V37" s="588">
        <v>0</v>
      </c>
      <c r="X37" s="587">
        <v>2014</v>
      </c>
      <c r="Y37" s="587">
        <v>210048</v>
      </c>
      <c r="Z37" s="588">
        <v>0</v>
      </c>
    </row>
    <row r="38" spans="1:26">
      <c r="A38" s="70" t="s">
        <v>328</v>
      </c>
      <c r="B38" s="77">
        <v>49</v>
      </c>
      <c r="C38" s="72">
        <f t="shared" si="3"/>
        <v>0</v>
      </c>
      <c r="D38" s="73">
        <f t="shared" si="0"/>
        <v>283588</v>
      </c>
      <c r="E38" s="593">
        <f t="shared" si="1"/>
        <v>283588</v>
      </c>
      <c r="G38" s="152" t="s">
        <v>328</v>
      </c>
      <c r="H38" s="588">
        <v>0</v>
      </c>
      <c r="I38" s="588">
        <v>0</v>
      </c>
      <c r="L38" s="152" t="s">
        <v>328</v>
      </c>
      <c r="M38" s="152">
        <v>49</v>
      </c>
      <c r="N38" s="76">
        <f t="shared" si="2"/>
        <v>283588</v>
      </c>
      <c r="O38" s="70">
        <v>49</v>
      </c>
      <c r="P38" s="70" t="s">
        <v>328</v>
      </c>
      <c r="R38" s="70">
        <v>283588</v>
      </c>
      <c r="T38" s="587">
        <v>2014</v>
      </c>
      <c r="U38" s="587">
        <v>210049</v>
      </c>
      <c r="V38" s="588">
        <v>0</v>
      </c>
      <c r="X38" s="587">
        <v>2014</v>
      </c>
      <c r="Y38" s="587">
        <v>210049</v>
      </c>
      <c r="Z38" s="588">
        <v>0</v>
      </c>
    </row>
    <row r="39" spans="1:26">
      <c r="A39" s="83" t="s">
        <v>329</v>
      </c>
      <c r="B39" s="77">
        <v>51</v>
      </c>
      <c r="C39" s="72">
        <f t="shared" si="3"/>
        <v>0</v>
      </c>
      <c r="D39" s="73">
        <f t="shared" si="0"/>
        <v>214285.30000000002</v>
      </c>
      <c r="E39" s="593">
        <f t="shared" si="1"/>
        <v>214285.30000000002</v>
      </c>
      <c r="G39" s="152" t="s">
        <v>329</v>
      </c>
      <c r="H39" s="588">
        <v>0</v>
      </c>
      <c r="I39" s="588">
        <v>0</v>
      </c>
      <c r="L39" s="152" t="s">
        <v>329</v>
      </c>
      <c r="M39" s="152">
        <v>51</v>
      </c>
      <c r="N39" s="76">
        <f t="shared" si="2"/>
        <v>214285.30000000002</v>
      </c>
      <c r="O39" s="70">
        <v>51</v>
      </c>
      <c r="P39" s="70" t="s">
        <v>329</v>
      </c>
      <c r="R39" s="70">
        <v>214285.30000000002</v>
      </c>
      <c r="T39" s="587">
        <v>2014</v>
      </c>
      <c r="U39" s="587">
        <v>210051</v>
      </c>
      <c r="V39" s="588">
        <v>0</v>
      </c>
      <c r="X39" s="587">
        <v>2014</v>
      </c>
      <c r="Y39" s="587">
        <v>210051</v>
      </c>
      <c r="Z39" s="588">
        <v>0</v>
      </c>
    </row>
    <row r="40" spans="1:26">
      <c r="A40" s="70" t="s">
        <v>330</v>
      </c>
      <c r="B40" s="77">
        <v>55</v>
      </c>
      <c r="C40" s="72">
        <f t="shared" si="3"/>
        <v>0</v>
      </c>
      <c r="D40" s="73">
        <f t="shared" si="0"/>
        <v>118724.40000000002</v>
      </c>
      <c r="E40" s="593">
        <f t="shared" si="1"/>
        <v>118724.40000000002</v>
      </c>
      <c r="G40" s="152" t="s">
        <v>330</v>
      </c>
      <c r="H40" s="588">
        <v>0</v>
      </c>
      <c r="I40" s="588">
        <v>0</v>
      </c>
      <c r="L40" s="152" t="s">
        <v>330</v>
      </c>
      <c r="M40" s="152">
        <v>55</v>
      </c>
      <c r="N40" s="76">
        <f t="shared" si="2"/>
        <v>118724.40000000002</v>
      </c>
      <c r="O40" s="70">
        <v>55</v>
      </c>
      <c r="P40" s="70" t="s">
        <v>330</v>
      </c>
      <c r="R40" s="70">
        <v>118724.40000000002</v>
      </c>
      <c r="T40" s="587">
        <v>2014</v>
      </c>
      <c r="U40" s="587">
        <v>210055</v>
      </c>
      <c r="V40" s="588">
        <v>0</v>
      </c>
      <c r="X40" s="587">
        <v>2014</v>
      </c>
      <c r="Y40" s="587">
        <v>210055</v>
      </c>
      <c r="Z40" s="588">
        <v>0</v>
      </c>
    </row>
    <row r="41" spans="1:26">
      <c r="A41" s="70" t="s">
        <v>331</v>
      </c>
      <c r="B41" s="77">
        <v>60</v>
      </c>
      <c r="C41" s="72">
        <f>(H41+I41)*1000</f>
        <v>0</v>
      </c>
      <c r="D41" s="73">
        <f>N41</f>
        <v>46176.442000000003</v>
      </c>
      <c r="E41" s="593">
        <f>C41+D41</f>
        <v>46176.442000000003</v>
      </c>
      <c r="G41" s="152" t="s">
        <v>331</v>
      </c>
      <c r="H41" s="588">
        <v>0</v>
      </c>
      <c r="I41" s="588">
        <v>0</v>
      </c>
      <c r="L41" s="152" t="s">
        <v>331</v>
      </c>
      <c r="M41" s="152">
        <v>60</v>
      </c>
      <c r="N41" s="76">
        <f>R41</f>
        <v>46176.442000000003</v>
      </c>
      <c r="O41" s="70">
        <v>60</v>
      </c>
      <c r="P41" s="70" t="s">
        <v>331</v>
      </c>
      <c r="R41" s="70">
        <v>46176.442000000003</v>
      </c>
      <c r="T41" s="587">
        <v>2014</v>
      </c>
      <c r="U41" s="587">
        <v>210060</v>
      </c>
      <c r="V41" s="588">
        <v>0</v>
      </c>
      <c r="X41" s="587">
        <v>2014</v>
      </c>
      <c r="Y41" s="587">
        <v>210060</v>
      </c>
      <c r="Z41" s="588">
        <v>0</v>
      </c>
    </row>
    <row r="42" spans="1:26">
      <c r="A42" s="83" t="s">
        <v>214</v>
      </c>
      <c r="B42" s="77">
        <v>61</v>
      </c>
      <c r="C42" s="72">
        <f>(H42+I42)*1000</f>
        <v>0</v>
      </c>
      <c r="D42" s="73">
        <f>N42</f>
        <v>95474.2</v>
      </c>
      <c r="E42" s="593">
        <f>C42+D42</f>
        <v>95474.2</v>
      </c>
      <c r="G42" s="152" t="s">
        <v>214</v>
      </c>
      <c r="H42" s="588">
        <v>0</v>
      </c>
      <c r="I42" s="588">
        <v>0</v>
      </c>
      <c r="L42" s="152" t="s">
        <v>214</v>
      </c>
      <c r="M42" s="152">
        <v>61</v>
      </c>
      <c r="N42" s="76">
        <f>R42</f>
        <v>95474.2</v>
      </c>
      <c r="O42" s="70">
        <v>61</v>
      </c>
      <c r="P42" s="70" t="s">
        <v>214</v>
      </c>
      <c r="R42" s="70">
        <v>95474.2</v>
      </c>
      <c r="T42" s="587">
        <v>2014</v>
      </c>
      <c r="U42" s="587">
        <v>210061</v>
      </c>
      <c r="V42" s="588">
        <v>0</v>
      </c>
      <c r="X42" s="587">
        <v>2014</v>
      </c>
      <c r="Y42" s="587">
        <v>210061</v>
      </c>
      <c r="Z42" s="588">
        <v>0</v>
      </c>
    </row>
    <row r="43" spans="1:26">
      <c r="A43" s="83" t="s">
        <v>332</v>
      </c>
      <c r="B43" s="77">
        <v>62</v>
      </c>
      <c r="C43" s="72">
        <f t="shared" si="3"/>
        <v>0</v>
      </c>
      <c r="D43" s="73">
        <f t="shared" si="0"/>
        <v>249258.4</v>
      </c>
      <c r="E43" s="593">
        <f t="shared" si="1"/>
        <v>249258.4</v>
      </c>
      <c r="G43" s="152" t="s">
        <v>332</v>
      </c>
      <c r="H43" s="588">
        <v>0</v>
      </c>
      <c r="I43" s="588">
        <v>0</v>
      </c>
      <c r="L43" s="152" t="s">
        <v>332</v>
      </c>
      <c r="M43" s="152">
        <v>62</v>
      </c>
      <c r="N43" s="76">
        <f t="shared" si="2"/>
        <v>249258.4</v>
      </c>
      <c r="O43" s="70">
        <v>62</v>
      </c>
      <c r="P43" s="70" t="s">
        <v>332</v>
      </c>
      <c r="R43" s="70">
        <v>249258.4</v>
      </c>
      <c r="T43" s="587">
        <v>2014</v>
      </c>
      <c r="U43" s="587">
        <v>210062</v>
      </c>
      <c r="V43" s="588">
        <v>0</v>
      </c>
      <c r="X43" s="587">
        <v>2014</v>
      </c>
      <c r="Y43" s="587">
        <v>210062</v>
      </c>
      <c r="Z43" s="588">
        <v>0</v>
      </c>
    </row>
    <row r="44" spans="1:26">
      <c r="A44" s="70" t="s">
        <v>333</v>
      </c>
      <c r="B44" s="77">
        <v>63</v>
      </c>
      <c r="C44" s="72">
        <f t="shared" si="3"/>
        <v>0</v>
      </c>
      <c r="D44" s="73">
        <f t="shared" si="0"/>
        <v>354785.60000000003</v>
      </c>
      <c r="E44" s="593">
        <f t="shared" si="1"/>
        <v>354785.60000000003</v>
      </c>
      <c r="G44" s="152" t="s">
        <v>333</v>
      </c>
      <c r="H44" s="588">
        <v>0</v>
      </c>
      <c r="I44" s="588">
        <v>0</v>
      </c>
      <c r="L44" s="152" t="s">
        <v>333</v>
      </c>
      <c r="M44" s="152">
        <v>63</v>
      </c>
      <c r="N44" s="76">
        <f t="shared" si="2"/>
        <v>354785.60000000003</v>
      </c>
      <c r="O44" s="70">
        <v>63</v>
      </c>
      <c r="P44" s="70" t="s">
        <v>333</v>
      </c>
      <c r="R44" s="70">
        <v>354785.60000000003</v>
      </c>
      <c r="T44" s="587">
        <v>2014</v>
      </c>
      <c r="U44" s="587">
        <v>210063</v>
      </c>
      <c r="V44" s="588">
        <v>0</v>
      </c>
      <c r="X44" s="587">
        <v>2014</v>
      </c>
      <c r="Y44" s="587">
        <v>210063</v>
      </c>
      <c r="Z44" s="588">
        <v>0</v>
      </c>
    </row>
    <row r="45" spans="1:26">
      <c r="A45" s="70" t="s">
        <v>335</v>
      </c>
      <c r="B45" s="77">
        <v>2001</v>
      </c>
      <c r="C45" s="72">
        <f t="shared" si="3"/>
        <v>3801620.0000000005</v>
      </c>
      <c r="D45" s="73">
        <f t="shared" si="0"/>
        <v>117995.40000000001</v>
      </c>
      <c r="E45" s="593">
        <f t="shared" si="1"/>
        <v>3919615.4000000004</v>
      </c>
      <c r="G45" s="152" t="s">
        <v>335</v>
      </c>
      <c r="H45" s="588">
        <v>3801.6200000000003</v>
      </c>
      <c r="I45" s="588">
        <v>0</v>
      </c>
      <c r="L45" s="152" t="s">
        <v>335</v>
      </c>
      <c r="M45" s="152">
        <v>2001</v>
      </c>
      <c r="N45" s="76">
        <f t="shared" si="2"/>
        <v>117995.40000000001</v>
      </c>
      <c r="O45" s="70">
        <v>2001</v>
      </c>
      <c r="P45" s="70" t="s">
        <v>335</v>
      </c>
      <c r="R45" s="70">
        <v>117995.40000000001</v>
      </c>
      <c r="T45" s="587">
        <v>2014</v>
      </c>
      <c r="U45" s="587">
        <v>2001</v>
      </c>
      <c r="V45" s="588">
        <v>3801.6200000000003</v>
      </c>
      <c r="X45" s="587">
        <v>2014</v>
      </c>
      <c r="Y45" s="587">
        <v>2001</v>
      </c>
      <c r="Z45" s="588">
        <v>0</v>
      </c>
    </row>
    <row r="46" spans="1:26">
      <c r="A46" s="83" t="s">
        <v>336</v>
      </c>
      <c r="B46" s="77">
        <v>2004</v>
      </c>
      <c r="C46" s="72">
        <f t="shared" si="3"/>
        <v>4767169.9999999991</v>
      </c>
      <c r="D46" s="73">
        <f t="shared" si="0"/>
        <v>311855.40000000002</v>
      </c>
      <c r="E46" s="593">
        <f t="shared" si="1"/>
        <v>5079025.3999999994</v>
      </c>
      <c r="G46" s="152" t="s">
        <v>336</v>
      </c>
      <c r="H46" s="588">
        <v>4767.1699999999992</v>
      </c>
      <c r="I46" s="588">
        <v>0</v>
      </c>
      <c r="L46" s="152" t="s">
        <v>336</v>
      </c>
      <c r="M46" s="152">
        <v>2004</v>
      </c>
      <c r="N46" s="76">
        <f t="shared" si="2"/>
        <v>311855.40000000002</v>
      </c>
      <c r="O46" s="70">
        <v>2004</v>
      </c>
      <c r="P46" s="70" t="s">
        <v>336</v>
      </c>
      <c r="R46" s="70">
        <v>311855.40000000002</v>
      </c>
      <c r="T46" s="587">
        <v>2014</v>
      </c>
      <c r="U46" s="587">
        <v>2004</v>
      </c>
      <c r="V46" s="588">
        <v>4767.1699999999992</v>
      </c>
      <c r="X46" s="587">
        <v>2014</v>
      </c>
      <c r="Y46" s="587">
        <v>2004</v>
      </c>
      <c r="Z46" s="588">
        <v>0</v>
      </c>
    </row>
    <row r="47" spans="1:26">
      <c r="A47" s="70" t="s">
        <v>340</v>
      </c>
      <c r="B47" s="70">
        <v>5050</v>
      </c>
      <c r="C47" s="72">
        <f t="shared" si="3"/>
        <v>0</v>
      </c>
      <c r="D47" s="73">
        <f t="shared" si="0"/>
        <v>348706.2</v>
      </c>
      <c r="E47" s="593">
        <f t="shared" si="1"/>
        <v>348706.2</v>
      </c>
      <c r="G47" s="152" t="s">
        <v>340</v>
      </c>
      <c r="H47" s="588">
        <v>0</v>
      </c>
      <c r="I47" s="588">
        <v>0</v>
      </c>
      <c r="L47" s="152" t="s">
        <v>340</v>
      </c>
      <c r="M47" s="152">
        <v>5050</v>
      </c>
      <c r="N47" s="76">
        <f>R47</f>
        <v>348706.2</v>
      </c>
      <c r="O47" s="70">
        <v>5050</v>
      </c>
      <c r="P47" s="70" t="s">
        <v>340</v>
      </c>
      <c r="R47" s="70">
        <v>348706.2</v>
      </c>
      <c r="T47" s="587">
        <v>2014</v>
      </c>
      <c r="U47" s="587">
        <v>5050</v>
      </c>
      <c r="V47" s="588">
        <v>0</v>
      </c>
      <c r="X47" s="587">
        <v>2014</v>
      </c>
      <c r="Y47" s="587">
        <v>5050</v>
      </c>
      <c r="Z47" s="588">
        <v>0</v>
      </c>
    </row>
    <row r="48" spans="1:26">
      <c r="A48" s="70" t="s">
        <v>334</v>
      </c>
      <c r="B48" s="77">
        <v>64</v>
      </c>
      <c r="C48" s="72">
        <f t="shared" si="3"/>
        <v>0</v>
      </c>
      <c r="D48" s="73">
        <f t="shared" si="0"/>
        <v>52498.9</v>
      </c>
      <c r="E48" s="593">
        <f t="shared" si="1"/>
        <v>52498.9</v>
      </c>
      <c r="G48" s="152" t="s">
        <v>334</v>
      </c>
      <c r="H48" s="588">
        <v>0</v>
      </c>
      <c r="I48" s="588">
        <v>0</v>
      </c>
      <c r="L48" s="152" t="s">
        <v>334</v>
      </c>
      <c r="M48" s="152">
        <v>64</v>
      </c>
      <c r="N48" s="76">
        <f>R48</f>
        <v>52498.9</v>
      </c>
      <c r="O48" s="70">
        <v>64</v>
      </c>
      <c r="P48" s="70" t="s">
        <v>334</v>
      </c>
      <c r="R48" s="70">
        <v>52498.9</v>
      </c>
      <c r="T48" s="587">
        <v>2014</v>
      </c>
      <c r="U48" s="587">
        <v>64</v>
      </c>
      <c r="V48" s="588">
        <v>0</v>
      </c>
      <c r="X48" s="587">
        <v>2014</v>
      </c>
      <c r="Y48" s="587">
        <v>64</v>
      </c>
      <c r="Z48" s="588">
        <v>0</v>
      </c>
    </row>
    <row r="49" spans="1:28">
      <c r="A49" s="83" t="s">
        <v>337</v>
      </c>
      <c r="B49" s="77">
        <v>3029</v>
      </c>
      <c r="C49" s="72">
        <f t="shared" si="3"/>
        <v>0</v>
      </c>
      <c r="D49" s="73">
        <f t="shared" si="0"/>
        <v>51233.4</v>
      </c>
      <c r="E49" s="593">
        <f t="shared" si="1"/>
        <v>51233.4</v>
      </c>
      <c r="G49" s="152" t="s">
        <v>337</v>
      </c>
      <c r="H49" s="588">
        <v>0</v>
      </c>
      <c r="I49" s="588">
        <v>0</v>
      </c>
      <c r="L49" s="152" t="s">
        <v>337</v>
      </c>
      <c r="M49" s="152">
        <v>3029</v>
      </c>
      <c r="N49" s="76">
        <f t="shared" si="2"/>
        <v>51233.4</v>
      </c>
      <c r="O49" s="70">
        <v>3029</v>
      </c>
      <c r="P49" s="70" t="s">
        <v>337</v>
      </c>
      <c r="R49" s="70">
        <v>51233.4</v>
      </c>
      <c r="T49" s="587">
        <v>2014</v>
      </c>
      <c r="U49" s="587">
        <v>3029</v>
      </c>
      <c r="V49" s="588">
        <v>0</v>
      </c>
      <c r="X49" s="587">
        <v>2014</v>
      </c>
      <c r="Y49" s="587">
        <v>3029</v>
      </c>
      <c r="Z49" s="588">
        <v>0</v>
      </c>
    </row>
    <row r="50" spans="1:28">
      <c r="A50" s="83" t="s">
        <v>338</v>
      </c>
      <c r="B50" s="77">
        <v>3478</v>
      </c>
      <c r="C50" s="72">
        <f t="shared" si="3"/>
        <v>0</v>
      </c>
      <c r="D50" s="73">
        <f t="shared" si="0"/>
        <v>0</v>
      </c>
      <c r="E50" s="593">
        <f t="shared" si="1"/>
        <v>0</v>
      </c>
      <c r="G50" s="153" t="s">
        <v>338</v>
      </c>
      <c r="H50" s="588">
        <v>0</v>
      </c>
      <c r="I50" s="588">
        <v>0</v>
      </c>
      <c r="L50" s="153" t="s">
        <v>338</v>
      </c>
      <c r="M50" s="152">
        <v>3478</v>
      </c>
      <c r="N50" s="76">
        <f t="shared" si="2"/>
        <v>0</v>
      </c>
      <c r="O50" s="70">
        <v>3478</v>
      </c>
      <c r="R50" s="591">
        <v>0</v>
      </c>
      <c r="T50" s="587">
        <v>2014</v>
      </c>
      <c r="U50" s="587">
        <v>3478</v>
      </c>
      <c r="V50" s="588">
        <v>0</v>
      </c>
      <c r="X50" s="587">
        <v>2014</v>
      </c>
      <c r="Y50" s="587">
        <v>3478</v>
      </c>
      <c r="Z50" s="588">
        <v>0</v>
      </c>
    </row>
    <row r="51" spans="1:28">
      <c r="A51" s="70" t="s">
        <v>258</v>
      </c>
      <c r="B51" s="77">
        <v>4000</v>
      </c>
      <c r="C51" s="72">
        <f t="shared" si="3"/>
        <v>2436050</v>
      </c>
      <c r="D51" s="73">
        <f t="shared" si="0"/>
        <v>140136.1</v>
      </c>
      <c r="E51" s="593">
        <f t="shared" si="1"/>
        <v>2576186.1</v>
      </c>
      <c r="G51" s="152" t="s">
        <v>258</v>
      </c>
      <c r="H51" s="588">
        <v>2175.5500000000002</v>
      </c>
      <c r="I51" s="588">
        <v>260.5</v>
      </c>
      <c r="L51" s="152" t="s">
        <v>258</v>
      </c>
      <c r="M51" s="152">
        <v>4000</v>
      </c>
      <c r="N51" s="76">
        <f t="shared" si="2"/>
        <v>140136.1</v>
      </c>
      <c r="O51" s="70">
        <v>4000</v>
      </c>
      <c r="P51" s="70" t="s">
        <v>258</v>
      </c>
      <c r="R51" s="70">
        <v>140136.1</v>
      </c>
      <c r="T51" s="587">
        <v>2014</v>
      </c>
      <c r="U51" s="587">
        <v>4000</v>
      </c>
      <c r="V51" s="588">
        <v>2175.5500000000002</v>
      </c>
      <c r="X51" s="587">
        <v>2014</v>
      </c>
      <c r="Y51" s="587">
        <v>4000</v>
      </c>
      <c r="Z51" s="588">
        <v>260.5</v>
      </c>
    </row>
    <row r="52" spans="1:28">
      <c r="A52" s="70" t="s">
        <v>297</v>
      </c>
      <c r="B52" s="77">
        <v>4013</v>
      </c>
      <c r="C52" s="72">
        <f t="shared" si="3"/>
        <v>80000</v>
      </c>
      <c r="D52" s="73">
        <f t="shared" si="0"/>
        <v>0</v>
      </c>
      <c r="E52" s="593">
        <f t="shared" si="1"/>
        <v>80000</v>
      </c>
      <c r="G52" s="152" t="s">
        <v>297</v>
      </c>
      <c r="H52" s="588">
        <v>80</v>
      </c>
      <c r="I52" s="588">
        <v>0</v>
      </c>
      <c r="L52" s="152" t="s">
        <v>297</v>
      </c>
      <c r="M52" s="152">
        <v>4013</v>
      </c>
      <c r="N52" s="76">
        <f t="shared" si="2"/>
        <v>0</v>
      </c>
      <c r="O52" s="70">
        <v>4013</v>
      </c>
      <c r="R52" s="591">
        <v>0</v>
      </c>
      <c r="T52" s="587">
        <v>2014</v>
      </c>
      <c r="U52" s="587">
        <v>4013</v>
      </c>
      <c r="V52" s="588">
        <v>80</v>
      </c>
      <c r="X52" s="587">
        <v>2014</v>
      </c>
      <c r="Y52" s="587">
        <v>4013</v>
      </c>
      <c r="Z52" s="588">
        <v>0</v>
      </c>
    </row>
    <row r="53" spans="1:28">
      <c r="A53" s="70" t="s">
        <v>339</v>
      </c>
      <c r="B53" s="70">
        <v>5034</v>
      </c>
      <c r="C53" s="72">
        <f t="shared" si="3"/>
        <v>0</v>
      </c>
      <c r="D53" s="73">
        <f t="shared" si="0"/>
        <v>49446.700000000004</v>
      </c>
      <c r="E53" s="593">
        <f t="shared" si="1"/>
        <v>49446.700000000004</v>
      </c>
      <c r="G53" s="152" t="s">
        <v>339</v>
      </c>
      <c r="H53" s="588">
        <v>0</v>
      </c>
      <c r="I53" s="589">
        <v>0</v>
      </c>
      <c r="L53" s="152" t="s">
        <v>339</v>
      </c>
      <c r="M53" s="152">
        <v>5034</v>
      </c>
      <c r="N53" s="76">
        <f t="shared" si="2"/>
        <v>49446.700000000004</v>
      </c>
      <c r="O53" s="70">
        <v>5034</v>
      </c>
      <c r="P53" s="70" t="s">
        <v>339</v>
      </c>
      <c r="R53" s="70">
        <v>49446.700000000004</v>
      </c>
      <c r="T53" s="587">
        <v>2014</v>
      </c>
      <c r="U53" s="587">
        <v>5034</v>
      </c>
      <c r="V53" s="588">
        <v>0</v>
      </c>
      <c r="X53" s="587">
        <v>2014</v>
      </c>
      <c r="Y53" s="587">
        <v>5034</v>
      </c>
      <c r="Z53" s="589">
        <v>0</v>
      </c>
    </row>
    <row r="54" spans="1:28">
      <c r="C54" s="78">
        <f>SUM(C3:C53)</f>
        <v>294407060</v>
      </c>
      <c r="D54" s="78">
        <f>SUM(D2:D53)</f>
        <v>15140921.232000003</v>
      </c>
      <c r="E54" s="594">
        <f>SUM(E2:E53)</f>
        <v>309547981.23199975</v>
      </c>
      <c r="H54" s="78">
        <f>SUM(H2:H53)</f>
        <v>258113.01</v>
      </c>
      <c r="I54" s="78">
        <f>SUM(I2:I53)</f>
        <v>36294.049999999996</v>
      </c>
      <c r="L54" s="74" t="s">
        <v>215</v>
      </c>
      <c r="M54" s="75"/>
      <c r="N54" s="76">
        <f>SUM(N2:N53)</f>
        <v>15140921.232000003</v>
      </c>
      <c r="P54" s="586" t="s">
        <v>215</v>
      </c>
      <c r="R54" s="70">
        <f>SUM(R2:R53)</f>
        <v>15140921.232000003</v>
      </c>
      <c r="V54" s="590">
        <f>SUM(V2:V53)</f>
        <v>258113.01</v>
      </c>
      <c r="Z54" s="590">
        <f>SUM(Z2:Z53)</f>
        <v>36294.049999999996</v>
      </c>
      <c r="AA54" s="590">
        <f>V54+Z54</f>
        <v>294407.06</v>
      </c>
      <c r="AB54" s="592">
        <f>AA54*1000</f>
        <v>294407060</v>
      </c>
    </row>
    <row r="57" spans="1:28">
      <c r="N57" s="85"/>
    </row>
  </sheetData>
  <sortState ref="A41:AB42">
    <sortCondition ref="B41:B42"/>
  </sortState>
  <pageMargins left="0.7" right="0.7" top="0.75" bottom="0.75" header="0.3" footer="0.3"/>
  <pageSetup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O127"/>
  <sheetViews>
    <sheetView view="pageBreakPreview" topLeftCell="A10" zoomScaleNormal="100" zoomScaleSheetLayoutView="100" workbookViewId="0">
      <selection activeCell="C100" sqref="C100"/>
    </sheetView>
  </sheetViews>
  <sheetFormatPr defaultRowHeight="12.75"/>
  <cols>
    <col min="1" max="1" width="6.28515625" style="483" customWidth="1"/>
    <col min="2" max="2" width="4.42578125" style="483" customWidth="1"/>
    <col min="3" max="3" width="56.140625" style="483" bestFit="1" customWidth="1"/>
    <col min="4" max="4" width="16.5703125" style="483" hidden="1" customWidth="1"/>
    <col min="5" max="5" width="10" style="483" customWidth="1"/>
    <col min="6" max="6" width="11.42578125" style="483" customWidth="1"/>
    <col min="7" max="7" width="28.140625" style="483" customWidth="1"/>
    <col min="8" max="8" width="19.28515625" style="483" bestFit="1" customWidth="1"/>
    <col min="9" max="9" width="16" style="483" bestFit="1" customWidth="1"/>
    <col min="10" max="10" width="16.42578125" style="483" bestFit="1" customWidth="1"/>
    <col min="11" max="11" width="16.7109375" style="483" bestFit="1" customWidth="1"/>
    <col min="12" max="12" width="16.5703125" style="483" bestFit="1" customWidth="1"/>
    <col min="13" max="13" width="15.7109375" style="483" bestFit="1" customWidth="1"/>
    <col min="14" max="14" width="14.85546875" style="483" bestFit="1" customWidth="1"/>
    <col min="15" max="15" width="16" style="483" bestFit="1" customWidth="1"/>
    <col min="16" max="16" width="14.85546875" style="483" bestFit="1" customWidth="1"/>
    <col min="17" max="17" width="16" style="483" bestFit="1" customWidth="1"/>
    <col min="18" max="18" width="12.7109375" style="483" bestFit="1" customWidth="1"/>
    <col min="19" max="19" width="14.85546875" style="483" bestFit="1" customWidth="1"/>
    <col min="20" max="257" width="9.140625" style="483"/>
    <col min="258" max="258" width="6.28515625" style="483" customWidth="1"/>
    <col min="259" max="259" width="4.42578125" style="483" customWidth="1"/>
    <col min="260" max="260" width="38.42578125" style="483" customWidth="1"/>
    <col min="261" max="262" width="0" style="483" hidden="1" customWidth="1"/>
    <col min="263" max="263" width="28.140625" style="483" customWidth="1"/>
    <col min="264" max="264" width="19.28515625" style="483" bestFit="1" customWidth="1"/>
    <col min="265" max="265" width="18" style="483" bestFit="1" customWidth="1"/>
    <col min="266" max="266" width="16.28515625" style="483" bestFit="1" customWidth="1"/>
    <col min="267" max="267" width="16.5703125" style="483" bestFit="1" customWidth="1"/>
    <col min="268" max="268" width="16.42578125" style="483" bestFit="1" customWidth="1"/>
    <col min="269" max="269" width="15.5703125" style="483" bestFit="1" customWidth="1"/>
    <col min="270" max="270" width="14.85546875" style="483" bestFit="1" customWidth="1"/>
    <col min="271" max="271" width="16" style="483" bestFit="1" customWidth="1"/>
    <col min="272" max="272" width="14.85546875" style="483" bestFit="1" customWidth="1"/>
    <col min="273" max="273" width="16" style="483" bestFit="1" customWidth="1"/>
    <col min="274" max="274" width="12.7109375" style="483" bestFit="1" customWidth="1"/>
    <col min="275" max="275" width="14.85546875" style="483" bestFit="1" customWidth="1"/>
    <col min="276" max="513" width="9.140625" style="483"/>
    <col min="514" max="514" width="6.28515625" style="483" customWidth="1"/>
    <col min="515" max="515" width="4.42578125" style="483" customWidth="1"/>
    <col min="516" max="516" width="38.42578125" style="483" customWidth="1"/>
    <col min="517" max="518" width="0" style="483" hidden="1" customWidth="1"/>
    <col min="519" max="519" width="28.140625" style="483" customWidth="1"/>
    <col min="520" max="520" width="19.28515625" style="483" bestFit="1" customWidth="1"/>
    <col min="521" max="521" width="18" style="483" bestFit="1" customWidth="1"/>
    <col min="522" max="522" width="16.28515625" style="483" bestFit="1" customWidth="1"/>
    <col min="523" max="523" width="16.5703125" style="483" bestFit="1" customWidth="1"/>
    <col min="524" max="524" width="16.42578125" style="483" bestFit="1" customWidth="1"/>
    <col min="525" max="525" width="15.5703125" style="483" bestFit="1" customWidth="1"/>
    <col min="526" max="526" width="14.85546875" style="483" bestFit="1" customWidth="1"/>
    <col min="527" max="527" width="16" style="483" bestFit="1" customWidth="1"/>
    <col min="528" max="528" width="14.85546875" style="483" bestFit="1" customWidth="1"/>
    <col min="529" max="529" width="16" style="483" bestFit="1" customWidth="1"/>
    <col min="530" max="530" width="12.7109375" style="483" bestFit="1" customWidth="1"/>
    <col min="531" max="531" width="14.85546875" style="483" bestFit="1" customWidth="1"/>
    <col min="532" max="769" width="9.140625" style="483"/>
    <col min="770" max="770" width="6.28515625" style="483" customWidth="1"/>
    <col min="771" max="771" width="4.42578125" style="483" customWidth="1"/>
    <col min="772" max="772" width="38.42578125" style="483" customWidth="1"/>
    <col min="773" max="774" width="0" style="483" hidden="1" customWidth="1"/>
    <col min="775" max="775" width="28.140625" style="483" customWidth="1"/>
    <col min="776" max="776" width="19.28515625" style="483" bestFit="1" customWidth="1"/>
    <col min="777" max="777" width="18" style="483" bestFit="1" customWidth="1"/>
    <col min="778" max="778" width="16.28515625" style="483" bestFit="1" customWidth="1"/>
    <col min="779" max="779" width="16.5703125" style="483" bestFit="1" customWidth="1"/>
    <col min="780" max="780" width="16.42578125" style="483" bestFit="1" customWidth="1"/>
    <col min="781" max="781" width="15.5703125" style="483" bestFit="1" customWidth="1"/>
    <col min="782" max="782" width="14.85546875" style="483" bestFit="1" customWidth="1"/>
    <col min="783" max="783" width="16" style="483" bestFit="1" customWidth="1"/>
    <col min="784" max="784" width="14.85546875" style="483" bestFit="1" customWidth="1"/>
    <col min="785" max="785" width="16" style="483" bestFit="1" customWidth="1"/>
    <col min="786" max="786" width="12.7109375" style="483" bestFit="1" customWidth="1"/>
    <col min="787" max="787" width="14.85546875" style="483" bestFit="1" customWidth="1"/>
    <col min="788" max="1025" width="9.140625" style="483"/>
    <col min="1026" max="1026" width="6.28515625" style="483" customWidth="1"/>
    <col min="1027" max="1027" width="4.42578125" style="483" customWidth="1"/>
    <col min="1028" max="1028" width="38.42578125" style="483" customWidth="1"/>
    <col min="1029" max="1030" width="0" style="483" hidden="1" customWidth="1"/>
    <col min="1031" max="1031" width="28.140625" style="483" customWidth="1"/>
    <col min="1032" max="1032" width="19.28515625" style="483" bestFit="1" customWidth="1"/>
    <col min="1033" max="1033" width="18" style="483" bestFit="1" customWidth="1"/>
    <col min="1034" max="1034" width="16.28515625" style="483" bestFit="1" customWidth="1"/>
    <col min="1035" max="1035" width="16.5703125" style="483" bestFit="1" customWidth="1"/>
    <col min="1036" max="1036" width="16.42578125" style="483" bestFit="1" customWidth="1"/>
    <col min="1037" max="1037" width="15.5703125" style="483" bestFit="1" customWidth="1"/>
    <col min="1038" max="1038" width="14.85546875" style="483" bestFit="1" customWidth="1"/>
    <col min="1039" max="1039" width="16" style="483" bestFit="1" customWidth="1"/>
    <col min="1040" max="1040" width="14.85546875" style="483" bestFit="1" customWidth="1"/>
    <col min="1041" max="1041" width="16" style="483" bestFit="1" customWidth="1"/>
    <col min="1042" max="1042" width="12.7109375" style="483" bestFit="1" customWidth="1"/>
    <col min="1043" max="1043" width="14.85546875" style="483" bestFit="1" customWidth="1"/>
    <col min="1044" max="1281" width="9.140625" style="483"/>
    <col min="1282" max="1282" width="6.28515625" style="483" customWidth="1"/>
    <col min="1283" max="1283" width="4.42578125" style="483" customWidth="1"/>
    <col min="1284" max="1284" width="38.42578125" style="483" customWidth="1"/>
    <col min="1285" max="1286" width="0" style="483" hidden="1" customWidth="1"/>
    <col min="1287" max="1287" width="28.140625" style="483" customWidth="1"/>
    <col min="1288" max="1288" width="19.28515625" style="483" bestFit="1" customWidth="1"/>
    <col min="1289" max="1289" width="18" style="483" bestFit="1" customWidth="1"/>
    <col min="1290" max="1290" width="16.28515625" style="483" bestFit="1" customWidth="1"/>
    <col min="1291" max="1291" width="16.5703125" style="483" bestFit="1" customWidth="1"/>
    <col min="1292" max="1292" width="16.42578125" style="483" bestFit="1" customWidth="1"/>
    <col min="1293" max="1293" width="15.5703125" style="483" bestFit="1" customWidth="1"/>
    <col min="1294" max="1294" width="14.85546875" style="483" bestFit="1" customWidth="1"/>
    <col min="1295" max="1295" width="16" style="483" bestFit="1" customWidth="1"/>
    <col min="1296" max="1296" width="14.85546875" style="483" bestFit="1" customWidth="1"/>
    <col min="1297" max="1297" width="16" style="483" bestFit="1" customWidth="1"/>
    <col min="1298" max="1298" width="12.7109375" style="483" bestFit="1" customWidth="1"/>
    <col min="1299" max="1299" width="14.85546875" style="483" bestFit="1" customWidth="1"/>
    <col min="1300" max="1537" width="9.140625" style="483"/>
    <col min="1538" max="1538" width="6.28515625" style="483" customWidth="1"/>
    <col min="1539" max="1539" width="4.42578125" style="483" customWidth="1"/>
    <col min="1540" max="1540" width="38.42578125" style="483" customWidth="1"/>
    <col min="1541" max="1542" width="0" style="483" hidden="1" customWidth="1"/>
    <col min="1543" max="1543" width="28.140625" style="483" customWidth="1"/>
    <col min="1544" max="1544" width="19.28515625" style="483" bestFit="1" customWidth="1"/>
    <col min="1545" max="1545" width="18" style="483" bestFit="1" customWidth="1"/>
    <col min="1546" max="1546" width="16.28515625" style="483" bestFit="1" customWidth="1"/>
    <col min="1547" max="1547" width="16.5703125" style="483" bestFit="1" customWidth="1"/>
    <col min="1548" max="1548" width="16.42578125" style="483" bestFit="1" customWidth="1"/>
    <col min="1549" max="1549" width="15.5703125" style="483" bestFit="1" customWidth="1"/>
    <col min="1550" max="1550" width="14.85546875" style="483" bestFit="1" customWidth="1"/>
    <col min="1551" max="1551" width="16" style="483" bestFit="1" customWidth="1"/>
    <col min="1552" max="1552" width="14.85546875" style="483" bestFit="1" customWidth="1"/>
    <col min="1553" max="1553" width="16" style="483" bestFit="1" customWidth="1"/>
    <col min="1554" max="1554" width="12.7109375" style="483" bestFit="1" customWidth="1"/>
    <col min="1555" max="1555" width="14.85546875" style="483" bestFit="1" customWidth="1"/>
    <col min="1556" max="1793" width="9.140625" style="483"/>
    <col min="1794" max="1794" width="6.28515625" style="483" customWidth="1"/>
    <col min="1795" max="1795" width="4.42578125" style="483" customWidth="1"/>
    <col min="1796" max="1796" width="38.42578125" style="483" customWidth="1"/>
    <col min="1797" max="1798" width="0" style="483" hidden="1" customWidth="1"/>
    <col min="1799" max="1799" width="28.140625" style="483" customWidth="1"/>
    <col min="1800" max="1800" width="19.28515625" style="483" bestFit="1" customWidth="1"/>
    <col min="1801" max="1801" width="18" style="483" bestFit="1" customWidth="1"/>
    <col min="1802" max="1802" width="16.28515625" style="483" bestFit="1" customWidth="1"/>
    <col min="1803" max="1803" width="16.5703125" style="483" bestFit="1" customWidth="1"/>
    <col min="1804" max="1804" width="16.42578125" style="483" bestFit="1" customWidth="1"/>
    <col min="1805" max="1805" width="15.5703125" style="483" bestFit="1" customWidth="1"/>
    <col min="1806" max="1806" width="14.85546875" style="483" bestFit="1" customWidth="1"/>
    <col min="1807" max="1807" width="16" style="483" bestFit="1" customWidth="1"/>
    <col min="1808" max="1808" width="14.85546875" style="483" bestFit="1" customWidth="1"/>
    <col min="1809" max="1809" width="16" style="483" bestFit="1" customWidth="1"/>
    <col min="1810" max="1810" width="12.7109375" style="483" bestFit="1" customWidth="1"/>
    <col min="1811" max="1811" width="14.85546875" style="483" bestFit="1" customWidth="1"/>
    <col min="1812" max="2049" width="9.140625" style="483"/>
    <col min="2050" max="2050" width="6.28515625" style="483" customWidth="1"/>
    <col min="2051" max="2051" width="4.42578125" style="483" customWidth="1"/>
    <col min="2052" max="2052" width="38.42578125" style="483" customWidth="1"/>
    <col min="2053" max="2054" width="0" style="483" hidden="1" customWidth="1"/>
    <col min="2055" max="2055" width="28.140625" style="483" customWidth="1"/>
    <col min="2056" max="2056" width="19.28515625" style="483" bestFit="1" customWidth="1"/>
    <col min="2057" max="2057" width="18" style="483" bestFit="1" customWidth="1"/>
    <col min="2058" max="2058" width="16.28515625" style="483" bestFit="1" customWidth="1"/>
    <col min="2059" max="2059" width="16.5703125" style="483" bestFit="1" customWidth="1"/>
    <col min="2060" max="2060" width="16.42578125" style="483" bestFit="1" customWidth="1"/>
    <col min="2061" max="2061" width="15.5703125" style="483" bestFit="1" customWidth="1"/>
    <col min="2062" max="2062" width="14.85546875" style="483" bestFit="1" customWidth="1"/>
    <col min="2063" max="2063" width="16" style="483" bestFit="1" customWidth="1"/>
    <col min="2064" max="2064" width="14.85546875" style="483" bestFit="1" customWidth="1"/>
    <col min="2065" max="2065" width="16" style="483" bestFit="1" customWidth="1"/>
    <col min="2066" max="2066" width="12.7109375" style="483" bestFit="1" customWidth="1"/>
    <col min="2067" max="2067" width="14.85546875" style="483" bestFit="1" customWidth="1"/>
    <col min="2068" max="2305" width="9.140625" style="483"/>
    <col min="2306" max="2306" width="6.28515625" style="483" customWidth="1"/>
    <col min="2307" max="2307" width="4.42578125" style="483" customWidth="1"/>
    <col min="2308" max="2308" width="38.42578125" style="483" customWidth="1"/>
    <col min="2309" max="2310" width="0" style="483" hidden="1" customWidth="1"/>
    <col min="2311" max="2311" width="28.140625" style="483" customWidth="1"/>
    <col min="2312" max="2312" width="19.28515625" style="483" bestFit="1" customWidth="1"/>
    <col min="2313" max="2313" width="18" style="483" bestFit="1" customWidth="1"/>
    <col min="2314" max="2314" width="16.28515625" style="483" bestFit="1" customWidth="1"/>
    <col min="2315" max="2315" width="16.5703125" style="483" bestFit="1" customWidth="1"/>
    <col min="2316" max="2316" width="16.42578125" style="483" bestFit="1" customWidth="1"/>
    <col min="2317" max="2317" width="15.5703125" style="483" bestFit="1" customWidth="1"/>
    <col min="2318" max="2318" width="14.85546875" style="483" bestFit="1" customWidth="1"/>
    <col min="2319" max="2319" width="16" style="483" bestFit="1" customWidth="1"/>
    <col min="2320" max="2320" width="14.85546875" style="483" bestFit="1" customWidth="1"/>
    <col min="2321" max="2321" width="16" style="483" bestFit="1" customWidth="1"/>
    <col min="2322" max="2322" width="12.7109375" style="483" bestFit="1" customWidth="1"/>
    <col min="2323" max="2323" width="14.85546875" style="483" bestFit="1" customWidth="1"/>
    <col min="2324" max="2561" width="9.140625" style="483"/>
    <col min="2562" max="2562" width="6.28515625" style="483" customWidth="1"/>
    <col min="2563" max="2563" width="4.42578125" style="483" customWidth="1"/>
    <col min="2564" max="2564" width="38.42578125" style="483" customWidth="1"/>
    <col min="2565" max="2566" width="0" style="483" hidden="1" customWidth="1"/>
    <col min="2567" max="2567" width="28.140625" style="483" customWidth="1"/>
    <col min="2568" max="2568" width="19.28515625" style="483" bestFit="1" customWidth="1"/>
    <col min="2569" max="2569" width="18" style="483" bestFit="1" customWidth="1"/>
    <col min="2570" max="2570" width="16.28515625" style="483" bestFit="1" customWidth="1"/>
    <col min="2571" max="2571" width="16.5703125" style="483" bestFit="1" customWidth="1"/>
    <col min="2572" max="2572" width="16.42578125" style="483" bestFit="1" customWidth="1"/>
    <col min="2573" max="2573" width="15.5703125" style="483" bestFit="1" customWidth="1"/>
    <col min="2574" max="2574" width="14.85546875" style="483" bestFit="1" customWidth="1"/>
    <col min="2575" max="2575" width="16" style="483" bestFit="1" customWidth="1"/>
    <col min="2576" max="2576" width="14.85546875" style="483" bestFit="1" customWidth="1"/>
    <col min="2577" max="2577" width="16" style="483" bestFit="1" customWidth="1"/>
    <col min="2578" max="2578" width="12.7109375" style="483" bestFit="1" customWidth="1"/>
    <col min="2579" max="2579" width="14.85546875" style="483" bestFit="1" customWidth="1"/>
    <col min="2580" max="2817" width="9.140625" style="483"/>
    <col min="2818" max="2818" width="6.28515625" style="483" customWidth="1"/>
    <col min="2819" max="2819" width="4.42578125" style="483" customWidth="1"/>
    <col min="2820" max="2820" width="38.42578125" style="483" customWidth="1"/>
    <col min="2821" max="2822" width="0" style="483" hidden="1" customWidth="1"/>
    <col min="2823" max="2823" width="28.140625" style="483" customWidth="1"/>
    <col min="2824" max="2824" width="19.28515625" style="483" bestFit="1" customWidth="1"/>
    <col min="2825" max="2825" width="18" style="483" bestFit="1" customWidth="1"/>
    <col min="2826" max="2826" width="16.28515625" style="483" bestFit="1" customWidth="1"/>
    <col min="2827" max="2827" width="16.5703125" style="483" bestFit="1" customWidth="1"/>
    <col min="2828" max="2828" width="16.42578125" style="483" bestFit="1" customWidth="1"/>
    <col min="2829" max="2829" width="15.5703125" style="483" bestFit="1" customWidth="1"/>
    <col min="2830" max="2830" width="14.85546875" style="483" bestFit="1" customWidth="1"/>
    <col min="2831" max="2831" width="16" style="483" bestFit="1" customWidth="1"/>
    <col min="2832" max="2832" width="14.85546875" style="483" bestFit="1" customWidth="1"/>
    <col min="2833" max="2833" width="16" style="483" bestFit="1" customWidth="1"/>
    <col min="2834" max="2834" width="12.7109375" style="483" bestFit="1" customWidth="1"/>
    <col min="2835" max="2835" width="14.85546875" style="483" bestFit="1" customWidth="1"/>
    <col min="2836" max="3073" width="9.140625" style="483"/>
    <col min="3074" max="3074" width="6.28515625" style="483" customWidth="1"/>
    <col min="3075" max="3075" width="4.42578125" style="483" customWidth="1"/>
    <col min="3076" max="3076" width="38.42578125" style="483" customWidth="1"/>
    <col min="3077" max="3078" width="0" style="483" hidden="1" customWidth="1"/>
    <col min="3079" max="3079" width="28.140625" style="483" customWidth="1"/>
    <col min="3080" max="3080" width="19.28515625" style="483" bestFit="1" customWidth="1"/>
    <col min="3081" max="3081" width="18" style="483" bestFit="1" customWidth="1"/>
    <col min="3082" max="3082" width="16.28515625" style="483" bestFit="1" customWidth="1"/>
    <col min="3083" max="3083" width="16.5703125" style="483" bestFit="1" customWidth="1"/>
    <col min="3084" max="3084" width="16.42578125" style="483" bestFit="1" customWidth="1"/>
    <col min="3085" max="3085" width="15.5703125" style="483" bestFit="1" customWidth="1"/>
    <col min="3086" max="3086" width="14.85546875" style="483" bestFit="1" customWidth="1"/>
    <col min="3087" max="3087" width="16" style="483" bestFit="1" customWidth="1"/>
    <col min="3088" max="3088" width="14.85546875" style="483" bestFit="1" customWidth="1"/>
    <col min="3089" max="3089" width="16" style="483" bestFit="1" customWidth="1"/>
    <col min="3090" max="3090" width="12.7109375" style="483" bestFit="1" customWidth="1"/>
    <col min="3091" max="3091" width="14.85546875" style="483" bestFit="1" customWidth="1"/>
    <col min="3092" max="3329" width="9.140625" style="483"/>
    <col min="3330" max="3330" width="6.28515625" style="483" customWidth="1"/>
    <col min="3331" max="3331" width="4.42578125" style="483" customWidth="1"/>
    <col min="3332" max="3332" width="38.42578125" style="483" customWidth="1"/>
    <col min="3333" max="3334" width="0" style="483" hidden="1" customWidth="1"/>
    <col min="3335" max="3335" width="28.140625" style="483" customWidth="1"/>
    <col min="3336" max="3336" width="19.28515625" style="483" bestFit="1" customWidth="1"/>
    <col min="3337" max="3337" width="18" style="483" bestFit="1" customWidth="1"/>
    <col min="3338" max="3338" width="16.28515625" style="483" bestFit="1" customWidth="1"/>
    <col min="3339" max="3339" width="16.5703125" style="483" bestFit="1" customWidth="1"/>
    <col min="3340" max="3340" width="16.42578125" style="483" bestFit="1" customWidth="1"/>
    <col min="3341" max="3341" width="15.5703125" style="483" bestFit="1" customWidth="1"/>
    <col min="3342" max="3342" width="14.85546875" style="483" bestFit="1" customWidth="1"/>
    <col min="3343" max="3343" width="16" style="483" bestFit="1" customWidth="1"/>
    <col min="3344" max="3344" width="14.85546875" style="483" bestFit="1" customWidth="1"/>
    <col min="3345" max="3345" width="16" style="483" bestFit="1" customWidth="1"/>
    <col min="3346" max="3346" width="12.7109375" style="483" bestFit="1" customWidth="1"/>
    <col min="3347" max="3347" width="14.85546875" style="483" bestFit="1" customWidth="1"/>
    <col min="3348" max="3585" width="9.140625" style="483"/>
    <col min="3586" max="3586" width="6.28515625" style="483" customWidth="1"/>
    <col min="3587" max="3587" width="4.42578125" style="483" customWidth="1"/>
    <col min="3588" max="3588" width="38.42578125" style="483" customWidth="1"/>
    <col min="3589" max="3590" width="0" style="483" hidden="1" customWidth="1"/>
    <col min="3591" max="3591" width="28.140625" style="483" customWidth="1"/>
    <col min="3592" max="3592" width="19.28515625" style="483" bestFit="1" customWidth="1"/>
    <col min="3593" max="3593" width="18" style="483" bestFit="1" customWidth="1"/>
    <col min="3594" max="3594" width="16.28515625" style="483" bestFit="1" customWidth="1"/>
    <col min="3595" max="3595" width="16.5703125" style="483" bestFit="1" customWidth="1"/>
    <col min="3596" max="3596" width="16.42578125" style="483" bestFit="1" customWidth="1"/>
    <col min="3597" max="3597" width="15.5703125" style="483" bestFit="1" customWidth="1"/>
    <col min="3598" max="3598" width="14.85546875" style="483" bestFit="1" customWidth="1"/>
    <col min="3599" max="3599" width="16" style="483" bestFit="1" customWidth="1"/>
    <col min="3600" max="3600" width="14.85546875" style="483" bestFit="1" customWidth="1"/>
    <col min="3601" max="3601" width="16" style="483" bestFit="1" customWidth="1"/>
    <col min="3602" max="3602" width="12.7109375" style="483" bestFit="1" customWidth="1"/>
    <col min="3603" max="3603" width="14.85546875" style="483" bestFit="1" customWidth="1"/>
    <col min="3604" max="3841" width="9.140625" style="483"/>
    <col min="3842" max="3842" width="6.28515625" style="483" customWidth="1"/>
    <col min="3843" max="3843" width="4.42578125" style="483" customWidth="1"/>
    <col min="3844" max="3844" width="38.42578125" style="483" customWidth="1"/>
    <col min="3845" max="3846" width="0" style="483" hidden="1" customWidth="1"/>
    <col min="3847" max="3847" width="28.140625" style="483" customWidth="1"/>
    <col min="3848" max="3848" width="19.28515625" style="483" bestFit="1" customWidth="1"/>
    <col min="3849" max="3849" width="18" style="483" bestFit="1" customWidth="1"/>
    <col min="3850" max="3850" width="16.28515625" style="483" bestFit="1" customWidth="1"/>
    <col min="3851" max="3851" width="16.5703125" style="483" bestFit="1" customWidth="1"/>
    <col min="3852" max="3852" width="16.42578125" style="483" bestFit="1" customWidth="1"/>
    <col min="3853" max="3853" width="15.5703125" style="483" bestFit="1" customWidth="1"/>
    <col min="3854" max="3854" width="14.85546875" style="483" bestFit="1" customWidth="1"/>
    <col min="3855" max="3855" width="16" style="483" bestFit="1" customWidth="1"/>
    <col min="3856" max="3856" width="14.85546875" style="483" bestFit="1" customWidth="1"/>
    <col min="3857" max="3857" width="16" style="483" bestFit="1" customWidth="1"/>
    <col min="3858" max="3858" width="12.7109375" style="483" bestFit="1" customWidth="1"/>
    <col min="3859" max="3859" width="14.85546875" style="483" bestFit="1" customWidth="1"/>
    <col min="3860" max="4097" width="9.140625" style="483"/>
    <col min="4098" max="4098" width="6.28515625" style="483" customWidth="1"/>
    <col min="4099" max="4099" width="4.42578125" style="483" customWidth="1"/>
    <col min="4100" max="4100" width="38.42578125" style="483" customWidth="1"/>
    <col min="4101" max="4102" width="0" style="483" hidden="1" customWidth="1"/>
    <col min="4103" max="4103" width="28.140625" style="483" customWidth="1"/>
    <col min="4104" max="4104" width="19.28515625" style="483" bestFit="1" customWidth="1"/>
    <col min="4105" max="4105" width="18" style="483" bestFit="1" customWidth="1"/>
    <col min="4106" max="4106" width="16.28515625" style="483" bestFit="1" customWidth="1"/>
    <col min="4107" max="4107" width="16.5703125" style="483" bestFit="1" customWidth="1"/>
    <col min="4108" max="4108" width="16.42578125" style="483" bestFit="1" customWidth="1"/>
    <col min="4109" max="4109" width="15.5703125" style="483" bestFit="1" customWidth="1"/>
    <col min="4110" max="4110" width="14.85546875" style="483" bestFit="1" customWidth="1"/>
    <col min="4111" max="4111" width="16" style="483" bestFit="1" customWidth="1"/>
    <col min="4112" max="4112" width="14.85546875" style="483" bestFit="1" customWidth="1"/>
    <col min="4113" max="4113" width="16" style="483" bestFit="1" customWidth="1"/>
    <col min="4114" max="4114" width="12.7109375" style="483" bestFit="1" customWidth="1"/>
    <col min="4115" max="4115" width="14.85546875" style="483" bestFit="1" customWidth="1"/>
    <col min="4116" max="4353" width="9.140625" style="483"/>
    <col min="4354" max="4354" width="6.28515625" style="483" customWidth="1"/>
    <col min="4355" max="4355" width="4.42578125" style="483" customWidth="1"/>
    <col min="4356" max="4356" width="38.42578125" style="483" customWidth="1"/>
    <col min="4357" max="4358" width="0" style="483" hidden="1" customWidth="1"/>
    <col min="4359" max="4359" width="28.140625" style="483" customWidth="1"/>
    <col min="4360" max="4360" width="19.28515625" style="483" bestFit="1" customWidth="1"/>
    <col min="4361" max="4361" width="18" style="483" bestFit="1" customWidth="1"/>
    <col min="4362" max="4362" width="16.28515625" style="483" bestFit="1" customWidth="1"/>
    <col min="4363" max="4363" width="16.5703125" style="483" bestFit="1" customWidth="1"/>
    <col min="4364" max="4364" width="16.42578125" style="483" bestFit="1" customWidth="1"/>
    <col min="4365" max="4365" width="15.5703125" style="483" bestFit="1" customWidth="1"/>
    <col min="4366" max="4366" width="14.85546875" style="483" bestFit="1" customWidth="1"/>
    <col min="4367" max="4367" width="16" style="483" bestFit="1" customWidth="1"/>
    <col min="4368" max="4368" width="14.85546875" style="483" bestFit="1" customWidth="1"/>
    <col min="4369" max="4369" width="16" style="483" bestFit="1" customWidth="1"/>
    <col min="4370" max="4370" width="12.7109375" style="483" bestFit="1" customWidth="1"/>
    <col min="4371" max="4371" width="14.85546875" style="483" bestFit="1" customWidth="1"/>
    <col min="4372" max="4609" width="9.140625" style="483"/>
    <col min="4610" max="4610" width="6.28515625" style="483" customWidth="1"/>
    <col min="4611" max="4611" width="4.42578125" style="483" customWidth="1"/>
    <col min="4612" max="4612" width="38.42578125" style="483" customWidth="1"/>
    <col min="4613" max="4614" width="0" style="483" hidden="1" customWidth="1"/>
    <col min="4615" max="4615" width="28.140625" style="483" customWidth="1"/>
    <col min="4616" max="4616" width="19.28515625" style="483" bestFit="1" customWidth="1"/>
    <col min="4617" max="4617" width="18" style="483" bestFit="1" customWidth="1"/>
    <col min="4618" max="4618" width="16.28515625" style="483" bestFit="1" customWidth="1"/>
    <col min="4619" max="4619" width="16.5703125" style="483" bestFit="1" customWidth="1"/>
    <col min="4620" max="4620" width="16.42578125" style="483" bestFit="1" customWidth="1"/>
    <col min="4621" max="4621" width="15.5703125" style="483" bestFit="1" customWidth="1"/>
    <col min="4622" max="4622" width="14.85546875" style="483" bestFit="1" customWidth="1"/>
    <col min="4623" max="4623" width="16" style="483" bestFit="1" customWidth="1"/>
    <col min="4624" max="4624" width="14.85546875" style="483" bestFit="1" customWidth="1"/>
    <col min="4625" max="4625" width="16" style="483" bestFit="1" customWidth="1"/>
    <col min="4626" max="4626" width="12.7109375" style="483" bestFit="1" customWidth="1"/>
    <col min="4627" max="4627" width="14.85546875" style="483" bestFit="1" customWidth="1"/>
    <col min="4628" max="4865" width="9.140625" style="483"/>
    <col min="4866" max="4866" width="6.28515625" style="483" customWidth="1"/>
    <col min="4867" max="4867" width="4.42578125" style="483" customWidth="1"/>
    <col min="4868" max="4868" width="38.42578125" style="483" customWidth="1"/>
    <col min="4869" max="4870" width="0" style="483" hidden="1" customWidth="1"/>
    <col min="4871" max="4871" width="28.140625" style="483" customWidth="1"/>
    <col min="4872" max="4872" width="19.28515625" style="483" bestFit="1" customWidth="1"/>
    <col min="4873" max="4873" width="18" style="483" bestFit="1" customWidth="1"/>
    <col min="4874" max="4874" width="16.28515625" style="483" bestFit="1" customWidth="1"/>
    <col min="4875" max="4875" width="16.5703125" style="483" bestFit="1" customWidth="1"/>
    <col min="4876" max="4876" width="16.42578125" style="483" bestFit="1" customWidth="1"/>
    <col min="4877" max="4877" width="15.5703125" style="483" bestFit="1" customWidth="1"/>
    <col min="4878" max="4878" width="14.85546875" style="483" bestFit="1" customWidth="1"/>
    <col min="4879" max="4879" width="16" style="483" bestFit="1" customWidth="1"/>
    <col min="4880" max="4880" width="14.85546875" style="483" bestFit="1" customWidth="1"/>
    <col min="4881" max="4881" width="16" style="483" bestFit="1" customWidth="1"/>
    <col min="4882" max="4882" width="12.7109375" style="483" bestFit="1" customWidth="1"/>
    <col min="4883" max="4883" width="14.85546875" style="483" bestFit="1" customWidth="1"/>
    <col min="4884" max="5121" width="9.140625" style="483"/>
    <col min="5122" max="5122" width="6.28515625" style="483" customWidth="1"/>
    <col min="5123" max="5123" width="4.42578125" style="483" customWidth="1"/>
    <col min="5124" max="5124" width="38.42578125" style="483" customWidth="1"/>
    <col min="5125" max="5126" width="0" style="483" hidden="1" customWidth="1"/>
    <col min="5127" max="5127" width="28.140625" style="483" customWidth="1"/>
    <col min="5128" max="5128" width="19.28515625" style="483" bestFit="1" customWidth="1"/>
    <col min="5129" max="5129" width="18" style="483" bestFit="1" customWidth="1"/>
    <col min="5130" max="5130" width="16.28515625" style="483" bestFit="1" customWidth="1"/>
    <col min="5131" max="5131" width="16.5703125" style="483" bestFit="1" customWidth="1"/>
    <col min="5132" max="5132" width="16.42578125" style="483" bestFit="1" customWidth="1"/>
    <col min="5133" max="5133" width="15.5703125" style="483" bestFit="1" customWidth="1"/>
    <col min="5134" max="5134" width="14.85546875" style="483" bestFit="1" customWidth="1"/>
    <col min="5135" max="5135" width="16" style="483" bestFit="1" customWidth="1"/>
    <col min="5136" max="5136" width="14.85546875" style="483" bestFit="1" customWidth="1"/>
    <col min="5137" max="5137" width="16" style="483" bestFit="1" customWidth="1"/>
    <col min="5138" max="5138" width="12.7109375" style="483" bestFit="1" customWidth="1"/>
    <col min="5139" max="5139" width="14.85546875" style="483" bestFit="1" customWidth="1"/>
    <col min="5140" max="5377" width="9.140625" style="483"/>
    <col min="5378" max="5378" width="6.28515625" style="483" customWidth="1"/>
    <col min="5379" max="5379" width="4.42578125" style="483" customWidth="1"/>
    <col min="5380" max="5380" width="38.42578125" style="483" customWidth="1"/>
    <col min="5381" max="5382" width="0" style="483" hidden="1" customWidth="1"/>
    <col min="5383" max="5383" width="28.140625" style="483" customWidth="1"/>
    <col min="5384" max="5384" width="19.28515625" style="483" bestFit="1" customWidth="1"/>
    <col min="5385" max="5385" width="18" style="483" bestFit="1" customWidth="1"/>
    <col min="5386" max="5386" width="16.28515625" style="483" bestFit="1" customWidth="1"/>
    <col min="5387" max="5387" width="16.5703125" style="483" bestFit="1" customWidth="1"/>
    <col min="5388" max="5388" width="16.42578125" style="483" bestFit="1" customWidth="1"/>
    <col min="5389" max="5389" width="15.5703125" style="483" bestFit="1" customWidth="1"/>
    <col min="5390" max="5390" width="14.85546875" style="483" bestFit="1" customWidth="1"/>
    <col min="5391" max="5391" width="16" style="483" bestFit="1" customWidth="1"/>
    <col min="5392" max="5392" width="14.85546875" style="483" bestFit="1" customWidth="1"/>
    <col min="5393" max="5393" width="16" style="483" bestFit="1" customWidth="1"/>
    <col min="5394" max="5394" width="12.7109375" style="483" bestFit="1" customWidth="1"/>
    <col min="5395" max="5395" width="14.85546875" style="483" bestFit="1" customWidth="1"/>
    <col min="5396" max="5633" width="9.140625" style="483"/>
    <col min="5634" max="5634" width="6.28515625" style="483" customWidth="1"/>
    <col min="5635" max="5635" width="4.42578125" style="483" customWidth="1"/>
    <col min="5636" max="5636" width="38.42578125" style="483" customWidth="1"/>
    <col min="5637" max="5638" width="0" style="483" hidden="1" customWidth="1"/>
    <col min="5639" max="5639" width="28.140625" style="483" customWidth="1"/>
    <col min="5640" max="5640" width="19.28515625" style="483" bestFit="1" customWidth="1"/>
    <col min="5641" max="5641" width="18" style="483" bestFit="1" customWidth="1"/>
    <col min="5642" max="5642" width="16.28515625" style="483" bestFit="1" customWidth="1"/>
    <col min="5643" max="5643" width="16.5703125" style="483" bestFit="1" customWidth="1"/>
    <col min="5644" max="5644" width="16.42578125" style="483" bestFit="1" customWidth="1"/>
    <col min="5645" max="5645" width="15.5703125" style="483" bestFit="1" customWidth="1"/>
    <col min="5646" max="5646" width="14.85546875" style="483" bestFit="1" customWidth="1"/>
    <col min="5647" max="5647" width="16" style="483" bestFit="1" customWidth="1"/>
    <col min="5648" max="5648" width="14.85546875" style="483" bestFit="1" customWidth="1"/>
    <col min="5649" max="5649" width="16" style="483" bestFit="1" customWidth="1"/>
    <col min="5650" max="5650" width="12.7109375" style="483" bestFit="1" customWidth="1"/>
    <col min="5651" max="5651" width="14.85546875" style="483" bestFit="1" customWidth="1"/>
    <col min="5652" max="5889" width="9.140625" style="483"/>
    <col min="5890" max="5890" width="6.28515625" style="483" customWidth="1"/>
    <col min="5891" max="5891" width="4.42578125" style="483" customWidth="1"/>
    <col min="5892" max="5892" width="38.42578125" style="483" customWidth="1"/>
    <col min="5893" max="5894" width="0" style="483" hidden="1" customWidth="1"/>
    <col min="5895" max="5895" width="28.140625" style="483" customWidth="1"/>
    <col min="5896" max="5896" width="19.28515625" style="483" bestFit="1" customWidth="1"/>
    <col min="5897" max="5897" width="18" style="483" bestFit="1" customWidth="1"/>
    <col min="5898" max="5898" width="16.28515625" style="483" bestFit="1" customWidth="1"/>
    <col min="5899" max="5899" width="16.5703125" style="483" bestFit="1" customWidth="1"/>
    <col min="5900" max="5900" width="16.42578125" style="483" bestFit="1" customWidth="1"/>
    <col min="5901" max="5901" width="15.5703125" style="483" bestFit="1" customWidth="1"/>
    <col min="5902" max="5902" width="14.85546875" style="483" bestFit="1" customWidth="1"/>
    <col min="5903" max="5903" width="16" style="483" bestFit="1" customWidth="1"/>
    <col min="5904" max="5904" width="14.85546875" style="483" bestFit="1" customWidth="1"/>
    <col min="5905" max="5905" width="16" style="483" bestFit="1" customWidth="1"/>
    <col min="5906" max="5906" width="12.7109375" style="483" bestFit="1" customWidth="1"/>
    <col min="5907" max="5907" width="14.85546875" style="483" bestFit="1" customWidth="1"/>
    <col min="5908" max="6145" width="9.140625" style="483"/>
    <col min="6146" max="6146" width="6.28515625" style="483" customWidth="1"/>
    <col min="6147" max="6147" width="4.42578125" style="483" customWidth="1"/>
    <col min="6148" max="6148" width="38.42578125" style="483" customWidth="1"/>
    <col min="6149" max="6150" width="0" style="483" hidden="1" customWidth="1"/>
    <col min="6151" max="6151" width="28.140625" style="483" customWidth="1"/>
    <col min="6152" max="6152" width="19.28515625" style="483" bestFit="1" customWidth="1"/>
    <col min="6153" max="6153" width="18" style="483" bestFit="1" customWidth="1"/>
    <col min="6154" max="6154" width="16.28515625" style="483" bestFit="1" customWidth="1"/>
    <col min="6155" max="6155" width="16.5703125" style="483" bestFit="1" customWidth="1"/>
    <col min="6156" max="6156" width="16.42578125" style="483" bestFit="1" customWidth="1"/>
    <col min="6157" max="6157" width="15.5703125" style="483" bestFit="1" customWidth="1"/>
    <col min="6158" max="6158" width="14.85546875" style="483" bestFit="1" customWidth="1"/>
    <col min="6159" max="6159" width="16" style="483" bestFit="1" customWidth="1"/>
    <col min="6160" max="6160" width="14.85546875" style="483" bestFit="1" customWidth="1"/>
    <col min="6161" max="6161" width="16" style="483" bestFit="1" customWidth="1"/>
    <col min="6162" max="6162" width="12.7109375" style="483" bestFit="1" customWidth="1"/>
    <col min="6163" max="6163" width="14.85546875" style="483" bestFit="1" customWidth="1"/>
    <col min="6164" max="6401" width="9.140625" style="483"/>
    <col min="6402" max="6402" width="6.28515625" style="483" customWidth="1"/>
    <col min="6403" max="6403" width="4.42578125" style="483" customWidth="1"/>
    <col min="6404" max="6404" width="38.42578125" style="483" customWidth="1"/>
    <col min="6405" max="6406" width="0" style="483" hidden="1" customWidth="1"/>
    <col min="6407" max="6407" width="28.140625" style="483" customWidth="1"/>
    <col min="6408" max="6408" width="19.28515625" style="483" bestFit="1" customWidth="1"/>
    <col min="6409" max="6409" width="18" style="483" bestFit="1" customWidth="1"/>
    <col min="6410" max="6410" width="16.28515625" style="483" bestFit="1" customWidth="1"/>
    <col min="6411" max="6411" width="16.5703125" style="483" bestFit="1" customWidth="1"/>
    <col min="6412" max="6412" width="16.42578125" style="483" bestFit="1" customWidth="1"/>
    <col min="6413" max="6413" width="15.5703125" style="483" bestFit="1" customWidth="1"/>
    <col min="6414" max="6414" width="14.85546875" style="483" bestFit="1" customWidth="1"/>
    <col min="6415" max="6415" width="16" style="483" bestFit="1" customWidth="1"/>
    <col min="6416" max="6416" width="14.85546875" style="483" bestFit="1" customWidth="1"/>
    <col min="6417" max="6417" width="16" style="483" bestFit="1" customWidth="1"/>
    <col min="6418" max="6418" width="12.7109375" style="483" bestFit="1" customWidth="1"/>
    <col min="6419" max="6419" width="14.85546875" style="483" bestFit="1" customWidth="1"/>
    <col min="6420" max="6657" width="9.140625" style="483"/>
    <col min="6658" max="6658" width="6.28515625" style="483" customWidth="1"/>
    <col min="6659" max="6659" width="4.42578125" style="483" customWidth="1"/>
    <col min="6660" max="6660" width="38.42578125" style="483" customWidth="1"/>
    <col min="6661" max="6662" width="0" style="483" hidden="1" customWidth="1"/>
    <col min="6663" max="6663" width="28.140625" style="483" customWidth="1"/>
    <col min="6664" max="6664" width="19.28515625" style="483" bestFit="1" customWidth="1"/>
    <col min="6665" max="6665" width="18" style="483" bestFit="1" customWidth="1"/>
    <col min="6666" max="6666" width="16.28515625" style="483" bestFit="1" customWidth="1"/>
    <col min="6667" max="6667" width="16.5703125" style="483" bestFit="1" customWidth="1"/>
    <col min="6668" max="6668" width="16.42578125" style="483" bestFit="1" customWidth="1"/>
    <col min="6669" max="6669" width="15.5703125" style="483" bestFit="1" customWidth="1"/>
    <col min="6670" max="6670" width="14.85546875" style="483" bestFit="1" customWidth="1"/>
    <col min="6671" max="6671" width="16" style="483" bestFit="1" customWidth="1"/>
    <col min="6672" max="6672" width="14.85546875" style="483" bestFit="1" customWidth="1"/>
    <col min="6673" max="6673" width="16" style="483" bestFit="1" customWidth="1"/>
    <col min="6674" max="6674" width="12.7109375" style="483" bestFit="1" customWidth="1"/>
    <col min="6675" max="6675" width="14.85546875" style="483" bestFit="1" customWidth="1"/>
    <col min="6676" max="6913" width="9.140625" style="483"/>
    <col min="6914" max="6914" width="6.28515625" style="483" customWidth="1"/>
    <col min="6915" max="6915" width="4.42578125" style="483" customWidth="1"/>
    <col min="6916" max="6916" width="38.42578125" style="483" customWidth="1"/>
    <col min="6917" max="6918" width="0" style="483" hidden="1" customWidth="1"/>
    <col min="6919" max="6919" width="28.140625" style="483" customWidth="1"/>
    <col min="6920" max="6920" width="19.28515625" style="483" bestFit="1" customWidth="1"/>
    <col min="6921" max="6921" width="18" style="483" bestFit="1" customWidth="1"/>
    <col min="6922" max="6922" width="16.28515625" style="483" bestFit="1" customWidth="1"/>
    <col min="6923" max="6923" width="16.5703125" style="483" bestFit="1" customWidth="1"/>
    <col min="6924" max="6924" width="16.42578125" style="483" bestFit="1" customWidth="1"/>
    <col min="6925" max="6925" width="15.5703125" style="483" bestFit="1" customWidth="1"/>
    <col min="6926" max="6926" width="14.85546875" style="483" bestFit="1" customWidth="1"/>
    <col min="6927" max="6927" width="16" style="483" bestFit="1" customWidth="1"/>
    <col min="6928" max="6928" width="14.85546875" style="483" bestFit="1" customWidth="1"/>
    <col min="6929" max="6929" width="16" style="483" bestFit="1" customWidth="1"/>
    <col min="6930" max="6930" width="12.7109375" style="483" bestFit="1" customWidth="1"/>
    <col min="6931" max="6931" width="14.85546875" style="483" bestFit="1" customWidth="1"/>
    <col min="6932" max="7169" width="9.140625" style="483"/>
    <col min="7170" max="7170" width="6.28515625" style="483" customWidth="1"/>
    <col min="7171" max="7171" width="4.42578125" style="483" customWidth="1"/>
    <col min="7172" max="7172" width="38.42578125" style="483" customWidth="1"/>
    <col min="7173" max="7174" width="0" style="483" hidden="1" customWidth="1"/>
    <col min="7175" max="7175" width="28.140625" style="483" customWidth="1"/>
    <col min="7176" max="7176" width="19.28515625" style="483" bestFit="1" customWidth="1"/>
    <col min="7177" max="7177" width="18" style="483" bestFit="1" customWidth="1"/>
    <col min="7178" max="7178" width="16.28515625" style="483" bestFit="1" customWidth="1"/>
    <col min="7179" max="7179" width="16.5703125" style="483" bestFit="1" customWidth="1"/>
    <col min="7180" max="7180" width="16.42578125" style="483" bestFit="1" customWidth="1"/>
    <col min="7181" max="7181" width="15.5703125" style="483" bestFit="1" customWidth="1"/>
    <col min="7182" max="7182" width="14.85546875" style="483" bestFit="1" customWidth="1"/>
    <col min="7183" max="7183" width="16" style="483" bestFit="1" customWidth="1"/>
    <col min="7184" max="7184" width="14.85546875" style="483" bestFit="1" customWidth="1"/>
    <col min="7185" max="7185" width="16" style="483" bestFit="1" customWidth="1"/>
    <col min="7186" max="7186" width="12.7109375" style="483" bestFit="1" customWidth="1"/>
    <col min="7187" max="7187" width="14.85546875" style="483" bestFit="1" customWidth="1"/>
    <col min="7188" max="7425" width="9.140625" style="483"/>
    <col min="7426" max="7426" width="6.28515625" style="483" customWidth="1"/>
    <col min="7427" max="7427" width="4.42578125" style="483" customWidth="1"/>
    <col min="7428" max="7428" width="38.42578125" style="483" customWidth="1"/>
    <col min="7429" max="7430" width="0" style="483" hidden="1" customWidth="1"/>
    <col min="7431" max="7431" width="28.140625" style="483" customWidth="1"/>
    <col min="7432" max="7432" width="19.28515625" style="483" bestFit="1" customWidth="1"/>
    <col min="7433" max="7433" width="18" style="483" bestFit="1" customWidth="1"/>
    <col min="7434" max="7434" width="16.28515625" style="483" bestFit="1" customWidth="1"/>
    <col min="7435" max="7435" width="16.5703125" style="483" bestFit="1" customWidth="1"/>
    <col min="7436" max="7436" width="16.42578125" style="483" bestFit="1" customWidth="1"/>
    <col min="7437" max="7437" width="15.5703125" style="483" bestFit="1" customWidth="1"/>
    <col min="7438" max="7438" width="14.85546875" style="483" bestFit="1" customWidth="1"/>
    <col min="7439" max="7439" width="16" style="483" bestFit="1" customWidth="1"/>
    <col min="7440" max="7440" width="14.85546875" style="483" bestFit="1" customWidth="1"/>
    <col min="7441" max="7441" width="16" style="483" bestFit="1" customWidth="1"/>
    <col min="7442" max="7442" width="12.7109375" style="483" bestFit="1" customWidth="1"/>
    <col min="7443" max="7443" width="14.85546875" style="483" bestFit="1" customWidth="1"/>
    <col min="7444" max="7681" width="9.140625" style="483"/>
    <col min="7682" max="7682" width="6.28515625" style="483" customWidth="1"/>
    <col min="7683" max="7683" width="4.42578125" style="483" customWidth="1"/>
    <col min="7684" max="7684" width="38.42578125" style="483" customWidth="1"/>
    <col min="7685" max="7686" width="0" style="483" hidden="1" customWidth="1"/>
    <col min="7687" max="7687" width="28.140625" style="483" customWidth="1"/>
    <col min="7688" max="7688" width="19.28515625" style="483" bestFit="1" customWidth="1"/>
    <col min="7689" max="7689" width="18" style="483" bestFit="1" customWidth="1"/>
    <col min="7690" max="7690" width="16.28515625" style="483" bestFit="1" customWidth="1"/>
    <col min="7691" max="7691" width="16.5703125" style="483" bestFit="1" customWidth="1"/>
    <col min="7692" max="7692" width="16.42578125" style="483" bestFit="1" customWidth="1"/>
    <col min="7693" max="7693" width="15.5703125" style="483" bestFit="1" customWidth="1"/>
    <col min="7694" max="7694" width="14.85546875" style="483" bestFit="1" customWidth="1"/>
    <col min="7695" max="7695" width="16" style="483" bestFit="1" customWidth="1"/>
    <col min="7696" max="7696" width="14.85546875" style="483" bestFit="1" customWidth="1"/>
    <col min="7697" max="7697" width="16" style="483" bestFit="1" customWidth="1"/>
    <col min="7698" max="7698" width="12.7109375" style="483" bestFit="1" customWidth="1"/>
    <col min="7699" max="7699" width="14.85546875" style="483" bestFit="1" customWidth="1"/>
    <col min="7700" max="7937" width="9.140625" style="483"/>
    <col min="7938" max="7938" width="6.28515625" style="483" customWidth="1"/>
    <col min="7939" max="7939" width="4.42578125" style="483" customWidth="1"/>
    <col min="7940" max="7940" width="38.42578125" style="483" customWidth="1"/>
    <col min="7941" max="7942" width="0" style="483" hidden="1" customWidth="1"/>
    <col min="7943" max="7943" width="28.140625" style="483" customWidth="1"/>
    <col min="7944" max="7944" width="19.28515625" style="483" bestFit="1" customWidth="1"/>
    <col min="7945" max="7945" width="18" style="483" bestFit="1" customWidth="1"/>
    <col min="7946" max="7946" width="16.28515625" style="483" bestFit="1" customWidth="1"/>
    <col min="7947" max="7947" width="16.5703125" style="483" bestFit="1" customWidth="1"/>
    <col min="7948" max="7948" width="16.42578125" style="483" bestFit="1" customWidth="1"/>
    <col min="7949" max="7949" width="15.5703125" style="483" bestFit="1" customWidth="1"/>
    <col min="7950" max="7950" width="14.85546875" style="483" bestFit="1" customWidth="1"/>
    <col min="7951" max="7951" width="16" style="483" bestFit="1" customWidth="1"/>
    <col min="7952" max="7952" width="14.85546875" style="483" bestFit="1" customWidth="1"/>
    <col min="7953" max="7953" width="16" style="483" bestFit="1" customWidth="1"/>
    <col min="7954" max="7954" width="12.7109375" style="483" bestFit="1" customWidth="1"/>
    <col min="7955" max="7955" width="14.85546875" style="483" bestFit="1" customWidth="1"/>
    <col min="7956" max="8193" width="9.140625" style="483"/>
    <col min="8194" max="8194" width="6.28515625" style="483" customWidth="1"/>
    <col min="8195" max="8195" width="4.42578125" style="483" customWidth="1"/>
    <col min="8196" max="8196" width="38.42578125" style="483" customWidth="1"/>
    <col min="8197" max="8198" width="0" style="483" hidden="1" customWidth="1"/>
    <col min="8199" max="8199" width="28.140625" style="483" customWidth="1"/>
    <col min="8200" max="8200" width="19.28515625" style="483" bestFit="1" customWidth="1"/>
    <col min="8201" max="8201" width="18" style="483" bestFit="1" customWidth="1"/>
    <col min="8202" max="8202" width="16.28515625" style="483" bestFit="1" customWidth="1"/>
    <col min="8203" max="8203" width="16.5703125" style="483" bestFit="1" customWidth="1"/>
    <col min="8204" max="8204" width="16.42578125" style="483" bestFit="1" customWidth="1"/>
    <col min="8205" max="8205" width="15.5703125" style="483" bestFit="1" customWidth="1"/>
    <col min="8206" max="8206" width="14.85546875" style="483" bestFit="1" customWidth="1"/>
    <col min="8207" max="8207" width="16" style="483" bestFit="1" customWidth="1"/>
    <col min="8208" max="8208" width="14.85546875" style="483" bestFit="1" customWidth="1"/>
    <col min="8209" max="8209" width="16" style="483" bestFit="1" customWidth="1"/>
    <col min="8210" max="8210" width="12.7109375" style="483" bestFit="1" customWidth="1"/>
    <col min="8211" max="8211" width="14.85546875" style="483" bestFit="1" customWidth="1"/>
    <col min="8212" max="8449" width="9.140625" style="483"/>
    <col min="8450" max="8450" width="6.28515625" style="483" customWidth="1"/>
    <col min="8451" max="8451" width="4.42578125" style="483" customWidth="1"/>
    <col min="8452" max="8452" width="38.42578125" style="483" customWidth="1"/>
    <col min="8453" max="8454" width="0" style="483" hidden="1" customWidth="1"/>
    <col min="8455" max="8455" width="28.140625" style="483" customWidth="1"/>
    <col min="8456" max="8456" width="19.28515625" style="483" bestFit="1" customWidth="1"/>
    <col min="8457" max="8457" width="18" style="483" bestFit="1" customWidth="1"/>
    <col min="8458" max="8458" width="16.28515625" style="483" bestFit="1" customWidth="1"/>
    <col min="8459" max="8459" width="16.5703125" style="483" bestFit="1" customWidth="1"/>
    <col min="8460" max="8460" width="16.42578125" style="483" bestFit="1" customWidth="1"/>
    <col min="8461" max="8461" width="15.5703125" style="483" bestFit="1" customWidth="1"/>
    <col min="8462" max="8462" width="14.85546875" style="483" bestFit="1" customWidth="1"/>
    <col min="8463" max="8463" width="16" style="483" bestFit="1" customWidth="1"/>
    <col min="8464" max="8464" width="14.85546875" style="483" bestFit="1" customWidth="1"/>
    <col min="8465" max="8465" width="16" style="483" bestFit="1" customWidth="1"/>
    <col min="8466" max="8466" width="12.7109375" style="483" bestFit="1" customWidth="1"/>
    <col min="8467" max="8467" width="14.85546875" style="483" bestFit="1" customWidth="1"/>
    <col min="8468" max="8705" width="9.140625" style="483"/>
    <col min="8706" max="8706" width="6.28515625" style="483" customWidth="1"/>
    <col min="8707" max="8707" width="4.42578125" style="483" customWidth="1"/>
    <col min="8708" max="8708" width="38.42578125" style="483" customWidth="1"/>
    <col min="8709" max="8710" width="0" style="483" hidden="1" customWidth="1"/>
    <col min="8711" max="8711" width="28.140625" style="483" customWidth="1"/>
    <col min="8712" max="8712" width="19.28515625" style="483" bestFit="1" customWidth="1"/>
    <col min="8713" max="8713" width="18" style="483" bestFit="1" customWidth="1"/>
    <col min="8714" max="8714" width="16.28515625" style="483" bestFit="1" customWidth="1"/>
    <col min="8715" max="8715" width="16.5703125" style="483" bestFit="1" customWidth="1"/>
    <col min="8716" max="8716" width="16.42578125" style="483" bestFit="1" customWidth="1"/>
    <col min="8717" max="8717" width="15.5703125" style="483" bestFit="1" customWidth="1"/>
    <col min="8718" max="8718" width="14.85546875" style="483" bestFit="1" customWidth="1"/>
    <col min="8719" max="8719" width="16" style="483" bestFit="1" customWidth="1"/>
    <col min="8720" max="8720" width="14.85546875" style="483" bestFit="1" customWidth="1"/>
    <col min="8721" max="8721" width="16" style="483" bestFit="1" customWidth="1"/>
    <col min="8722" max="8722" width="12.7109375" style="483" bestFit="1" customWidth="1"/>
    <col min="8723" max="8723" width="14.85546875" style="483" bestFit="1" customWidth="1"/>
    <col min="8724" max="8961" width="9.140625" style="483"/>
    <col min="8962" max="8962" width="6.28515625" style="483" customWidth="1"/>
    <col min="8963" max="8963" width="4.42578125" style="483" customWidth="1"/>
    <col min="8964" max="8964" width="38.42578125" style="483" customWidth="1"/>
    <col min="8965" max="8966" width="0" style="483" hidden="1" customWidth="1"/>
    <col min="8967" max="8967" width="28.140625" style="483" customWidth="1"/>
    <col min="8968" max="8968" width="19.28515625" style="483" bestFit="1" customWidth="1"/>
    <col min="8969" max="8969" width="18" style="483" bestFit="1" customWidth="1"/>
    <col min="8970" max="8970" width="16.28515625" style="483" bestFit="1" customWidth="1"/>
    <col min="8971" max="8971" width="16.5703125" style="483" bestFit="1" customWidth="1"/>
    <col min="8972" max="8972" width="16.42578125" style="483" bestFit="1" customWidth="1"/>
    <col min="8973" max="8973" width="15.5703125" style="483" bestFit="1" customWidth="1"/>
    <col min="8974" max="8974" width="14.85546875" style="483" bestFit="1" customWidth="1"/>
    <col min="8975" max="8975" width="16" style="483" bestFit="1" customWidth="1"/>
    <col min="8976" max="8976" width="14.85546875" style="483" bestFit="1" customWidth="1"/>
    <col min="8977" max="8977" width="16" style="483" bestFit="1" customWidth="1"/>
    <col min="8978" max="8978" width="12.7109375" style="483" bestFit="1" customWidth="1"/>
    <col min="8979" max="8979" width="14.85546875" style="483" bestFit="1" customWidth="1"/>
    <col min="8980" max="9217" width="9.140625" style="483"/>
    <col min="9218" max="9218" width="6.28515625" style="483" customWidth="1"/>
    <col min="9219" max="9219" width="4.42578125" style="483" customWidth="1"/>
    <col min="9220" max="9220" width="38.42578125" style="483" customWidth="1"/>
    <col min="9221" max="9222" width="0" style="483" hidden="1" customWidth="1"/>
    <col min="9223" max="9223" width="28.140625" style="483" customWidth="1"/>
    <col min="9224" max="9224" width="19.28515625" style="483" bestFit="1" customWidth="1"/>
    <col min="9225" max="9225" width="18" style="483" bestFit="1" customWidth="1"/>
    <col min="9226" max="9226" width="16.28515625" style="483" bestFit="1" customWidth="1"/>
    <col min="9227" max="9227" width="16.5703125" style="483" bestFit="1" customWidth="1"/>
    <col min="9228" max="9228" width="16.42578125" style="483" bestFit="1" customWidth="1"/>
    <col min="9229" max="9229" width="15.5703125" style="483" bestFit="1" customWidth="1"/>
    <col min="9230" max="9230" width="14.85546875" style="483" bestFit="1" customWidth="1"/>
    <col min="9231" max="9231" width="16" style="483" bestFit="1" customWidth="1"/>
    <col min="9232" max="9232" width="14.85546875" style="483" bestFit="1" customWidth="1"/>
    <col min="9233" max="9233" width="16" style="483" bestFit="1" customWidth="1"/>
    <col min="9234" max="9234" width="12.7109375" style="483" bestFit="1" customWidth="1"/>
    <col min="9235" max="9235" width="14.85546875" style="483" bestFit="1" customWidth="1"/>
    <col min="9236" max="9473" width="9.140625" style="483"/>
    <col min="9474" max="9474" width="6.28515625" style="483" customWidth="1"/>
    <col min="9475" max="9475" width="4.42578125" style="483" customWidth="1"/>
    <col min="9476" max="9476" width="38.42578125" style="483" customWidth="1"/>
    <col min="9477" max="9478" width="0" style="483" hidden="1" customWidth="1"/>
    <col min="9479" max="9479" width="28.140625" style="483" customWidth="1"/>
    <col min="9480" max="9480" width="19.28515625" style="483" bestFit="1" customWidth="1"/>
    <col min="9481" max="9481" width="18" style="483" bestFit="1" customWidth="1"/>
    <col min="9482" max="9482" width="16.28515625" style="483" bestFit="1" customWidth="1"/>
    <col min="9483" max="9483" width="16.5703125" style="483" bestFit="1" customWidth="1"/>
    <col min="9484" max="9484" width="16.42578125" style="483" bestFit="1" customWidth="1"/>
    <col min="9485" max="9485" width="15.5703125" style="483" bestFit="1" customWidth="1"/>
    <col min="9486" max="9486" width="14.85546875" style="483" bestFit="1" customWidth="1"/>
    <col min="9487" max="9487" width="16" style="483" bestFit="1" customWidth="1"/>
    <col min="9488" max="9488" width="14.85546875" style="483" bestFit="1" customWidth="1"/>
    <col min="9489" max="9489" width="16" style="483" bestFit="1" customWidth="1"/>
    <col min="9490" max="9490" width="12.7109375" style="483" bestFit="1" customWidth="1"/>
    <col min="9491" max="9491" width="14.85546875" style="483" bestFit="1" customWidth="1"/>
    <col min="9492" max="9729" width="9.140625" style="483"/>
    <col min="9730" max="9730" width="6.28515625" style="483" customWidth="1"/>
    <col min="9731" max="9731" width="4.42578125" style="483" customWidth="1"/>
    <col min="9732" max="9732" width="38.42578125" style="483" customWidth="1"/>
    <col min="9733" max="9734" width="0" style="483" hidden="1" customWidth="1"/>
    <col min="9735" max="9735" width="28.140625" style="483" customWidth="1"/>
    <col min="9736" max="9736" width="19.28515625" style="483" bestFit="1" customWidth="1"/>
    <col min="9737" max="9737" width="18" style="483" bestFit="1" customWidth="1"/>
    <col min="9738" max="9738" width="16.28515625" style="483" bestFit="1" customWidth="1"/>
    <col min="9739" max="9739" width="16.5703125" style="483" bestFit="1" customWidth="1"/>
    <col min="9740" max="9740" width="16.42578125" style="483" bestFit="1" customWidth="1"/>
    <col min="9741" max="9741" width="15.5703125" style="483" bestFit="1" customWidth="1"/>
    <col min="9742" max="9742" width="14.85546875" style="483" bestFit="1" customWidth="1"/>
    <col min="9743" max="9743" width="16" style="483" bestFit="1" customWidth="1"/>
    <col min="9744" max="9744" width="14.85546875" style="483" bestFit="1" customWidth="1"/>
    <col min="9745" max="9745" width="16" style="483" bestFit="1" customWidth="1"/>
    <col min="9746" max="9746" width="12.7109375" style="483" bestFit="1" customWidth="1"/>
    <col min="9747" max="9747" width="14.85546875" style="483" bestFit="1" customWidth="1"/>
    <col min="9748" max="9985" width="9.140625" style="483"/>
    <col min="9986" max="9986" width="6.28515625" style="483" customWidth="1"/>
    <col min="9987" max="9987" width="4.42578125" style="483" customWidth="1"/>
    <col min="9988" max="9988" width="38.42578125" style="483" customWidth="1"/>
    <col min="9989" max="9990" width="0" style="483" hidden="1" customWidth="1"/>
    <col min="9991" max="9991" width="28.140625" style="483" customWidth="1"/>
    <col min="9992" max="9992" width="19.28515625" style="483" bestFit="1" customWidth="1"/>
    <col min="9993" max="9993" width="18" style="483" bestFit="1" customWidth="1"/>
    <col min="9994" max="9994" width="16.28515625" style="483" bestFit="1" customWidth="1"/>
    <col min="9995" max="9995" width="16.5703125" style="483" bestFit="1" customWidth="1"/>
    <col min="9996" max="9996" width="16.42578125" style="483" bestFit="1" customWidth="1"/>
    <col min="9997" max="9997" width="15.5703125" style="483" bestFit="1" customWidth="1"/>
    <col min="9998" max="9998" width="14.85546875" style="483" bestFit="1" customWidth="1"/>
    <col min="9999" max="9999" width="16" style="483" bestFit="1" customWidth="1"/>
    <col min="10000" max="10000" width="14.85546875" style="483" bestFit="1" customWidth="1"/>
    <col min="10001" max="10001" width="16" style="483" bestFit="1" customWidth="1"/>
    <col min="10002" max="10002" width="12.7109375" style="483" bestFit="1" customWidth="1"/>
    <col min="10003" max="10003" width="14.85546875" style="483" bestFit="1" customWidth="1"/>
    <col min="10004" max="10241" width="9.140625" style="483"/>
    <col min="10242" max="10242" width="6.28515625" style="483" customWidth="1"/>
    <col min="10243" max="10243" width="4.42578125" style="483" customWidth="1"/>
    <col min="10244" max="10244" width="38.42578125" style="483" customWidth="1"/>
    <col min="10245" max="10246" width="0" style="483" hidden="1" customWidth="1"/>
    <col min="10247" max="10247" width="28.140625" style="483" customWidth="1"/>
    <col min="10248" max="10248" width="19.28515625" style="483" bestFit="1" customWidth="1"/>
    <col min="10249" max="10249" width="18" style="483" bestFit="1" customWidth="1"/>
    <col min="10250" max="10250" width="16.28515625" style="483" bestFit="1" customWidth="1"/>
    <col min="10251" max="10251" width="16.5703125" style="483" bestFit="1" customWidth="1"/>
    <col min="10252" max="10252" width="16.42578125" style="483" bestFit="1" customWidth="1"/>
    <col min="10253" max="10253" width="15.5703125" style="483" bestFit="1" customWidth="1"/>
    <col min="10254" max="10254" width="14.85546875" style="483" bestFit="1" customWidth="1"/>
    <col min="10255" max="10255" width="16" style="483" bestFit="1" customWidth="1"/>
    <col min="10256" max="10256" width="14.85546875" style="483" bestFit="1" customWidth="1"/>
    <col min="10257" max="10257" width="16" style="483" bestFit="1" customWidth="1"/>
    <col min="10258" max="10258" width="12.7109375" style="483" bestFit="1" customWidth="1"/>
    <col min="10259" max="10259" width="14.85546875" style="483" bestFit="1" customWidth="1"/>
    <col min="10260" max="10497" width="9.140625" style="483"/>
    <col min="10498" max="10498" width="6.28515625" style="483" customWidth="1"/>
    <col min="10499" max="10499" width="4.42578125" style="483" customWidth="1"/>
    <col min="10500" max="10500" width="38.42578125" style="483" customWidth="1"/>
    <col min="10501" max="10502" width="0" style="483" hidden="1" customWidth="1"/>
    <col min="10503" max="10503" width="28.140625" style="483" customWidth="1"/>
    <col min="10504" max="10504" width="19.28515625" style="483" bestFit="1" customWidth="1"/>
    <col min="10505" max="10505" width="18" style="483" bestFit="1" customWidth="1"/>
    <col min="10506" max="10506" width="16.28515625" style="483" bestFit="1" customWidth="1"/>
    <col min="10507" max="10507" width="16.5703125" style="483" bestFit="1" customWidth="1"/>
    <col min="10508" max="10508" width="16.42578125" style="483" bestFit="1" customWidth="1"/>
    <col min="10509" max="10509" width="15.5703125" style="483" bestFit="1" customWidth="1"/>
    <col min="10510" max="10510" width="14.85546875" style="483" bestFit="1" customWidth="1"/>
    <col min="10511" max="10511" width="16" style="483" bestFit="1" customWidth="1"/>
    <col min="10512" max="10512" width="14.85546875" style="483" bestFit="1" customWidth="1"/>
    <col min="10513" max="10513" width="16" style="483" bestFit="1" customWidth="1"/>
    <col min="10514" max="10514" width="12.7109375" style="483" bestFit="1" customWidth="1"/>
    <col min="10515" max="10515" width="14.85546875" style="483" bestFit="1" customWidth="1"/>
    <col min="10516" max="10753" width="9.140625" style="483"/>
    <col min="10754" max="10754" width="6.28515625" style="483" customWidth="1"/>
    <col min="10755" max="10755" width="4.42578125" style="483" customWidth="1"/>
    <col min="10756" max="10756" width="38.42578125" style="483" customWidth="1"/>
    <col min="10757" max="10758" width="0" style="483" hidden="1" customWidth="1"/>
    <col min="10759" max="10759" width="28.140625" style="483" customWidth="1"/>
    <col min="10760" max="10760" width="19.28515625" style="483" bestFit="1" customWidth="1"/>
    <col min="10761" max="10761" width="18" style="483" bestFit="1" customWidth="1"/>
    <col min="10762" max="10762" width="16.28515625" style="483" bestFit="1" customWidth="1"/>
    <col min="10763" max="10763" width="16.5703125" style="483" bestFit="1" customWidth="1"/>
    <col min="10764" max="10764" width="16.42578125" style="483" bestFit="1" customWidth="1"/>
    <col min="10765" max="10765" width="15.5703125" style="483" bestFit="1" customWidth="1"/>
    <col min="10766" max="10766" width="14.85546875" style="483" bestFit="1" customWidth="1"/>
    <col min="10767" max="10767" width="16" style="483" bestFit="1" customWidth="1"/>
    <col min="10768" max="10768" width="14.85546875" style="483" bestFit="1" customWidth="1"/>
    <col min="10769" max="10769" width="16" style="483" bestFit="1" customWidth="1"/>
    <col min="10770" max="10770" width="12.7109375" style="483" bestFit="1" customWidth="1"/>
    <col min="10771" max="10771" width="14.85546875" style="483" bestFit="1" customWidth="1"/>
    <col min="10772" max="11009" width="9.140625" style="483"/>
    <col min="11010" max="11010" width="6.28515625" style="483" customWidth="1"/>
    <col min="11011" max="11011" width="4.42578125" style="483" customWidth="1"/>
    <col min="11012" max="11012" width="38.42578125" style="483" customWidth="1"/>
    <col min="11013" max="11014" width="0" style="483" hidden="1" customWidth="1"/>
    <col min="11015" max="11015" width="28.140625" style="483" customWidth="1"/>
    <col min="11016" max="11016" width="19.28515625" style="483" bestFit="1" customWidth="1"/>
    <col min="11017" max="11017" width="18" style="483" bestFit="1" customWidth="1"/>
    <col min="11018" max="11018" width="16.28515625" style="483" bestFit="1" customWidth="1"/>
    <col min="11019" max="11019" width="16.5703125" style="483" bestFit="1" customWidth="1"/>
    <col min="11020" max="11020" width="16.42578125" style="483" bestFit="1" customWidth="1"/>
    <col min="11021" max="11021" width="15.5703125" style="483" bestFit="1" customWidth="1"/>
    <col min="11022" max="11022" width="14.85546875" style="483" bestFit="1" customWidth="1"/>
    <col min="11023" max="11023" width="16" style="483" bestFit="1" customWidth="1"/>
    <col min="11024" max="11024" width="14.85546875" style="483" bestFit="1" customWidth="1"/>
    <col min="11025" max="11025" width="16" style="483" bestFit="1" customWidth="1"/>
    <col min="11026" max="11026" width="12.7109375" style="483" bestFit="1" customWidth="1"/>
    <col min="11027" max="11027" width="14.85546875" style="483" bestFit="1" customWidth="1"/>
    <col min="11028" max="11265" width="9.140625" style="483"/>
    <col min="11266" max="11266" width="6.28515625" style="483" customWidth="1"/>
    <col min="11267" max="11267" width="4.42578125" style="483" customWidth="1"/>
    <col min="11268" max="11268" width="38.42578125" style="483" customWidth="1"/>
    <col min="11269" max="11270" width="0" style="483" hidden="1" customWidth="1"/>
    <col min="11271" max="11271" width="28.140625" style="483" customWidth="1"/>
    <col min="11272" max="11272" width="19.28515625" style="483" bestFit="1" customWidth="1"/>
    <col min="11273" max="11273" width="18" style="483" bestFit="1" customWidth="1"/>
    <col min="11274" max="11274" width="16.28515625" style="483" bestFit="1" customWidth="1"/>
    <col min="11275" max="11275" width="16.5703125" style="483" bestFit="1" customWidth="1"/>
    <col min="11276" max="11276" width="16.42578125" style="483" bestFit="1" customWidth="1"/>
    <col min="11277" max="11277" width="15.5703125" style="483" bestFit="1" customWidth="1"/>
    <col min="11278" max="11278" width="14.85546875" style="483" bestFit="1" customWidth="1"/>
    <col min="11279" max="11279" width="16" style="483" bestFit="1" customWidth="1"/>
    <col min="11280" max="11280" width="14.85546875" style="483" bestFit="1" customWidth="1"/>
    <col min="11281" max="11281" width="16" style="483" bestFit="1" customWidth="1"/>
    <col min="11282" max="11282" width="12.7109375" style="483" bestFit="1" customWidth="1"/>
    <col min="11283" max="11283" width="14.85546875" style="483" bestFit="1" customWidth="1"/>
    <col min="11284" max="11521" width="9.140625" style="483"/>
    <col min="11522" max="11522" width="6.28515625" style="483" customWidth="1"/>
    <col min="11523" max="11523" width="4.42578125" style="483" customWidth="1"/>
    <col min="11524" max="11524" width="38.42578125" style="483" customWidth="1"/>
    <col min="11525" max="11526" width="0" style="483" hidden="1" customWidth="1"/>
    <col min="11527" max="11527" width="28.140625" style="483" customWidth="1"/>
    <col min="11528" max="11528" width="19.28515625" style="483" bestFit="1" customWidth="1"/>
    <col min="11529" max="11529" width="18" style="483" bestFit="1" customWidth="1"/>
    <col min="11530" max="11530" width="16.28515625" style="483" bestFit="1" customWidth="1"/>
    <col min="11531" max="11531" width="16.5703125" style="483" bestFit="1" customWidth="1"/>
    <col min="11532" max="11532" width="16.42578125" style="483" bestFit="1" customWidth="1"/>
    <col min="11533" max="11533" width="15.5703125" style="483" bestFit="1" customWidth="1"/>
    <col min="11534" max="11534" width="14.85546875" style="483" bestFit="1" customWidth="1"/>
    <col min="11535" max="11535" width="16" style="483" bestFit="1" customWidth="1"/>
    <col min="11536" max="11536" width="14.85546875" style="483" bestFit="1" customWidth="1"/>
    <col min="11537" max="11537" width="16" style="483" bestFit="1" customWidth="1"/>
    <col min="11538" max="11538" width="12.7109375" style="483" bestFit="1" customWidth="1"/>
    <col min="11539" max="11539" width="14.85546875" style="483" bestFit="1" customWidth="1"/>
    <col min="11540" max="11777" width="9.140625" style="483"/>
    <col min="11778" max="11778" width="6.28515625" style="483" customWidth="1"/>
    <col min="11779" max="11779" width="4.42578125" style="483" customWidth="1"/>
    <col min="11780" max="11780" width="38.42578125" style="483" customWidth="1"/>
    <col min="11781" max="11782" width="0" style="483" hidden="1" customWidth="1"/>
    <col min="11783" max="11783" width="28.140625" style="483" customWidth="1"/>
    <col min="11784" max="11784" width="19.28515625" style="483" bestFit="1" customWidth="1"/>
    <col min="11785" max="11785" width="18" style="483" bestFit="1" customWidth="1"/>
    <col min="11786" max="11786" width="16.28515625" style="483" bestFit="1" customWidth="1"/>
    <col min="11787" max="11787" width="16.5703125" style="483" bestFit="1" customWidth="1"/>
    <col min="11788" max="11788" width="16.42578125" style="483" bestFit="1" customWidth="1"/>
    <col min="11789" max="11789" width="15.5703125" style="483" bestFit="1" customWidth="1"/>
    <col min="11790" max="11790" width="14.85546875" style="483" bestFit="1" customWidth="1"/>
    <col min="11791" max="11791" width="16" style="483" bestFit="1" customWidth="1"/>
    <col min="11792" max="11792" width="14.85546875" style="483" bestFit="1" customWidth="1"/>
    <col min="11793" max="11793" width="16" style="483" bestFit="1" customWidth="1"/>
    <col min="11794" max="11794" width="12.7109375" style="483" bestFit="1" customWidth="1"/>
    <col min="11795" max="11795" width="14.85546875" style="483" bestFit="1" customWidth="1"/>
    <col min="11796" max="12033" width="9.140625" style="483"/>
    <col min="12034" max="12034" width="6.28515625" style="483" customWidth="1"/>
    <col min="12035" max="12035" width="4.42578125" style="483" customWidth="1"/>
    <col min="12036" max="12036" width="38.42578125" style="483" customWidth="1"/>
    <col min="12037" max="12038" width="0" style="483" hidden="1" customWidth="1"/>
    <col min="12039" max="12039" width="28.140625" style="483" customWidth="1"/>
    <col min="12040" max="12040" width="19.28515625" style="483" bestFit="1" customWidth="1"/>
    <col min="12041" max="12041" width="18" style="483" bestFit="1" customWidth="1"/>
    <col min="12042" max="12042" width="16.28515625" style="483" bestFit="1" customWidth="1"/>
    <col min="12043" max="12043" width="16.5703125" style="483" bestFit="1" customWidth="1"/>
    <col min="12044" max="12044" width="16.42578125" style="483" bestFit="1" customWidth="1"/>
    <col min="12045" max="12045" width="15.5703125" style="483" bestFit="1" customWidth="1"/>
    <col min="12046" max="12046" width="14.85546875" style="483" bestFit="1" customWidth="1"/>
    <col min="12047" max="12047" width="16" style="483" bestFit="1" customWidth="1"/>
    <col min="12048" max="12048" width="14.85546875" style="483" bestFit="1" customWidth="1"/>
    <col min="12049" max="12049" width="16" style="483" bestFit="1" customWidth="1"/>
    <col min="12050" max="12050" width="12.7109375" style="483" bestFit="1" customWidth="1"/>
    <col min="12051" max="12051" width="14.85546875" style="483" bestFit="1" customWidth="1"/>
    <col min="12052" max="12289" width="9.140625" style="483"/>
    <col min="12290" max="12290" width="6.28515625" style="483" customWidth="1"/>
    <col min="12291" max="12291" width="4.42578125" style="483" customWidth="1"/>
    <col min="12292" max="12292" width="38.42578125" style="483" customWidth="1"/>
    <col min="12293" max="12294" width="0" style="483" hidden="1" customWidth="1"/>
    <col min="12295" max="12295" width="28.140625" style="483" customWidth="1"/>
    <col min="12296" max="12296" width="19.28515625" style="483" bestFit="1" customWidth="1"/>
    <col min="12297" max="12297" width="18" style="483" bestFit="1" customWidth="1"/>
    <col min="12298" max="12298" width="16.28515625" style="483" bestFit="1" customWidth="1"/>
    <col min="12299" max="12299" width="16.5703125" style="483" bestFit="1" customWidth="1"/>
    <col min="12300" max="12300" width="16.42578125" style="483" bestFit="1" customWidth="1"/>
    <col min="12301" max="12301" width="15.5703125" style="483" bestFit="1" customWidth="1"/>
    <col min="12302" max="12302" width="14.85546875" style="483" bestFit="1" customWidth="1"/>
    <col min="12303" max="12303" width="16" style="483" bestFit="1" customWidth="1"/>
    <col min="12304" max="12304" width="14.85546875" style="483" bestFit="1" customWidth="1"/>
    <col min="12305" max="12305" width="16" style="483" bestFit="1" customWidth="1"/>
    <col min="12306" max="12306" width="12.7109375" style="483" bestFit="1" customWidth="1"/>
    <col min="12307" max="12307" width="14.85546875" style="483" bestFit="1" customWidth="1"/>
    <col min="12308" max="12545" width="9.140625" style="483"/>
    <col min="12546" max="12546" width="6.28515625" style="483" customWidth="1"/>
    <col min="12547" max="12547" width="4.42578125" style="483" customWidth="1"/>
    <col min="12548" max="12548" width="38.42578125" style="483" customWidth="1"/>
    <col min="12549" max="12550" width="0" style="483" hidden="1" customWidth="1"/>
    <col min="12551" max="12551" width="28.140625" style="483" customWidth="1"/>
    <col min="12552" max="12552" width="19.28515625" style="483" bestFit="1" customWidth="1"/>
    <col min="12553" max="12553" width="18" style="483" bestFit="1" customWidth="1"/>
    <col min="12554" max="12554" width="16.28515625" style="483" bestFit="1" customWidth="1"/>
    <col min="12555" max="12555" width="16.5703125" style="483" bestFit="1" customWidth="1"/>
    <col min="12556" max="12556" width="16.42578125" style="483" bestFit="1" customWidth="1"/>
    <col min="12557" max="12557" width="15.5703125" style="483" bestFit="1" customWidth="1"/>
    <col min="12558" max="12558" width="14.85546875" style="483" bestFit="1" customWidth="1"/>
    <col min="12559" max="12559" width="16" style="483" bestFit="1" customWidth="1"/>
    <col min="12560" max="12560" width="14.85546875" style="483" bestFit="1" customWidth="1"/>
    <col min="12561" max="12561" width="16" style="483" bestFit="1" customWidth="1"/>
    <col min="12562" max="12562" width="12.7109375" style="483" bestFit="1" customWidth="1"/>
    <col min="12563" max="12563" width="14.85546875" style="483" bestFit="1" customWidth="1"/>
    <col min="12564" max="12801" width="9.140625" style="483"/>
    <col min="12802" max="12802" width="6.28515625" style="483" customWidth="1"/>
    <col min="12803" max="12803" width="4.42578125" style="483" customWidth="1"/>
    <col min="12804" max="12804" width="38.42578125" style="483" customWidth="1"/>
    <col min="12805" max="12806" width="0" style="483" hidden="1" customWidth="1"/>
    <col min="12807" max="12807" width="28.140625" style="483" customWidth="1"/>
    <col min="12808" max="12808" width="19.28515625" style="483" bestFit="1" customWidth="1"/>
    <col min="12809" max="12809" width="18" style="483" bestFit="1" customWidth="1"/>
    <col min="12810" max="12810" width="16.28515625" style="483" bestFit="1" customWidth="1"/>
    <col min="12811" max="12811" width="16.5703125" style="483" bestFit="1" customWidth="1"/>
    <col min="12812" max="12812" width="16.42578125" style="483" bestFit="1" customWidth="1"/>
    <col min="12813" max="12813" width="15.5703125" style="483" bestFit="1" customWidth="1"/>
    <col min="12814" max="12814" width="14.85546875" style="483" bestFit="1" customWidth="1"/>
    <col min="12815" max="12815" width="16" style="483" bestFit="1" customWidth="1"/>
    <col min="12816" max="12816" width="14.85546875" style="483" bestFit="1" customWidth="1"/>
    <col min="12817" max="12817" width="16" style="483" bestFit="1" customWidth="1"/>
    <col min="12818" max="12818" width="12.7109375" style="483" bestFit="1" customWidth="1"/>
    <col min="12819" max="12819" width="14.85546875" style="483" bestFit="1" customWidth="1"/>
    <col min="12820" max="13057" width="9.140625" style="483"/>
    <col min="13058" max="13058" width="6.28515625" style="483" customWidth="1"/>
    <col min="13059" max="13059" width="4.42578125" style="483" customWidth="1"/>
    <col min="13060" max="13060" width="38.42578125" style="483" customWidth="1"/>
    <col min="13061" max="13062" width="0" style="483" hidden="1" customWidth="1"/>
    <col min="13063" max="13063" width="28.140625" style="483" customWidth="1"/>
    <col min="13064" max="13064" width="19.28515625" style="483" bestFit="1" customWidth="1"/>
    <col min="13065" max="13065" width="18" style="483" bestFit="1" customWidth="1"/>
    <col min="13066" max="13066" width="16.28515625" style="483" bestFit="1" customWidth="1"/>
    <col min="13067" max="13067" width="16.5703125" style="483" bestFit="1" customWidth="1"/>
    <col min="13068" max="13068" width="16.42578125" style="483" bestFit="1" customWidth="1"/>
    <col min="13069" max="13069" width="15.5703125" style="483" bestFit="1" customWidth="1"/>
    <col min="13070" max="13070" width="14.85546875" style="483" bestFit="1" customWidth="1"/>
    <col min="13071" max="13071" width="16" style="483" bestFit="1" customWidth="1"/>
    <col min="13072" max="13072" width="14.85546875" style="483" bestFit="1" customWidth="1"/>
    <col min="13073" max="13073" width="16" style="483" bestFit="1" customWidth="1"/>
    <col min="13074" max="13074" width="12.7109375" style="483" bestFit="1" customWidth="1"/>
    <col min="13075" max="13075" width="14.85546875" style="483" bestFit="1" customWidth="1"/>
    <col min="13076" max="13313" width="9.140625" style="483"/>
    <col min="13314" max="13314" width="6.28515625" style="483" customWidth="1"/>
    <col min="13315" max="13315" width="4.42578125" style="483" customWidth="1"/>
    <col min="13316" max="13316" width="38.42578125" style="483" customWidth="1"/>
    <col min="13317" max="13318" width="0" style="483" hidden="1" customWidth="1"/>
    <col min="13319" max="13319" width="28.140625" style="483" customWidth="1"/>
    <col min="13320" max="13320" width="19.28515625" style="483" bestFit="1" customWidth="1"/>
    <col min="13321" max="13321" width="18" style="483" bestFit="1" customWidth="1"/>
    <col min="13322" max="13322" width="16.28515625" style="483" bestFit="1" customWidth="1"/>
    <col min="13323" max="13323" width="16.5703125" style="483" bestFit="1" customWidth="1"/>
    <col min="13324" max="13324" width="16.42578125" style="483" bestFit="1" customWidth="1"/>
    <col min="13325" max="13325" width="15.5703125" style="483" bestFit="1" customWidth="1"/>
    <col min="13326" max="13326" width="14.85546875" style="483" bestFit="1" customWidth="1"/>
    <col min="13327" max="13327" width="16" style="483" bestFit="1" customWidth="1"/>
    <col min="13328" max="13328" width="14.85546875" style="483" bestFit="1" customWidth="1"/>
    <col min="13329" max="13329" width="16" style="483" bestFit="1" customWidth="1"/>
    <col min="13330" max="13330" width="12.7109375" style="483" bestFit="1" customWidth="1"/>
    <col min="13331" max="13331" width="14.85546875" style="483" bestFit="1" customWidth="1"/>
    <col min="13332" max="13569" width="9.140625" style="483"/>
    <col min="13570" max="13570" width="6.28515625" style="483" customWidth="1"/>
    <col min="13571" max="13571" width="4.42578125" style="483" customWidth="1"/>
    <col min="13572" max="13572" width="38.42578125" style="483" customWidth="1"/>
    <col min="13573" max="13574" width="0" style="483" hidden="1" customWidth="1"/>
    <col min="13575" max="13575" width="28.140625" style="483" customWidth="1"/>
    <col min="13576" max="13576" width="19.28515625" style="483" bestFit="1" customWidth="1"/>
    <col min="13577" max="13577" width="18" style="483" bestFit="1" customWidth="1"/>
    <col min="13578" max="13578" width="16.28515625" style="483" bestFit="1" customWidth="1"/>
    <col min="13579" max="13579" width="16.5703125" style="483" bestFit="1" customWidth="1"/>
    <col min="13580" max="13580" width="16.42578125" style="483" bestFit="1" customWidth="1"/>
    <col min="13581" max="13581" width="15.5703125" style="483" bestFit="1" customWidth="1"/>
    <col min="13582" max="13582" width="14.85546875" style="483" bestFit="1" customWidth="1"/>
    <col min="13583" max="13583" width="16" style="483" bestFit="1" customWidth="1"/>
    <col min="13584" max="13584" width="14.85546875" style="483" bestFit="1" customWidth="1"/>
    <col min="13585" max="13585" width="16" style="483" bestFit="1" customWidth="1"/>
    <col min="13586" max="13586" width="12.7109375" style="483" bestFit="1" customWidth="1"/>
    <col min="13587" max="13587" width="14.85546875" style="483" bestFit="1" customWidth="1"/>
    <col min="13588" max="13825" width="9.140625" style="483"/>
    <col min="13826" max="13826" width="6.28515625" style="483" customWidth="1"/>
    <col min="13827" max="13827" width="4.42578125" style="483" customWidth="1"/>
    <col min="13828" max="13828" width="38.42578125" style="483" customWidth="1"/>
    <col min="13829" max="13830" width="0" style="483" hidden="1" customWidth="1"/>
    <col min="13831" max="13831" width="28.140625" style="483" customWidth="1"/>
    <col min="13832" max="13832" width="19.28515625" style="483" bestFit="1" customWidth="1"/>
    <col min="13833" max="13833" width="18" style="483" bestFit="1" customWidth="1"/>
    <col min="13834" max="13834" width="16.28515625" style="483" bestFit="1" customWidth="1"/>
    <col min="13835" max="13835" width="16.5703125" style="483" bestFit="1" customWidth="1"/>
    <col min="13836" max="13836" width="16.42578125" style="483" bestFit="1" customWidth="1"/>
    <col min="13837" max="13837" width="15.5703125" style="483" bestFit="1" customWidth="1"/>
    <col min="13838" max="13838" width="14.85546875" style="483" bestFit="1" customWidth="1"/>
    <col min="13839" max="13839" width="16" style="483" bestFit="1" customWidth="1"/>
    <col min="13840" max="13840" width="14.85546875" style="483" bestFit="1" customWidth="1"/>
    <col min="13841" max="13841" width="16" style="483" bestFit="1" customWidth="1"/>
    <col min="13842" max="13842" width="12.7109375" style="483" bestFit="1" customWidth="1"/>
    <col min="13843" max="13843" width="14.85546875" style="483" bestFit="1" customWidth="1"/>
    <col min="13844" max="14081" width="9.140625" style="483"/>
    <col min="14082" max="14082" width="6.28515625" style="483" customWidth="1"/>
    <col min="14083" max="14083" width="4.42578125" style="483" customWidth="1"/>
    <col min="14084" max="14084" width="38.42578125" style="483" customWidth="1"/>
    <col min="14085" max="14086" width="0" style="483" hidden="1" customWidth="1"/>
    <col min="14087" max="14087" width="28.140625" style="483" customWidth="1"/>
    <col min="14088" max="14088" width="19.28515625" style="483" bestFit="1" customWidth="1"/>
    <col min="14089" max="14089" width="18" style="483" bestFit="1" customWidth="1"/>
    <col min="14090" max="14090" width="16.28515625" style="483" bestFit="1" customWidth="1"/>
    <col min="14091" max="14091" width="16.5703125" style="483" bestFit="1" customWidth="1"/>
    <col min="14092" max="14092" width="16.42578125" style="483" bestFit="1" customWidth="1"/>
    <col min="14093" max="14093" width="15.5703125" style="483" bestFit="1" customWidth="1"/>
    <col min="14094" max="14094" width="14.85546875" style="483" bestFit="1" customWidth="1"/>
    <col min="14095" max="14095" width="16" style="483" bestFit="1" customWidth="1"/>
    <col min="14096" max="14096" width="14.85546875" style="483" bestFit="1" customWidth="1"/>
    <col min="14097" max="14097" width="16" style="483" bestFit="1" customWidth="1"/>
    <col min="14098" max="14098" width="12.7109375" style="483" bestFit="1" customWidth="1"/>
    <col min="14099" max="14099" width="14.85546875" style="483" bestFit="1" customWidth="1"/>
    <col min="14100" max="14337" width="9.140625" style="483"/>
    <col min="14338" max="14338" width="6.28515625" style="483" customWidth="1"/>
    <col min="14339" max="14339" width="4.42578125" style="483" customWidth="1"/>
    <col min="14340" max="14340" width="38.42578125" style="483" customWidth="1"/>
    <col min="14341" max="14342" width="0" style="483" hidden="1" customWidth="1"/>
    <col min="14343" max="14343" width="28.140625" style="483" customWidth="1"/>
    <col min="14344" max="14344" width="19.28515625" style="483" bestFit="1" customWidth="1"/>
    <col min="14345" max="14345" width="18" style="483" bestFit="1" customWidth="1"/>
    <col min="14346" max="14346" width="16.28515625" style="483" bestFit="1" customWidth="1"/>
    <col min="14347" max="14347" width="16.5703125" style="483" bestFit="1" customWidth="1"/>
    <col min="14348" max="14348" width="16.42578125" style="483" bestFit="1" customWidth="1"/>
    <col min="14349" max="14349" width="15.5703125" style="483" bestFit="1" customWidth="1"/>
    <col min="14350" max="14350" width="14.85546875" style="483" bestFit="1" customWidth="1"/>
    <col min="14351" max="14351" width="16" style="483" bestFit="1" customWidth="1"/>
    <col min="14352" max="14352" width="14.85546875" style="483" bestFit="1" customWidth="1"/>
    <col min="14353" max="14353" width="16" style="483" bestFit="1" customWidth="1"/>
    <col min="14354" max="14354" width="12.7109375" style="483" bestFit="1" customWidth="1"/>
    <col min="14355" max="14355" width="14.85546875" style="483" bestFit="1" customWidth="1"/>
    <col min="14356" max="14593" width="9.140625" style="483"/>
    <col min="14594" max="14594" width="6.28515625" style="483" customWidth="1"/>
    <col min="14595" max="14595" width="4.42578125" style="483" customWidth="1"/>
    <col min="14596" max="14596" width="38.42578125" style="483" customWidth="1"/>
    <col min="14597" max="14598" width="0" style="483" hidden="1" customWidth="1"/>
    <col min="14599" max="14599" width="28.140625" style="483" customWidth="1"/>
    <col min="14600" max="14600" width="19.28515625" style="483" bestFit="1" customWidth="1"/>
    <col min="14601" max="14601" width="18" style="483" bestFit="1" customWidth="1"/>
    <col min="14602" max="14602" width="16.28515625" style="483" bestFit="1" customWidth="1"/>
    <col min="14603" max="14603" width="16.5703125" style="483" bestFit="1" customWidth="1"/>
    <col min="14604" max="14604" width="16.42578125" style="483" bestFit="1" customWidth="1"/>
    <col min="14605" max="14605" width="15.5703125" style="483" bestFit="1" customWidth="1"/>
    <col min="14606" max="14606" width="14.85546875" style="483" bestFit="1" customWidth="1"/>
    <col min="14607" max="14607" width="16" style="483" bestFit="1" customWidth="1"/>
    <col min="14608" max="14608" width="14.85546875" style="483" bestFit="1" customWidth="1"/>
    <col min="14609" max="14609" width="16" style="483" bestFit="1" customWidth="1"/>
    <col min="14610" max="14610" width="12.7109375" style="483" bestFit="1" customWidth="1"/>
    <col min="14611" max="14611" width="14.85546875" style="483" bestFit="1" customWidth="1"/>
    <col min="14612" max="14849" width="9.140625" style="483"/>
    <col min="14850" max="14850" width="6.28515625" style="483" customWidth="1"/>
    <col min="14851" max="14851" width="4.42578125" style="483" customWidth="1"/>
    <col min="14852" max="14852" width="38.42578125" style="483" customWidth="1"/>
    <col min="14853" max="14854" width="0" style="483" hidden="1" customWidth="1"/>
    <col min="14855" max="14855" width="28.140625" style="483" customWidth="1"/>
    <col min="14856" max="14856" width="19.28515625" style="483" bestFit="1" customWidth="1"/>
    <col min="14857" max="14857" width="18" style="483" bestFit="1" customWidth="1"/>
    <col min="14858" max="14858" width="16.28515625" style="483" bestFit="1" customWidth="1"/>
    <col min="14859" max="14859" width="16.5703125" style="483" bestFit="1" customWidth="1"/>
    <col min="14860" max="14860" width="16.42578125" style="483" bestFit="1" customWidth="1"/>
    <col min="14861" max="14861" width="15.5703125" style="483" bestFit="1" customWidth="1"/>
    <col min="14862" max="14862" width="14.85546875" style="483" bestFit="1" customWidth="1"/>
    <col min="14863" max="14863" width="16" style="483" bestFit="1" customWidth="1"/>
    <col min="14864" max="14864" width="14.85546875" style="483" bestFit="1" customWidth="1"/>
    <col min="14865" max="14865" width="16" style="483" bestFit="1" customWidth="1"/>
    <col min="14866" max="14866" width="12.7109375" style="483" bestFit="1" customWidth="1"/>
    <col min="14867" max="14867" width="14.85546875" style="483" bestFit="1" customWidth="1"/>
    <col min="14868" max="15105" width="9.140625" style="483"/>
    <col min="15106" max="15106" width="6.28515625" style="483" customWidth="1"/>
    <col min="15107" max="15107" width="4.42578125" style="483" customWidth="1"/>
    <col min="15108" max="15108" width="38.42578125" style="483" customWidth="1"/>
    <col min="15109" max="15110" width="0" style="483" hidden="1" customWidth="1"/>
    <col min="15111" max="15111" width="28.140625" style="483" customWidth="1"/>
    <col min="15112" max="15112" width="19.28515625" style="483" bestFit="1" customWidth="1"/>
    <col min="15113" max="15113" width="18" style="483" bestFit="1" customWidth="1"/>
    <col min="15114" max="15114" width="16.28515625" style="483" bestFit="1" customWidth="1"/>
    <col min="15115" max="15115" width="16.5703125" style="483" bestFit="1" customWidth="1"/>
    <col min="15116" max="15116" width="16.42578125" style="483" bestFit="1" customWidth="1"/>
    <col min="15117" max="15117" width="15.5703125" style="483" bestFit="1" customWidth="1"/>
    <col min="15118" max="15118" width="14.85546875" style="483" bestFit="1" customWidth="1"/>
    <col min="15119" max="15119" width="16" style="483" bestFit="1" customWidth="1"/>
    <col min="15120" max="15120" width="14.85546875" style="483" bestFit="1" customWidth="1"/>
    <col min="15121" max="15121" width="16" style="483" bestFit="1" customWidth="1"/>
    <col min="15122" max="15122" width="12.7109375" style="483" bestFit="1" customWidth="1"/>
    <col min="15123" max="15123" width="14.85546875" style="483" bestFit="1" customWidth="1"/>
    <col min="15124" max="15361" width="9.140625" style="483"/>
    <col min="15362" max="15362" width="6.28515625" style="483" customWidth="1"/>
    <col min="15363" max="15363" width="4.42578125" style="483" customWidth="1"/>
    <col min="15364" max="15364" width="38.42578125" style="483" customWidth="1"/>
    <col min="15365" max="15366" width="0" style="483" hidden="1" customWidth="1"/>
    <col min="15367" max="15367" width="28.140625" style="483" customWidth="1"/>
    <col min="15368" max="15368" width="19.28515625" style="483" bestFit="1" customWidth="1"/>
    <col min="15369" max="15369" width="18" style="483" bestFit="1" customWidth="1"/>
    <col min="15370" max="15370" width="16.28515625" style="483" bestFit="1" customWidth="1"/>
    <col min="15371" max="15371" width="16.5703125" style="483" bestFit="1" customWidth="1"/>
    <col min="15372" max="15372" width="16.42578125" style="483" bestFit="1" customWidth="1"/>
    <col min="15373" max="15373" width="15.5703125" style="483" bestFit="1" customWidth="1"/>
    <col min="15374" max="15374" width="14.85546875" style="483" bestFit="1" customWidth="1"/>
    <col min="15375" max="15375" width="16" style="483" bestFit="1" customWidth="1"/>
    <col min="15376" max="15376" width="14.85546875" style="483" bestFit="1" customWidth="1"/>
    <col min="15377" max="15377" width="16" style="483" bestFit="1" customWidth="1"/>
    <col min="15378" max="15378" width="12.7109375" style="483" bestFit="1" customWidth="1"/>
    <col min="15379" max="15379" width="14.85546875" style="483" bestFit="1" customWidth="1"/>
    <col min="15380" max="15617" width="9.140625" style="483"/>
    <col min="15618" max="15618" width="6.28515625" style="483" customWidth="1"/>
    <col min="15619" max="15619" width="4.42578125" style="483" customWidth="1"/>
    <col min="15620" max="15620" width="38.42578125" style="483" customWidth="1"/>
    <col min="15621" max="15622" width="0" style="483" hidden="1" customWidth="1"/>
    <col min="15623" max="15623" width="28.140625" style="483" customWidth="1"/>
    <col min="15624" max="15624" width="19.28515625" style="483" bestFit="1" customWidth="1"/>
    <col min="15625" max="15625" width="18" style="483" bestFit="1" customWidth="1"/>
    <col min="15626" max="15626" width="16.28515625" style="483" bestFit="1" customWidth="1"/>
    <col min="15627" max="15627" width="16.5703125" style="483" bestFit="1" customWidth="1"/>
    <col min="15628" max="15628" width="16.42578125" style="483" bestFit="1" customWidth="1"/>
    <col min="15629" max="15629" width="15.5703125" style="483" bestFit="1" customWidth="1"/>
    <col min="15630" max="15630" width="14.85546875" style="483" bestFit="1" customWidth="1"/>
    <col min="15631" max="15631" width="16" style="483" bestFit="1" customWidth="1"/>
    <col min="15632" max="15632" width="14.85546875" style="483" bestFit="1" customWidth="1"/>
    <col min="15633" max="15633" width="16" style="483" bestFit="1" customWidth="1"/>
    <col min="15634" max="15634" width="12.7109375" style="483" bestFit="1" customWidth="1"/>
    <col min="15635" max="15635" width="14.85546875" style="483" bestFit="1" customWidth="1"/>
    <col min="15636" max="15873" width="9.140625" style="483"/>
    <col min="15874" max="15874" width="6.28515625" style="483" customWidth="1"/>
    <col min="15875" max="15875" width="4.42578125" style="483" customWidth="1"/>
    <col min="15876" max="15876" width="38.42578125" style="483" customWidth="1"/>
    <col min="15877" max="15878" width="0" style="483" hidden="1" customWidth="1"/>
    <col min="15879" max="15879" width="28.140625" style="483" customWidth="1"/>
    <col min="15880" max="15880" width="19.28515625" style="483" bestFit="1" customWidth="1"/>
    <col min="15881" max="15881" width="18" style="483" bestFit="1" customWidth="1"/>
    <col min="15882" max="15882" width="16.28515625" style="483" bestFit="1" customWidth="1"/>
    <col min="15883" max="15883" width="16.5703125" style="483" bestFit="1" customWidth="1"/>
    <col min="15884" max="15884" width="16.42578125" style="483" bestFit="1" customWidth="1"/>
    <col min="15885" max="15885" width="15.5703125" style="483" bestFit="1" customWidth="1"/>
    <col min="15886" max="15886" width="14.85546875" style="483" bestFit="1" customWidth="1"/>
    <col min="15887" max="15887" width="16" style="483" bestFit="1" customWidth="1"/>
    <col min="15888" max="15888" width="14.85546875" style="483" bestFit="1" customWidth="1"/>
    <col min="15889" max="15889" width="16" style="483" bestFit="1" customWidth="1"/>
    <col min="15890" max="15890" width="12.7109375" style="483" bestFit="1" customWidth="1"/>
    <col min="15891" max="15891" width="14.85546875" style="483" bestFit="1" customWidth="1"/>
    <col min="15892" max="16129" width="9.140625" style="483"/>
    <col min="16130" max="16130" width="6.28515625" style="483" customWidth="1"/>
    <col min="16131" max="16131" width="4.42578125" style="483" customWidth="1"/>
    <col min="16132" max="16132" width="38.42578125" style="483" customWidth="1"/>
    <col min="16133" max="16134" width="0" style="483" hidden="1" customWidth="1"/>
    <col min="16135" max="16135" width="28.140625" style="483" customWidth="1"/>
    <col min="16136" max="16136" width="19.28515625" style="483" bestFit="1" customWidth="1"/>
    <col min="16137" max="16137" width="18" style="483" bestFit="1" customWidth="1"/>
    <col min="16138" max="16138" width="16.28515625" style="483" bestFit="1" customWidth="1"/>
    <col min="16139" max="16139" width="16.5703125" style="483" bestFit="1" customWidth="1"/>
    <col min="16140" max="16140" width="16.42578125" style="483" bestFit="1" customWidth="1"/>
    <col min="16141" max="16141" width="15.5703125" style="483" bestFit="1" customWidth="1"/>
    <col min="16142" max="16142" width="14.85546875" style="483" bestFit="1" customWidth="1"/>
    <col min="16143" max="16143" width="16" style="483" bestFit="1" customWidth="1"/>
    <col min="16144" max="16144" width="14.85546875" style="483" bestFit="1" customWidth="1"/>
    <col min="16145" max="16145" width="16" style="483" bestFit="1" customWidth="1"/>
    <col min="16146" max="16146" width="12.7109375" style="483" bestFit="1" customWidth="1"/>
    <col min="16147" max="16147" width="14.85546875" style="483" bestFit="1" customWidth="1"/>
    <col min="16148" max="16384" width="9.140625" style="483"/>
  </cols>
  <sheetData>
    <row r="1" spans="1:15" ht="20.25">
      <c r="G1" s="484" t="s">
        <v>1011</v>
      </c>
      <c r="H1" s="484"/>
      <c r="I1" s="484"/>
    </row>
    <row r="4" spans="1:15" ht="38.25">
      <c r="A4" s="485"/>
      <c r="B4" s="486" t="s">
        <v>181</v>
      </c>
      <c r="C4" s="487"/>
      <c r="D4" s="488"/>
      <c r="E4" s="485"/>
      <c r="F4" s="485"/>
      <c r="G4" s="489" t="s">
        <v>9</v>
      </c>
      <c r="H4" s="489" t="s">
        <v>37</v>
      </c>
      <c r="I4" s="489" t="s">
        <v>29</v>
      </c>
      <c r="J4" s="489" t="s">
        <v>30</v>
      </c>
      <c r="K4" s="489" t="s">
        <v>281</v>
      </c>
      <c r="L4" s="490" t="s">
        <v>913</v>
      </c>
      <c r="M4" s="489" t="s">
        <v>914</v>
      </c>
    </row>
    <row r="5" spans="1:15">
      <c r="A5" s="491" t="s">
        <v>184</v>
      </c>
      <c r="C5" s="492" t="s">
        <v>182</v>
      </c>
      <c r="L5" s="493"/>
    </row>
    <row r="6" spans="1:15">
      <c r="A6" s="491" t="s">
        <v>185</v>
      </c>
      <c r="C6" s="483" t="s">
        <v>183</v>
      </c>
      <c r="G6" s="494">
        <f>SUM('#64-Levindale:#5034-Mt. Washington Pediatric'!F18)</f>
        <v>0</v>
      </c>
      <c r="H6" s="494">
        <f>SUM('#64-Levindale:#5034-Mt. Washington Pediatric'!G18)</f>
        <v>0</v>
      </c>
      <c r="I6" s="534">
        <f>SUM('#64-Levindale:#5034-Mt. Washington Pediatric'!H18)</f>
        <v>0</v>
      </c>
      <c r="J6" s="534">
        <f>SUM('#64-Levindale:#5034-Mt. Washington Pediatric'!I18)</f>
        <v>0</v>
      </c>
      <c r="K6" s="534">
        <f>SUM('#64-Levindale:#5034-Mt. Washington Pediatric'!J18)</f>
        <v>0</v>
      </c>
      <c r="L6" s="534">
        <f>SUM('#64-Levindale:#5034-Mt. Washington Pediatric'!K18)</f>
        <v>0</v>
      </c>
      <c r="M6" s="534">
        <f>L6-J6</f>
        <v>0</v>
      </c>
      <c r="N6" s="493"/>
      <c r="O6" s="493"/>
    </row>
    <row r="7" spans="1:15" ht="38.25">
      <c r="A7" s="485" t="s">
        <v>8</v>
      </c>
      <c r="B7" s="485"/>
      <c r="C7" s="488"/>
      <c r="D7" s="488"/>
      <c r="E7" s="488"/>
      <c r="F7" s="488"/>
      <c r="G7" s="489" t="s">
        <v>9</v>
      </c>
      <c r="H7" s="489" t="s">
        <v>37</v>
      </c>
      <c r="I7" s="489" t="s">
        <v>915</v>
      </c>
      <c r="J7" s="489" t="s">
        <v>916</v>
      </c>
      <c r="K7" s="490" t="s">
        <v>281</v>
      </c>
      <c r="L7" s="495" t="s">
        <v>913</v>
      </c>
      <c r="M7" s="489" t="s">
        <v>914</v>
      </c>
      <c r="N7" s="493"/>
      <c r="O7" s="493"/>
    </row>
    <row r="8" spans="1:15">
      <c r="A8" s="486" t="s">
        <v>74</v>
      </c>
      <c r="B8" s="492" t="s">
        <v>41</v>
      </c>
      <c r="K8" s="496"/>
      <c r="L8" s="497"/>
      <c r="N8" s="493"/>
      <c r="O8" s="493"/>
    </row>
    <row r="9" spans="1:15">
      <c r="A9" s="498" t="s">
        <v>75</v>
      </c>
      <c r="B9" s="483" t="s">
        <v>42</v>
      </c>
      <c r="G9" s="494">
        <f>SUM('#64-Levindale:#5034-Mt. Washington Pediatric'!F21)</f>
        <v>1656</v>
      </c>
      <c r="H9" s="494">
        <f>SUM('#64-Levindale:#5034-Mt. Washington Pediatric'!G21)</f>
        <v>75194</v>
      </c>
      <c r="I9" s="534">
        <f>SUM('#64-Levindale:#5034-Mt. Washington Pediatric'!H21)</f>
        <v>220736.72523812644</v>
      </c>
      <c r="J9" s="534">
        <f>SUM('#64-Levindale:#5034-Mt. Washington Pediatric'!I21)</f>
        <v>194836.69504308954</v>
      </c>
      <c r="K9" s="534">
        <f>SUM('#64-Levindale:#5034-Mt. Washington Pediatric'!J21)</f>
        <v>12433.34106585</v>
      </c>
      <c r="L9" s="534">
        <f>SUM('#64-Levindale:#5034-Mt. Washington Pediatric'!K21)</f>
        <v>403140.07921536593</v>
      </c>
      <c r="M9" s="534">
        <f>L9-J9</f>
        <v>208303.38417227639</v>
      </c>
      <c r="N9" s="493"/>
      <c r="O9" s="493"/>
    </row>
    <row r="10" spans="1:15">
      <c r="A10" s="498" t="s">
        <v>76</v>
      </c>
      <c r="B10" s="483" t="s">
        <v>6</v>
      </c>
      <c r="G10" s="494">
        <f>SUM('#64-Levindale:#5034-Mt. Washington Pediatric'!F22)</f>
        <v>64</v>
      </c>
      <c r="H10" s="494">
        <f>SUM('#64-Levindale:#5034-Mt. Washington Pediatric'!G22)</f>
        <v>171</v>
      </c>
      <c r="I10" s="534">
        <f>SUM('#64-Levindale:#5034-Mt. Washington Pediatric'!H22)</f>
        <v>9445.1402521500004</v>
      </c>
      <c r="J10" s="534">
        <f>SUM('#64-Levindale:#5034-Mt. Washington Pediatric'!I22)</f>
        <v>8744.6349019913414</v>
      </c>
      <c r="K10" s="534">
        <f>SUM('#64-Levindale:#5034-Mt. Washington Pediatric'!J22)</f>
        <v>958.74674355000013</v>
      </c>
      <c r="L10" s="534">
        <f>SUM('#64-Levindale:#5034-Mt. Washington Pediatric'!K22)</f>
        <v>17231.028410591342</v>
      </c>
      <c r="M10" s="534">
        <f t="shared" ref="M10:M22" si="0">L10-J10</f>
        <v>8486.3935086000001</v>
      </c>
      <c r="N10" s="493"/>
      <c r="O10" s="493"/>
    </row>
    <row r="11" spans="1:15">
      <c r="A11" s="498" t="s">
        <v>77</v>
      </c>
      <c r="B11" s="483" t="s">
        <v>43</v>
      </c>
      <c r="G11" s="494">
        <f>SUM('#64-Levindale:#5034-Mt. Washington Pediatric'!F23)</f>
        <v>13</v>
      </c>
      <c r="H11" s="494">
        <f>SUM('#64-Levindale:#5034-Mt. Washington Pediatric'!G23)</f>
        <v>1</v>
      </c>
      <c r="I11" s="534">
        <f>SUM('#64-Levindale:#5034-Mt. Washington Pediatric'!H23)</f>
        <v>1678.8333333333333</v>
      </c>
      <c r="J11" s="534">
        <f>SUM('#64-Levindale:#5034-Mt. Washington Pediatric'!I23)</f>
        <v>839.41666666666663</v>
      </c>
      <c r="K11" s="534">
        <f>SUM('#64-Levindale:#5034-Mt. Washington Pediatric'!J23)</f>
        <v>0</v>
      </c>
      <c r="L11" s="534">
        <f>SUM('#64-Levindale:#5034-Mt. Washington Pediatric'!K23)</f>
        <v>2518.25</v>
      </c>
      <c r="M11" s="534">
        <f t="shared" si="0"/>
        <v>1678.8333333333335</v>
      </c>
      <c r="N11" s="493"/>
      <c r="O11" s="493"/>
    </row>
    <row r="12" spans="1:15">
      <c r="A12" s="498" t="s">
        <v>78</v>
      </c>
      <c r="B12" s="483" t="s">
        <v>44</v>
      </c>
      <c r="G12" s="494">
        <f>SUM('#64-Levindale:#5034-Mt. Washington Pediatric'!F24)</f>
        <v>29</v>
      </c>
      <c r="H12" s="494">
        <f>SUM('#64-Levindale:#5034-Mt. Washington Pediatric'!G24)</f>
        <v>28</v>
      </c>
      <c r="I12" s="534">
        <f>SUM('#64-Levindale:#5034-Mt. Washington Pediatric'!H24)</f>
        <v>13441.678409268254</v>
      </c>
      <c r="J12" s="534">
        <f>SUM('#64-Levindale:#5034-Mt. Washington Pediatric'!I24)</f>
        <v>14083.369098237359</v>
      </c>
      <c r="K12" s="534">
        <f>SUM('#64-Levindale:#5034-Mt. Washington Pediatric'!J24)</f>
        <v>0</v>
      </c>
      <c r="L12" s="534">
        <f>SUM('#64-Levindale:#5034-Mt. Washington Pediatric'!K24)</f>
        <v>27525.047507505613</v>
      </c>
      <c r="M12" s="534">
        <f t="shared" si="0"/>
        <v>13441.678409268254</v>
      </c>
      <c r="N12" s="493"/>
      <c r="O12" s="493"/>
    </row>
    <row r="13" spans="1:15">
      <c r="A13" s="498" t="s">
        <v>79</v>
      </c>
      <c r="B13" s="483" t="s">
        <v>5</v>
      </c>
      <c r="G13" s="494">
        <f>SUM('#64-Levindale:#5034-Mt. Washington Pediatric'!F25)</f>
        <v>0</v>
      </c>
      <c r="H13" s="494">
        <f>SUM('#64-Levindale:#5034-Mt. Washington Pediatric'!G25)</f>
        <v>0</v>
      </c>
      <c r="I13" s="534">
        <f>SUM('#64-Levindale:#5034-Mt. Washington Pediatric'!H25)</f>
        <v>32212.77293205</v>
      </c>
      <c r="J13" s="534">
        <f>SUM('#64-Levindale:#5034-Mt. Washington Pediatric'!I25)</f>
        <v>34707.167212018627</v>
      </c>
      <c r="K13" s="534">
        <f>SUM('#64-Levindale:#5034-Mt. Washington Pediatric'!J25)</f>
        <v>3443.0663871000002</v>
      </c>
      <c r="L13" s="534">
        <f>SUM('#64-Levindale:#5034-Mt. Washington Pediatric'!K25)</f>
        <v>63476.87375696862</v>
      </c>
      <c r="M13" s="534">
        <f t="shared" si="0"/>
        <v>28769.706544949993</v>
      </c>
      <c r="N13" s="493"/>
      <c r="O13" s="493"/>
    </row>
    <row r="14" spans="1:15">
      <c r="A14" s="498" t="s">
        <v>80</v>
      </c>
      <c r="B14" s="483" t="s">
        <v>45</v>
      </c>
      <c r="G14" s="494">
        <f>SUM('#64-Levindale:#5034-Mt. Washington Pediatric'!F26)</f>
        <v>0</v>
      </c>
      <c r="H14" s="494">
        <f>SUM('#64-Levindale:#5034-Mt. Washington Pediatric'!G26)</f>
        <v>0</v>
      </c>
      <c r="I14" s="534">
        <f>SUM('#64-Levindale:#5034-Mt. Washington Pediatric'!H26)</f>
        <v>0</v>
      </c>
      <c r="J14" s="534">
        <f>SUM('#64-Levindale:#5034-Mt. Washington Pediatric'!I26)</f>
        <v>0</v>
      </c>
      <c r="K14" s="534">
        <f>SUM('#64-Levindale:#5034-Mt. Washington Pediatric'!J26)</f>
        <v>0</v>
      </c>
      <c r="L14" s="534">
        <f>SUM('#64-Levindale:#5034-Mt. Washington Pediatric'!K26)</f>
        <v>0</v>
      </c>
      <c r="M14" s="534">
        <f t="shared" si="0"/>
        <v>0</v>
      </c>
      <c r="N14" s="493"/>
      <c r="O14" s="493"/>
    </row>
    <row r="15" spans="1:15">
      <c r="A15" s="498" t="s">
        <v>81</v>
      </c>
      <c r="B15" s="483" t="s">
        <v>46</v>
      </c>
      <c r="G15" s="494">
        <f>SUM('#64-Levindale:#5034-Mt. Washington Pediatric'!F27)</f>
        <v>2080</v>
      </c>
      <c r="H15" s="494">
        <f>SUM('#64-Levindale:#5034-Mt. Washington Pediatric'!G27)</f>
        <v>3490</v>
      </c>
      <c r="I15" s="534">
        <f>SUM('#64-Levindale:#5034-Mt. Washington Pediatric'!H27)</f>
        <v>42340</v>
      </c>
      <c r="J15" s="534">
        <f>SUM('#64-Levindale:#5034-Mt. Washington Pediatric'!I27)</f>
        <v>30188.42</v>
      </c>
      <c r="K15" s="534">
        <f>SUM('#64-Levindale:#5034-Mt. Washington Pediatric'!J27)</f>
        <v>81673</v>
      </c>
      <c r="L15" s="534">
        <f>SUM('#64-Levindale:#5034-Mt. Washington Pediatric'!K27)</f>
        <v>-9144.5800000000017</v>
      </c>
      <c r="M15" s="534">
        <f t="shared" si="0"/>
        <v>-39333</v>
      </c>
      <c r="N15" s="493"/>
      <c r="O15" s="493"/>
    </row>
    <row r="16" spans="1:15">
      <c r="A16" s="498" t="s">
        <v>82</v>
      </c>
      <c r="B16" s="483" t="s">
        <v>47</v>
      </c>
      <c r="G16" s="494">
        <f>SUM('#64-Levindale:#5034-Mt. Washington Pediatric'!F28)</f>
        <v>0</v>
      </c>
      <c r="H16" s="494">
        <f>SUM('#64-Levindale:#5034-Mt. Washington Pediatric'!G28)</f>
        <v>0</v>
      </c>
      <c r="I16" s="534">
        <f>SUM('#64-Levindale:#5034-Mt. Washington Pediatric'!H28)</f>
        <v>0</v>
      </c>
      <c r="J16" s="534">
        <f>SUM('#64-Levindale:#5034-Mt. Washington Pediatric'!I28)</f>
        <v>0</v>
      </c>
      <c r="K16" s="534">
        <f>SUM('#64-Levindale:#5034-Mt. Washington Pediatric'!J28)</f>
        <v>0</v>
      </c>
      <c r="L16" s="534">
        <f>SUM('#64-Levindale:#5034-Mt. Washington Pediatric'!K28)</f>
        <v>0</v>
      </c>
      <c r="M16" s="534">
        <f t="shared" si="0"/>
        <v>0</v>
      </c>
      <c r="N16" s="493"/>
      <c r="O16" s="493"/>
    </row>
    <row r="17" spans="1:15">
      <c r="A17" s="498" t="s">
        <v>83</v>
      </c>
      <c r="B17" s="483" t="s">
        <v>48</v>
      </c>
      <c r="G17" s="494">
        <f>SUM('#64-Levindale:#5034-Mt. Washington Pediatric'!F29)</f>
        <v>6681</v>
      </c>
      <c r="H17" s="494">
        <f>SUM('#64-Levindale:#5034-Mt. Washington Pediatric'!G29)</f>
        <v>12008</v>
      </c>
      <c r="I17" s="534">
        <f>SUM('#64-Levindale:#5034-Mt. Washington Pediatric'!H29)</f>
        <v>445489.62456572102</v>
      </c>
      <c r="J17" s="534">
        <f>SUM('#64-Levindale:#5034-Mt. Washington Pediatric'!I29)</f>
        <v>328983.94449658156</v>
      </c>
      <c r="K17" s="534">
        <f>SUM('#64-Levindale:#5034-Mt. Washington Pediatric'!J29)</f>
        <v>83376.890329750007</v>
      </c>
      <c r="L17" s="534">
        <f>SUM('#64-Levindale:#5034-Mt. Washington Pediatric'!K29)</f>
        <v>691096.67873255257</v>
      </c>
      <c r="M17" s="534">
        <f t="shared" si="0"/>
        <v>362112.734235971</v>
      </c>
      <c r="N17" s="493"/>
      <c r="O17" s="493"/>
    </row>
    <row r="18" spans="1:15">
      <c r="A18" s="5" t="s">
        <v>84</v>
      </c>
      <c r="B18" s="636" t="s">
        <v>367</v>
      </c>
      <c r="C18" s="637"/>
      <c r="D18" s="638"/>
      <c r="E18"/>
      <c r="F18" s="536"/>
      <c r="G18" s="494">
        <f>SUM('#64-Levindale:#5034-Mt. Washington Pediatric'!F30)</f>
        <v>0</v>
      </c>
      <c r="H18" s="494">
        <f>SUM('#64-Levindale:#5034-Mt. Washington Pediatric'!G30)</f>
        <v>0</v>
      </c>
      <c r="I18" s="534">
        <f>SUM('#64-Levindale:#5034-Mt. Washington Pediatric'!H30)</f>
        <v>5915.1157590104394</v>
      </c>
      <c r="J18" s="534">
        <f>SUM('#64-Levindale:#5034-Mt. Washington Pediatric'!I30)</f>
        <v>6388.4924839782507</v>
      </c>
      <c r="K18" s="534">
        <f>SUM('#64-Levindale:#5034-Mt. Washington Pediatric'!J30)</f>
        <v>846.60225030000015</v>
      </c>
      <c r="L18" s="534">
        <f>SUM('#64-Levindale:#5034-Mt. Washington Pediatric'!K30)</f>
        <v>11457.005992688692</v>
      </c>
      <c r="M18" s="534">
        <f t="shared" si="0"/>
        <v>5068.5135087104409</v>
      </c>
      <c r="N18" s="493"/>
      <c r="O18" s="493"/>
    </row>
    <row r="19" spans="1:15">
      <c r="A19" s="5" t="s">
        <v>133</v>
      </c>
      <c r="B19" s="636" t="s">
        <v>367</v>
      </c>
      <c r="C19" s="637"/>
      <c r="D19" s="638"/>
      <c r="E19"/>
      <c r="F19" s="536"/>
      <c r="G19" s="494">
        <f>SUM('#64-Levindale:#5034-Mt. Washington Pediatric'!F31)</f>
        <v>0</v>
      </c>
      <c r="H19" s="494">
        <f>SUM('#64-Levindale:#5034-Mt. Washington Pediatric'!G31)</f>
        <v>0</v>
      </c>
      <c r="I19" s="534">
        <f>SUM('#64-Levindale:#5034-Mt. Washington Pediatric'!H31)</f>
        <v>0</v>
      </c>
      <c r="J19" s="534">
        <f>SUM('#64-Levindale:#5034-Mt. Washington Pediatric'!I31)</f>
        <v>0</v>
      </c>
      <c r="K19" s="534">
        <f>SUM('#64-Levindale:#5034-Mt. Washington Pediatric'!J31)</f>
        <v>0</v>
      </c>
      <c r="L19" s="534">
        <f>SUM('#64-Levindale:#5034-Mt. Washington Pediatric'!K31)</f>
        <v>0</v>
      </c>
      <c r="M19" s="534">
        <f t="shared" si="0"/>
        <v>0</v>
      </c>
      <c r="N19" s="493"/>
      <c r="O19" s="493"/>
    </row>
    <row r="20" spans="1:15">
      <c r="A20" s="5" t="s">
        <v>134</v>
      </c>
      <c r="B20" s="363" t="s">
        <v>367</v>
      </c>
      <c r="C20" s="364"/>
      <c r="D20" s="365"/>
      <c r="E20"/>
      <c r="F20" s="536"/>
      <c r="G20" s="494">
        <f>SUM('#64-Levindale:#5034-Mt. Washington Pediatric'!F32)</f>
        <v>0</v>
      </c>
      <c r="H20" s="494">
        <f>SUM('#64-Levindale:#5034-Mt. Washington Pediatric'!G32)</f>
        <v>0</v>
      </c>
      <c r="I20" s="534">
        <f>SUM('#64-Levindale:#5034-Mt. Washington Pediatric'!H32)</f>
        <v>0</v>
      </c>
      <c r="J20" s="534">
        <f>SUM('#64-Levindale:#5034-Mt. Washington Pediatric'!I32)</f>
        <v>0</v>
      </c>
      <c r="K20" s="534">
        <f>SUM('#64-Levindale:#5034-Mt. Washington Pediatric'!J32)</f>
        <v>0</v>
      </c>
      <c r="L20" s="534">
        <f>SUM('#64-Levindale:#5034-Mt. Washington Pediatric'!K32)</f>
        <v>0</v>
      </c>
      <c r="M20" s="534">
        <f t="shared" si="0"/>
        <v>0</v>
      </c>
      <c r="N20" s="493"/>
      <c r="O20" s="493"/>
    </row>
    <row r="21" spans="1:15">
      <c r="A21" s="5" t="s">
        <v>135</v>
      </c>
      <c r="B21" s="363" t="s">
        <v>367</v>
      </c>
      <c r="C21" s="364"/>
      <c r="D21" s="365"/>
      <c r="E21"/>
      <c r="F21" s="536"/>
      <c r="G21" s="494">
        <f>SUM('#64-Levindale:#5034-Mt. Washington Pediatric'!F33)</f>
        <v>0</v>
      </c>
      <c r="H21" s="494">
        <f>SUM('#64-Levindale:#5034-Mt. Washington Pediatric'!G33)</f>
        <v>0</v>
      </c>
      <c r="I21" s="534">
        <f>SUM('#64-Levindale:#5034-Mt. Washington Pediatric'!H33)</f>
        <v>0</v>
      </c>
      <c r="J21" s="534">
        <f>SUM('#64-Levindale:#5034-Mt. Washington Pediatric'!I33)</f>
        <v>0</v>
      </c>
      <c r="K21" s="534">
        <f>SUM('#64-Levindale:#5034-Mt. Washington Pediatric'!J33)</f>
        <v>0</v>
      </c>
      <c r="L21" s="534">
        <f>SUM('#64-Levindale:#5034-Mt. Washington Pediatric'!K33)</f>
        <v>0</v>
      </c>
      <c r="M21" s="534">
        <f t="shared" si="0"/>
        <v>0</v>
      </c>
      <c r="N21" s="493"/>
      <c r="O21" s="493"/>
    </row>
    <row r="22" spans="1:15">
      <c r="A22" s="5" t="s">
        <v>136</v>
      </c>
      <c r="B22" s="636" t="s">
        <v>367</v>
      </c>
      <c r="C22" s="637"/>
      <c r="D22" s="638"/>
      <c r="E22"/>
      <c r="F22" s="536"/>
      <c r="G22" s="494">
        <f>SUM('#64-Levindale:#5034-Mt. Washington Pediatric'!F34)</f>
        <v>0</v>
      </c>
      <c r="H22" s="494">
        <f>SUM('#64-Levindale:#5034-Mt. Washington Pediatric'!G34)</f>
        <v>0</v>
      </c>
      <c r="I22" s="534">
        <f>SUM('#64-Levindale:#5034-Mt. Washington Pediatric'!H34)</f>
        <v>0</v>
      </c>
      <c r="J22" s="534">
        <f>SUM('#64-Levindale:#5034-Mt. Washington Pediatric'!I34)</f>
        <v>0</v>
      </c>
      <c r="K22" s="534">
        <f>SUM('#64-Levindale:#5034-Mt. Washington Pediatric'!J34)</f>
        <v>0</v>
      </c>
      <c r="L22" s="534">
        <f>SUM('#64-Levindale:#5034-Mt. Washington Pediatric'!K34)</f>
        <v>0</v>
      </c>
      <c r="M22" s="534">
        <f t="shared" si="0"/>
        <v>0</v>
      </c>
      <c r="N22" s="493"/>
      <c r="O22" s="493"/>
    </row>
    <row r="23" spans="1:15">
      <c r="D23" s="492"/>
      <c r="E23" s="492"/>
      <c r="F23" s="492"/>
      <c r="G23" s="499"/>
      <c r="H23" s="499"/>
      <c r="I23" s="499"/>
      <c r="J23" s="499"/>
      <c r="K23" s="499"/>
      <c r="L23" s="499"/>
      <c r="M23" s="500"/>
      <c r="N23" s="493"/>
      <c r="O23" s="493"/>
    </row>
    <row r="24" spans="1:15">
      <c r="A24" s="486" t="s">
        <v>137</v>
      </c>
      <c r="B24" s="492" t="s">
        <v>138</v>
      </c>
      <c r="G24" s="494">
        <f>SUM(G9:G22)</f>
        <v>10523</v>
      </c>
      <c r="H24" s="494">
        <f t="shared" ref="H24:L24" si="1">SUM(H9:H22)</f>
        <v>90892</v>
      </c>
      <c r="I24" s="534">
        <f t="shared" si="1"/>
        <v>771259.8904896595</v>
      </c>
      <c r="J24" s="534">
        <f t="shared" si="1"/>
        <v>618772.13990256342</v>
      </c>
      <c r="K24" s="534">
        <f t="shared" si="1"/>
        <v>182731.64677654998</v>
      </c>
      <c r="L24" s="534">
        <f t="shared" si="1"/>
        <v>1207300.3836156728</v>
      </c>
      <c r="M24" s="534">
        <f>L24-J24</f>
        <v>588528.2437131094</v>
      </c>
      <c r="N24" s="493"/>
      <c r="O24" s="493"/>
    </row>
    <row r="25" spans="1:15">
      <c r="A25" s="486"/>
      <c r="B25" s="492"/>
      <c r="G25" s="502"/>
      <c r="H25" s="502"/>
      <c r="I25" s="502"/>
      <c r="J25" s="502"/>
      <c r="K25" s="502"/>
      <c r="L25" s="502"/>
      <c r="M25" s="502"/>
      <c r="N25" s="493"/>
      <c r="O25" s="493"/>
    </row>
    <row r="26" spans="1:15">
      <c r="A26" s="486"/>
      <c r="B26" s="492"/>
      <c r="G26" s="493"/>
      <c r="H26" s="493"/>
      <c r="I26" s="493"/>
      <c r="J26" s="493"/>
      <c r="K26" s="504"/>
      <c r="L26" s="504"/>
      <c r="M26" s="505"/>
      <c r="N26" s="493"/>
      <c r="O26" s="493"/>
    </row>
    <row r="27" spans="1:15" ht="42.75" customHeight="1">
      <c r="A27" s="487"/>
      <c r="B27" s="487"/>
      <c r="G27" s="489" t="s">
        <v>9</v>
      </c>
      <c r="H27" s="489" t="s">
        <v>37</v>
      </c>
      <c r="I27" s="489" t="s">
        <v>915</v>
      </c>
      <c r="J27" s="489" t="s">
        <v>916</v>
      </c>
      <c r="K27" s="490" t="s">
        <v>281</v>
      </c>
      <c r="L27" s="495" t="s">
        <v>913</v>
      </c>
      <c r="M27" s="489" t="s">
        <v>914</v>
      </c>
      <c r="N27" s="493"/>
      <c r="O27" s="493"/>
    </row>
    <row r="28" spans="1:15">
      <c r="A28" s="486" t="s">
        <v>917</v>
      </c>
      <c r="B28" s="486"/>
      <c r="C28" s="492" t="s">
        <v>49</v>
      </c>
      <c r="K28" s="496"/>
      <c r="L28" s="497"/>
      <c r="N28" s="493"/>
      <c r="O28" s="493"/>
    </row>
    <row r="29" spans="1:15">
      <c r="A29" s="498" t="s">
        <v>421</v>
      </c>
      <c r="B29" s="498"/>
      <c r="C29" s="492" t="s">
        <v>31</v>
      </c>
      <c r="D29" s="492"/>
      <c r="E29" s="492"/>
      <c r="F29" s="492"/>
      <c r="G29" s="494">
        <f>SUM('#64-Levindale:#5034-Mt. Washington Pediatric'!F40)</f>
        <v>6341</v>
      </c>
      <c r="H29" s="494">
        <f>SUM('#64-Levindale:#5034-Mt. Washington Pediatric'!G40)</f>
        <v>0</v>
      </c>
      <c r="I29" s="534">
        <f>SUM('#64-Levindale:#5034-Mt. Washington Pediatric'!H40)</f>
        <v>412044.47</v>
      </c>
      <c r="J29" s="534">
        <f>SUM('#64-Levindale:#5034-Mt. Washington Pediatric'!I40)</f>
        <v>293787.70710999996</v>
      </c>
      <c r="K29" s="534">
        <f>SUM('#64-Levindale:#5034-Mt. Washington Pediatric'!J40)</f>
        <v>0</v>
      </c>
      <c r="L29" s="534">
        <f>SUM('#64-Levindale:#5034-Mt. Washington Pediatric'!K40)</f>
        <v>705832.17710999993</v>
      </c>
      <c r="M29" s="534">
        <f>L29-J29</f>
        <v>412044.47</v>
      </c>
      <c r="N29" s="493"/>
      <c r="O29" s="493"/>
    </row>
    <row r="30" spans="1:15">
      <c r="A30" s="498" t="s">
        <v>422</v>
      </c>
      <c r="B30" s="498"/>
      <c r="C30" s="506" t="s">
        <v>50</v>
      </c>
      <c r="G30" s="494">
        <f>SUM('#64-Levindale:#5034-Mt. Washington Pediatric'!F41)</f>
        <v>152</v>
      </c>
      <c r="H30" s="494">
        <f>SUM('#64-Levindale:#5034-Mt. Washington Pediatric'!G41)</f>
        <v>0</v>
      </c>
      <c r="I30" s="534">
        <f>SUM('#64-Levindale:#5034-Mt. Washington Pediatric'!H41)</f>
        <v>4101.9799999999996</v>
      </c>
      <c r="J30" s="534">
        <f>SUM('#64-Levindale:#5034-Mt. Washington Pediatric'!I41)</f>
        <v>2924.7117399999997</v>
      </c>
      <c r="K30" s="534">
        <f>SUM('#64-Levindale:#5034-Mt. Washington Pediatric'!J41)</f>
        <v>0</v>
      </c>
      <c r="L30" s="534">
        <f>SUM('#64-Levindale:#5034-Mt. Washington Pediatric'!K41)</f>
        <v>7026.6917399999993</v>
      </c>
      <c r="M30" s="534">
        <f t="shared" ref="M30:M36" si="2">L30-J30</f>
        <v>4101.9799999999996</v>
      </c>
      <c r="N30" s="493"/>
      <c r="O30" s="493"/>
    </row>
    <row r="31" spans="1:15">
      <c r="A31" s="498" t="s">
        <v>423</v>
      </c>
      <c r="B31" s="498"/>
      <c r="C31" s="483" t="s">
        <v>11</v>
      </c>
      <c r="D31" s="507"/>
      <c r="E31" s="507"/>
      <c r="F31" s="507"/>
      <c r="G31" s="494">
        <f>SUM('#64-Levindale:#5034-Mt. Washington Pediatric'!F42)</f>
        <v>4046</v>
      </c>
      <c r="H31" s="494">
        <f>SUM('#64-Levindale:#5034-Mt. Washington Pediatric'!G42)</f>
        <v>53</v>
      </c>
      <c r="I31" s="534">
        <f>SUM('#64-Levindale:#5034-Mt. Washington Pediatric'!H42)</f>
        <v>206792.03776225625</v>
      </c>
      <c r="J31" s="534">
        <f>SUM('#64-Levindale:#5034-Mt. Washington Pediatric'!I42)</f>
        <v>130411.80525999999</v>
      </c>
      <c r="K31" s="534">
        <f>SUM('#64-Levindale:#5034-Mt. Washington Pediatric'!J42)</f>
        <v>4374.9274432499997</v>
      </c>
      <c r="L31" s="534">
        <f>SUM('#64-Levindale:#5034-Mt. Washington Pediatric'!K42)</f>
        <v>332828.91557900625</v>
      </c>
      <c r="M31" s="534">
        <f t="shared" si="2"/>
        <v>202417.11031900626</v>
      </c>
      <c r="N31" s="493"/>
      <c r="O31" s="493"/>
    </row>
    <row r="32" spans="1:15">
      <c r="A32" s="498" t="s">
        <v>424</v>
      </c>
      <c r="B32" s="498"/>
      <c r="C32" s="483" t="s">
        <v>10</v>
      </c>
      <c r="G32" s="494">
        <f>SUM('#64-Levindale:#5034-Mt. Washington Pediatric'!F43)</f>
        <v>2317</v>
      </c>
      <c r="H32" s="494">
        <f>SUM('#64-Levindale:#5034-Mt. Washington Pediatric'!G43)</f>
        <v>32</v>
      </c>
      <c r="I32" s="534">
        <f>SUM('#64-Levindale:#5034-Mt. Washington Pediatric'!H43)</f>
        <v>100033</v>
      </c>
      <c r="J32" s="534">
        <f>SUM('#64-Levindale:#5034-Mt. Washington Pediatric'!I43)</f>
        <v>50868.5</v>
      </c>
      <c r="K32" s="534">
        <f>SUM('#64-Levindale:#5034-Mt. Washington Pediatric'!J43)</f>
        <v>0</v>
      </c>
      <c r="L32" s="534">
        <f>SUM('#64-Levindale:#5034-Mt. Washington Pediatric'!K43)</f>
        <v>150901.5</v>
      </c>
      <c r="M32" s="534">
        <f t="shared" si="2"/>
        <v>100033</v>
      </c>
      <c r="N32" s="493"/>
      <c r="O32" s="493"/>
    </row>
    <row r="33" spans="1:15">
      <c r="A33" s="5" t="s">
        <v>91</v>
      </c>
      <c r="B33" s="498"/>
      <c r="C33" s="636" t="s">
        <v>367</v>
      </c>
      <c r="D33" s="637"/>
      <c r="E33" s="638"/>
      <c r="F33"/>
      <c r="G33" s="494">
        <f>SUM('#64-Levindale:#5034-Mt. Washington Pediatric'!F44)</f>
        <v>1248</v>
      </c>
      <c r="H33" s="494">
        <f>SUM('#64-Levindale:#5034-Mt. Washington Pediatric'!G44)</f>
        <v>6100</v>
      </c>
      <c r="I33" s="534">
        <f>SUM('#64-Levindale:#5034-Mt. Washington Pediatric'!H44)</f>
        <v>84962.25</v>
      </c>
      <c r="J33" s="534">
        <f>SUM('#64-Levindale:#5034-Mt. Washington Pediatric'!I44)</f>
        <v>60578.08425</v>
      </c>
      <c r="K33" s="534">
        <f>SUM('#64-Levindale:#5034-Mt. Washington Pediatric'!J44)</f>
        <v>2880</v>
      </c>
      <c r="L33" s="534">
        <f>SUM('#64-Levindale:#5034-Mt. Washington Pediatric'!K44)</f>
        <v>142660.33425000001</v>
      </c>
      <c r="M33" s="534">
        <f t="shared" si="2"/>
        <v>82082.250000000015</v>
      </c>
      <c r="N33" s="493"/>
      <c r="O33" s="493"/>
    </row>
    <row r="34" spans="1:15">
      <c r="A34" s="5" t="s">
        <v>139</v>
      </c>
      <c r="C34" s="636" t="s">
        <v>367</v>
      </c>
      <c r="D34" s="637"/>
      <c r="E34" s="638"/>
      <c r="F34"/>
      <c r="G34" s="494">
        <f>SUM('#64-Levindale:#5034-Mt. Washington Pediatric'!F45)</f>
        <v>255</v>
      </c>
      <c r="H34" s="494">
        <f>SUM('#64-Levindale:#5034-Mt. Washington Pediatric'!G45)</f>
        <v>470</v>
      </c>
      <c r="I34" s="534">
        <f>SUM('#64-Levindale:#5034-Mt. Washington Pediatric'!H45)</f>
        <v>1806034</v>
      </c>
      <c r="J34" s="534">
        <f>SUM('#64-Levindale:#5034-Mt. Washington Pediatric'!I45)</f>
        <v>223948</v>
      </c>
      <c r="K34" s="534">
        <f>SUM('#64-Levindale:#5034-Mt. Washington Pediatric'!J45)</f>
        <v>2029982</v>
      </c>
      <c r="L34" s="534">
        <f>SUM('#64-Levindale:#5034-Mt. Washington Pediatric'!K45)</f>
        <v>0</v>
      </c>
      <c r="M34" s="534">
        <f t="shared" si="2"/>
        <v>-223948</v>
      </c>
      <c r="N34" s="493"/>
      <c r="O34" s="493"/>
    </row>
    <row r="35" spans="1:15">
      <c r="A35" s="5" t="s">
        <v>140</v>
      </c>
      <c r="C35" s="636" t="s">
        <v>367</v>
      </c>
      <c r="D35" s="637"/>
      <c r="E35" s="638"/>
      <c r="F35"/>
      <c r="G35" s="494">
        <f>SUM('#64-Levindale:#5034-Mt. Washington Pediatric'!F46)</f>
        <v>368</v>
      </c>
      <c r="H35" s="494">
        <f>SUM('#64-Levindale:#5034-Mt. Washington Pediatric'!G46)</f>
        <v>3000</v>
      </c>
      <c r="I35" s="534">
        <f>SUM('#64-Levindale:#5034-Mt. Washington Pediatric'!H46)</f>
        <v>81984</v>
      </c>
      <c r="J35" s="534">
        <f>SUM('#64-Levindale:#5034-Mt. Washington Pediatric'!I46)</f>
        <v>0</v>
      </c>
      <c r="K35" s="534">
        <f>SUM('#64-Levindale:#5034-Mt. Washington Pediatric'!J46)</f>
        <v>81984</v>
      </c>
      <c r="L35" s="534">
        <f>SUM('#64-Levindale:#5034-Mt. Washington Pediatric'!K46)</f>
        <v>0</v>
      </c>
      <c r="M35" s="534">
        <f t="shared" si="2"/>
        <v>0</v>
      </c>
      <c r="N35" s="493"/>
      <c r="O35" s="493"/>
    </row>
    <row r="36" spans="1:15">
      <c r="A36" s="5" t="s">
        <v>141</v>
      </c>
      <c r="C36" s="636" t="s">
        <v>367</v>
      </c>
      <c r="D36" s="637"/>
      <c r="E36" s="638"/>
      <c r="F36"/>
      <c r="G36" s="494">
        <f>SUM('#64-Levindale:#5034-Mt. Washington Pediatric'!F47)</f>
        <v>0</v>
      </c>
      <c r="H36" s="494">
        <f>SUM('#64-Levindale:#5034-Mt. Washington Pediatric'!G47)</f>
        <v>0</v>
      </c>
      <c r="I36" s="534">
        <f>SUM('#64-Levindale:#5034-Mt. Washington Pediatric'!H47)</f>
        <v>0</v>
      </c>
      <c r="J36" s="534">
        <f>SUM('#64-Levindale:#5034-Mt. Washington Pediatric'!I47)</f>
        <v>0</v>
      </c>
      <c r="K36" s="534">
        <f>SUM('#64-Levindale:#5034-Mt. Washington Pediatric'!J47)</f>
        <v>0</v>
      </c>
      <c r="L36" s="534">
        <f>SUM('#64-Levindale:#5034-Mt. Washington Pediatric'!K47)</f>
        <v>0</v>
      </c>
      <c r="M36" s="534">
        <f t="shared" si="2"/>
        <v>0</v>
      </c>
      <c r="N36" s="493"/>
      <c r="O36" s="493"/>
    </row>
    <row r="37" spans="1:15">
      <c r="A37" s="545"/>
      <c r="C37" s="546"/>
      <c r="D37" s="546"/>
      <c r="E37" s="546"/>
      <c r="F37" s="547"/>
      <c r="G37" s="544"/>
      <c r="H37" s="544"/>
      <c r="I37" s="548"/>
      <c r="J37" s="548"/>
      <c r="K37" s="548"/>
      <c r="L37" s="548"/>
      <c r="M37" s="548"/>
      <c r="N37" s="493"/>
      <c r="O37" s="493"/>
    </row>
    <row r="38" spans="1:15">
      <c r="A38" s="487" t="s">
        <v>142</v>
      </c>
      <c r="B38" s="487"/>
      <c r="C38" s="492" t="s">
        <v>295</v>
      </c>
      <c r="G38" s="494">
        <f t="shared" ref="G38:M38" si="3">SUM(G29:G36)</f>
        <v>14727</v>
      </c>
      <c r="H38" s="494">
        <f t="shared" si="3"/>
        <v>9655</v>
      </c>
      <c r="I38" s="494">
        <f t="shared" si="3"/>
        <v>2695951.7377622561</v>
      </c>
      <c r="J38" s="494">
        <f t="shared" si="3"/>
        <v>762518.80835999991</v>
      </c>
      <c r="K38" s="494">
        <f t="shared" si="3"/>
        <v>2119220.9274432501</v>
      </c>
      <c r="L38" s="494">
        <f t="shared" si="3"/>
        <v>1339249.6186790064</v>
      </c>
      <c r="M38" s="494">
        <f t="shared" si="3"/>
        <v>576730.81031900621</v>
      </c>
      <c r="N38" s="493"/>
      <c r="O38" s="493"/>
    </row>
    <row r="39" spans="1:15">
      <c r="A39" s="487"/>
      <c r="B39" s="487"/>
      <c r="G39" s="493"/>
      <c r="H39" s="493"/>
      <c r="I39" s="493"/>
      <c r="J39" s="493"/>
      <c r="K39" s="493"/>
      <c r="L39" s="493"/>
      <c r="M39" s="493"/>
      <c r="N39" s="493"/>
      <c r="O39" s="493"/>
    </row>
    <row r="40" spans="1:15">
      <c r="A40" s="487"/>
      <c r="B40" s="487"/>
      <c r="G40" s="493"/>
      <c r="H40" s="493"/>
      <c r="I40" s="493"/>
      <c r="J40" s="493"/>
      <c r="K40" s="493"/>
      <c r="L40" s="493"/>
      <c r="M40" s="493"/>
      <c r="N40" s="493"/>
      <c r="O40" s="493"/>
    </row>
    <row r="41" spans="1:15" ht="38.25">
      <c r="A41" s="487"/>
      <c r="B41" s="487"/>
      <c r="G41" s="489" t="s">
        <v>9</v>
      </c>
      <c r="H41" s="489" t="s">
        <v>37</v>
      </c>
      <c r="I41" s="489" t="s">
        <v>915</v>
      </c>
      <c r="J41" s="489" t="s">
        <v>916</v>
      </c>
      <c r="K41" s="490" t="s">
        <v>281</v>
      </c>
      <c r="L41" s="495" t="s">
        <v>913</v>
      </c>
      <c r="M41" s="489" t="s">
        <v>914</v>
      </c>
      <c r="N41" s="493"/>
      <c r="O41" s="493"/>
    </row>
    <row r="42" spans="1:15">
      <c r="A42" s="486" t="s">
        <v>918</v>
      </c>
      <c r="B42" s="487"/>
      <c r="C42" s="508" t="s">
        <v>919</v>
      </c>
      <c r="K42" s="496"/>
      <c r="L42" s="497"/>
      <c r="N42" s="493"/>
      <c r="O42" s="493"/>
    </row>
    <row r="43" spans="1:15">
      <c r="B43" s="486"/>
      <c r="C43" s="492" t="s">
        <v>295</v>
      </c>
      <c r="D43" s="508"/>
      <c r="E43" s="508"/>
      <c r="F43" s="508"/>
      <c r="G43" s="494">
        <f>SUM('#64-Levindale:#5034-Mt. Washington Pediatric'!F64)</f>
        <v>30377</v>
      </c>
      <c r="H43" s="494">
        <f>SUM('#64-Levindale:#5034-Mt. Washington Pediatric'!G64)</f>
        <v>15680</v>
      </c>
      <c r="I43" s="534">
        <f>SUM('#64-Levindale:#5034-Mt. Washington Pediatric'!H64)</f>
        <v>6168660.0019681342</v>
      </c>
      <c r="J43" s="534">
        <f>SUM('#64-Levindale:#5034-Mt. Washington Pediatric'!I64)</f>
        <v>1953170.17313</v>
      </c>
      <c r="K43" s="534">
        <f>SUM('#64-Levindale:#5034-Mt. Washington Pediatric'!J64)</f>
        <v>1933811.01</v>
      </c>
      <c r="L43" s="534">
        <f>SUM('#64-Levindale:#5034-Mt. Washington Pediatric'!K64)</f>
        <v>6188019.1650981344</v>
      </c>
      <c r="M43" s="534">
        <f>L43-J43</f>
        <v>4234848.9919681344</v>
      </c>
      <c r="N43" s="493"/>
      <c r="O43" s="493"/>
    </row>
    <row r="44" spans="1:15">
      <c r="A44" s="498"/>
      <c r="B44" s="498"/>
      <c r="G44" s="509"/>
      <c r="H44" s="509"/>
      <c r="I44" s="509"/>
      <c r="J44" s="509"/>
      <c r="K44" s="509"/>
      <c r="L44" s="509"/>
      <c r="M44" s="510"/>
      <c r="N44" s="493"/>
      <c r="O44" s="493"/>
    </row>
    <row r="45" spans="1:15">
      <c r="A45" s="498"/>
      <c r="B45" s="498"/>
      <c r="K45" s="496"/>
      <c r="L45" s="497"/>
      <c r="M45" s="493"/>
      <c r="N45" s="493"/>
      <c r="O45" s="493"/>
    </row>
    <row r="46" spans="1:15" ht="45.75" customHeight="1">
      <c r="A46" s="486" t="s">
        <v>920</v>
      </c>
      <c r="B46" s="487"/>
      <c r="C46" s="492" t="s">
        <v>12</v>
      </c>
      <c r="G46" s="489" t="s">
        <v>9</v>
      </c>
      <c r="H46" s="489" t="s">
        <v>37</v>
      </c>
      <c r="I46" s="489" t="s">
        <v>915</v>
      </c>
      <c r="J46" s="489" t="s">
        <v>916</v>
      </c>
      <c r="K46" s="490" t="s">
        <v>281</v>
      </c>
      <c r="L46" s="495" t="s">
        <v>913</v>
      </c>
      <c r="M46" s="489" t="s">
        <v>914</v>
      </c>
      <c r="N46" s="493"/>
      <c r="O46" s="493"/>
    </row>
    <row r="47" spans="1:15">
      <c r="A47" s="498" t="s">
        <v>429</v>
      </c>
      <c r="B47" s="487"/>
      <c r="C47" s="492" t="s">
        <v>52</v>
      </c>
      <c r="G47" s="494">
        <f>SUM('#64-Levindale:#5034-Mt. Washington Pediatric'!F68)</f>
        <v>3185</v>
      </c>
      <c r="H47" s="494">
        <f>SUM('#64-Levindale:#5034-Mt. Washington Pediatric'!G68)</f>
        <v>0</v>
      </c>
      <c r="I47" s="534">
        <f>SUM('#64-Levindale:#5034-Mt. Washington Pediatric'!H68)</f>
        <v>231023.69876160275</v>
      </c>
      <c r="J47" s="534">
        <f>SUM('#64-Levindale:#5034-Mt. Washington Pediatric'!I68)</f>
        <v>0</v>
      </c>
      <c r="K47" s="534">
        <f>SUM('#64-Levindale:#5034-Mt. Washington Pediatric'!J68)</f>
        <v>0</v>
      </c>
      <c r="L47" s="534">
        <f>SUM('#64-Levindale:#5034-Mt. Washington Pediatric'!K68)</f>
        <v>231023.69876160275</v>
      </c>
      <c r="M47" s="534">
        <f>L47-J47</f>
        <v>231023.69876160275</v>
      </c>
      <c r="N47" s="493"/>
      <c r="O47" s="493"/>
    </row>
    <row r="48" spans="1:15">
      <c r="A48" s="498" t="s">
        <v>430</v>
      </c>
      <c r="B48" s="486"/>
      <c r="C48" s="492" t="s">
        <v>53</v>
      </c>
      <c r="G48" s="494">
        <f>SUM('#64-Levindale:#5034-Mt. Washington Pediatric'!F69)</f>
        <v>100</v>
      </c>
      <c r="H48" s="494">
        <f>SUM('#64-Levindale:#5034-Mt. Washington Pediatric'!G69)</f>
        <v>0</v>
      </c>
      <c r="I48" s="534">
        <f>SUM('#64-Levindale:#5034-Mt. Washington Pediatric'!H69)</f>
        <v>0</v>
      </c>
      <c r="J48" s="534">
        <f>SUM('#64-Levindale:#5034-Mt. Washington Pediatric'!I69)</f>
        <v>0</v>
      </c>
      <c r="K48" s="534">
        <f>SUM('#64-Levindale:#5034-Mt. Washington Pediatric'!J69)</f>
        <v>0</v>
      </c>
      <c r="L48" s="534">
        <f>SUM('#64-Levindale:#5034-Mt. Washington Pediatric'!K69)</f>
        <v>0</v>
      </c>
      <c r="M48" s="534">
        <f t="shared" ref="M48:M49" si="4">L48-J48</f>
        <v>0</v>
      </c>
      <c r="N48" s="493"/>
      <c r="O48" s="493"/>
    </row>
    <row r="49" spans="1:15">
      <c r="A49" s="498" t="s">
        <v>653</v>
      </c>
      <c r="B49" s="498"/>
      <c r="C49" s="492" t="s">
        <v>367</v>
      </c>
      <c r="D49" s="492"/>
      <c r="E49" s="492"/>
      <c r="F49" s="492"/>
      <c r="G49" s="494">
        <f>SUM('#64-Levindale:#5034-Mt. Washington Pediatric'!F70)</f>
        <v>0</v>
      </c>
      <c r="H49" s="494">
        <f>SUM('#64-Levindale:#5034-Mt. Washington Pediatric'!G70)</f>
        <v>0</v>
      </c>
      <c r="I49" s="534">
        <f>SUM('#64-Levindale:#5034-Mt. Washington Pediatric'!H70)</f>
        <v>0</v>
      </c>
      <c r="J49" s="534">
        <f>SUM('#64-Levindale:#5034-Mt. Washington Pediatric'!I70)</f>
        <v>0</v>
      </c>
      <c r="K49" s="534">
        <f>SUM('#64-Levindale:#5034-Mt. Washington Pediatric'!J70)</f>
        <v>0</v>
      </c>
      <c r="L49" s="534">
        <f>SUM('#64-Levindale:#5034-Mt. Washington Pediatric'!K70)</f>
        <v>0</v>
      </c>
      <c r="M49" s="534">
        <f t="shared" si="4"/>
        <v>0</v>
      </c>
      <c r="N49" s="493"/>
      <c r="O49" s="493"/>
    </row>
    <row r="50" spans="1:15">
      <c r="D50" s="492"/>
      <c r="E50" s="492"/>
      <c r="F50" s="492"/>
      <c r="G50" s="499"/>
      <c r="H50" s="499"/>
      <c r="I50" s="499"/>
      <c r="J50" s="499"/>
      <c r="K50" s="499"/>
      <c r="L50" s="499"/>
      <c r="M50" s="500"/>
      <c r="N50" s="493"/>
      <c r="O50" s="493"/>
    </row>
    <row r="51" spans="1:15">
      <c r="A51" s="498" t="s">
        <v>146</v>
      </c>
      <c r="B51" s="498"/>
      <c r="C51" s="492" t="s">
        <v>295</v>
      </c>
      <c r="G51" s="511">
        <f>SUM(G47:G49)</f>
        <v>3285</v>
      </c>
      <c r="H51" s="511">
        <f t="shared" ref="H51:M51" si="5">SUM(H47:H49)</f>
        <v>0</v>
      </c>
      <c r="I51" s="534">
        <f t="shared" si="5"/>
        <v>231023.69876160275</v>
      </c>
      <c r="J51" s="534">
        <f t="shared" si="5"/>
        <v>0</v>
      </c>
      <c r="K51" s="534">
        <f t="shared" si="5"/>
        <v>0</v>
      </c>
      <c r="L51" s="534">
        <f t="shared" si="5"/>
        <v>231023.69876160275</v>
      </c>
      <c r="M51" s="534">
        <f t="shared" si="5"/>
        <v>231023.69876160275</v>
      </c>
      <c r="N51" s="493"/>
      <c r="O51" s="493"/>
    </row>
    <row r="52" spans="1:15">
      <c r="A52" s="498"/>
      <c r="B52" s="498"/>
      <c r="G52" s="512"/>
      <c r="H52" s="512"/>
      <c r="I52" s="512"/>
      <c r="J52" s="512"/>
      <c r="K52" s="512"/>
      <c r="L52" s="512"/>
      <c r="M52" s="505"/>
      <c r="N52" s="493"/>
      <c r="O52" s="493"/>
    </row>
    <row r="53" spans="1:15" ht="46.5" customHeight="1">
      <c r="A53" s="487" t="s">
        <v>921</v>
      </c>
      <c r="B53" s="487"/>
      <c r="C53" s="513" t="s">
        <v>68</v>
      </c>
      <c r="G53" s="489" t="s">
        <v>9</v>
      </c>
      <c r="H53" s="489" t="s">
        <v>37</v>
      </c>
      <c r="I53" s="514" t="s">
        <v>915</v>
      </c>
      <c r="J53" s="514" t="s">
        <v>916</v>
      </c>
      <c r="K53" s="490" t="s">
        <v>281</v>
      </c>
      <c r="L53" s="495" t="s">
        <v>913</v>
      </c>
      <c r="M53" s="489" t="s">
        <v>914</v>
      </c>
      <c r="N53" s="493"/>
      <c r="O53" s="493"/>
    </row>
    <row r="54" spans="1:15" ht="15.75">
      <c r="A54" s="487"/>
      <c r="B54" s="487"/>
      <c r="C54" s="513"/>
      <c r="K54" s="496"/>
      <c r="L54" s="497"/>
      <c r="N54" s="493"/>
      <c r="O54" s="493"/>
    </row>
    <row r="55" spans="1:15">
      <c r="A55" s="498" t="s">
        <v>432</v>
      </c>
      <c r="B55" s="487"/>
      <c r="C55" s="486" t="s">
        <v>54</v>
      </c>
      <c r="G55" s="494">
        <f>SUM('#64-Levindale:#5034-Mt. Washington Pediatric'!F77)</f>
        <v>0</v>
      </c>
      <c r="H55" s="494">
        <f>SUM('#64-Levindale:#5034-Mt. Washington Pediatric'!G77)</f>
        <v>0</v>
      </c>
      <c r="I55" s="534">
        <f>SUM('#64-Levindale:#5034-Mt. Washington Pediatric'!H77)</f>
        <v>106823.70762822972</v>
      </c>
      <c r="J55" s="534">
        <f>SUM('#64-Levindale:#5034-Mt. Washington Pediatric'!I77)</f>
        <v>10299.285</v>
      </c>
      <c r="K55" s="534">
        <f>SUM('#64-Levindale:#5034-Mt. Washington Pediatric'!J77)</f>
        <v>0</v>
      </c>
      <c r="L55" s="534">
        <f>SUM('#64-Levindale:#5034-Mt. Washington Pediatric'!K77)</f>
        <v>117122.99262822971</v>
      </c>
      <c r="M55" s="534">
        <f>L55-J55</f>
        <v>106823.70762822971</v>
      </c>
      <c r="N55" s="493"/>
      <c r="O55" s="493"/>
    </row>
    <row r="56" spans="1:15">
      <c r="A56" s="498" t="s">
        <v>433</v>
      </c>
      <c r="B56" s="486"/>
      <c r="C56" s="486" t="s">
        <v>55</v>
      </c>
      <c r="G56" s="494">
        <f>SUM('#64-Levindale:#5034-Mt. Washington Pediatric'!F78)</f>
        <v>0</v>
      </c>
      <c r="H56" s="494">
        <f>SUM('#64-Levindale:#5034-Mt. Washington Pediatric'!G78)</f>
        <v>0</v>
      </c>
      <c r="I56" s="534">
        <f>SUM('#64-Levindale:#5034-Mt. Washington Pediatric'!H78)</f>
        <v>299.62000714215844</v>
      </c>
      <c r="J56" s="534">
        <f>SUM('#64-Levindale:#5034-Mt. Washington Pediatric'!I78)</f>
        <v>0</v>
      </c>
      <c r="K56" s="534">
        <f>SUM('#64-Levindale:#5034-Mt. Washington Pediatric'!J78)</f>
        <v>0</v>
      </c>
      <c r="L56" s="534">
        <f>SUM('#64-Levindale:#5034-Mt. Washington Pediatric'!K78)</f>
        <v>299.62000714215844</v>
      </c>
      <c r="M56" s="534">
        <f t="shared" ref="M56:M58" si="6">L56-J56</f>
        <v>299.62000714215844</v>
      </c>
      <c r="N56" s="493"/>
      <c r="O56" s="493"/>
    </row>
    <row r="57" spans="1:15">
      <c r="A57" s="498" t="s">
        <v>434</v>
      </c>
      <c r="B57" s="498"/>
      <c r="C57" s="486" t="s">
        <v>13</v>
      </c>
      <c r="G57" s="494">
        <f>SUM('#64-Levindale:#5034-Mt. Washington Pediatric'!F79)</f>
        <v>828.75</v>
      </c>
      <c r="H57" s="494">
        <f>SUM('#64-Levindale:#5034-Mt. Washington Pediatric'!G79)</f>
        <v>18184</v>
      </c>
      <c r="I57" s="534">
        <f>SUM('#64-Levindale:#5034-Mt. Washington Pediatric'!H79)</f>
        <v>57394.400000000001</v>
      </c>
      <c r="J57" s="534">
        <f>SUM('#64-Levindale:#5034-Mt. Washington Pediatric'!I79)</f>
        <v>39332.315699999999</v>
      </c>
      <c r="K57" s="534">
        <f>SUM('#64-Levindale:#5034-Mt. Washington Pediatric'!J79)</f>
        <v>0</v>
      </c>
      <c r="L57" s="534">
        <f>SUM('#64-Levindale:#5034-Mt. Washington Pediatric'!K79)</f>
        <v>96726.715700000001</v>
      </c>
      <c r="M57" s="534">
        <f t="shared" si="6"/>
        <v>57394.400000000001</v>
      </c>
      <c r="N57" s="493"/>
      <c r="O57" s="493"/>
    </row>
    <row r="58" spans="1:15">
      <c r="A58" s="498" t="s">
        <v>435</v>
      </c>
      <c r="B58" s="498"/>
      <c r="C58" s="486" t="s">
        <v>56</v>
      </c>
      <c r="G58" s="494">
        <f>SUM('#64-Levindale:#5034-Mt. Washington Pediatric'!F80)</f>
        <v>2100</v>
      </c>
      <c r="H58" s="494">
        <f>SUM('#64-Levindale:#5034-Mt. Washington Pediatric'!G80)</f>
        <v>0</v>
      </c>
      <c r="I58" s="534">
        <f>SUM('#64-Levindale:#5034-Mt. Washington Pediatric'!H80)</f>
        <v>101985.66666666666</v>
      </c>
      <c r="J58" s="534">
        <f>SUM('#64-Levindale:#5034-Mt. Washington Pediatric'!I80)</f>
        <v>65689.194333333333</v>
      </c>
      <c r="K58" s="534">
        <f>SUM('#64-Levindale:#5034-Mt. Washington Pediatric'!J80)</f>
        <v>0</v>
      </c>
      <c r="L58" s="534">
        <f>SUM('#64-Levindale:#5034-Mt. Washington Pediatric'!K80)</f>
        <v>167674.861</v>
      </c>
      <c r="M58" s="534">
        <f t="shared" si="6"/>
        <v>101985.66666666667</v>
      </c>
      <c r="N58" s="493"/>
      <c r="O58" s="493"/>
    </row>
    <row r="59" spans="1:15">
      <c r="A59" s="498"/>
      <c r="B59" s="498"/>
      <c r="C59" s="515"/>
      <c r="G59" s="516"/>
      <c r="H59" s="516"/>
      <c r="I59" s="516"/>
      <c r="J59" s="516"/>
      <c r="K59" s="516"/>
      <c r="L59" s="516"/>
      <c r="M59" s="500"/>
      <c r="N59" s="493"/>
      <c r="O59" s="493"/>
    </row>
    <row r="60" spans="1:15">
      <c r="A60" s="498" t="s">
        <v>148</v>
      </c>
      <c r="B60" s="498"/>
      <c r="C60" s="486" t="s">
        <v>295</v>
      </c>
      <c r="D60" s="515"/>
      <c r="E60" s="515"/>
      <c r="F60" s="515"/>
      <c r="G60" s="511">
        <f>SUM(G55:G59)</f>
        <v>2928.75</v>
      </c>
      <c r="H60" s="511">
        <f t="shared" ref="H60:M60" si="7">SUM(H55:H59)</f>
        <v>18184</v>
      </c>
      <c r="I60" s="534">
        <f t="shared" si="7"/>
        <v>266503.39430203853</v>
      </c>
      <c r="J60" s="534">
        <f t="shared" si="7"/>
        <v>115320.79503333333</v>
      </c>
      <c r="K60" s="534">
        <f t="shared" si="7"/>
        <v>0</v>
      </c>
      <c r="L60" s="534">
        <f t="shared" si="7"/>
        <v>381824.18933537183</v>
      </c>
      <c r="M60" s="534">
        <f t="shared" si="7"/>
        <v>266503.39430203853</v>
      </c>
      <c r="N60" s="493"/>
      <c r="O60" s="493"/>
    </row>
    <row r="61" spans="1:15">
      <c r="A61" s="498"/>
      <c r="B61" s="498"/>
      <c r="C61" s="486"/>
      <c r="D61" s="515"/>
      <c r="E61" s="515"/>
      <c r="F61" s="515"/>
      <c r="G61" s="517"/>
      <c r="H61" s="517"/>
      <c r="I61" s="517"/>
      <c r="J61" s="517"/>
      <c r="K61" s="517"/>
      <c r="L61" s="517"/>
      <c r="M61" s="517"/>
      <c r="N61" s="493"/>
      <c r="O61" s="493"/>
    </row>
    <row r="62" spans="1:15">
      <c r="A62" s="498"/>
      <c r="G62" s="502"/>
      <c r="H62" s="502"/>
      <c r="I62" s="503"/>
      <c r="J62" s="503"/>
      <c r="K62" s="503"/>
      <c r="L62" s="503"/>
      <c r="M62" s="503"/>
      <c r="N62" s="493"/>
      <c r="O62" s="493"/>
    </row>
    <row r="63" spans="1:15">
      <c r="A63" s="498"/>
      <c r="B63" s="498"/>
      <c r="C63" s="486"/>
      <c r="K63" s="496"/>
      <c r="L63" s="497"/>
      <c r="N63" s="493"/>
      <c r="O63" s="493"/>
    </row>
    <row r="64" spans="1:15" ht="41.25" customHeight="1">
      <c r="A64" s="486" t="s">
        <v>922</v>
      </c>
      <c r="B64" s="498"/>
      <c r="C64" s="492" t="s">
        <v>57</v>
      </c>
      <c r="G64" s="489" t="s">
        <v>9</v>
      </c>
      <c r="H64" s="489" t="s">
        <v>37</v>
      </c>
      <c r="I64" s="489" t="s">
        <v>915</v>
      </c>
      <c r="J64" s="489" t="s">
        <v>916</v>
      </c>
      <c r="K64" s="490" t="s">
        <v>281</v>
      </c>
      <c r="L64" s="495" t="s">
        <v>913</v>
      </c>
      <c r="M64" s="489" t="s">
        <v>914</v>
      </c>
      <c r="N64" s="493"/>
      <c r="O64" s="493"/>
    </row>
    <row r="65" spans="1:15">
      <c r="K65" s="496"/>
      <c r="L65" s="497"/>
      <c r="N65" s="493"/>
      <c r="O65" s="493"/>
    </row>
    <row r="66" spans="1:15">
      <c r="A66" s="498" t="s">
        <v>438</v>
      </c>
      <c r="B66" s="487"/>
      <c r="C66" s="492" t="s">
        <v>923</v>
      </c>
      <c r="G66" s="518">
        <f>SUM('#64-Levindale:#5034-Mt. Washington Pediatric'!F86)</f>
        <v>0</v>
      </c>
      <c r="H66" s="518">
        <f>SUM('#64-Levindale:#5034-Mt. Washington Pediatric'!G86)</f>
        <v>0</v>
      </c>
      <c r="I66" s="534">
        <f>SUM('#64-Levindale:#5034-Mt. Washington Pediatric'!H86)</f>
        <v>0</v>
      </c>
      <c r="J66" s="534">
        <f>SUM('#64-Levindale:#5034-Mt. Washington Pediatric'!I86)</f>
        <v>0</v>
      </c>
      <c r="K66" s="534">
        <f>SUM('#64-Levindale:#5034-Mt. Washington Pediatric'!J86)</f>
        <v>0</v>
      </c>
      <c r="L66" s="534">
        <f>SUM('#64-Levindale:#5034-Mt. Washington Pediatric'!K86)</f>
        <v>0</v>
      </c>
      <c r="M66" s="534">
        <f>L66-J66</f>
        <v>0</v>
      </c>
      <c r="N66" s="493"/>
      <c r="O66" s="493"/>
    </row>
    <row r="67" spans="1:15">
      <c r="A67" s="498" t="s">
        <v>439</v>
      </c>
      <c r="B67" s="486"/>
      <c r="C67" s="492" t="s">
        <v>14</v>
      </c>
      <c r="D67" s="492"/>
      <c r="E67" s="492"/>
      <c r="F67" s="492"/>
      <c r="G67" s="518">
        <f>SUM('#64-Levindale:#5034-Mt. Washington Pediatric'!F87)</f>
        <v>0</v>
      </c>
      <c r="H67" s="518">
        <f>SUM('#64-Levindale:#5034-Mt. Washington Pediatric'!G87)</f>
        <v>0</v>
      </c>
      <c r="I67" s="534">
        <f>SUM('#64-Levindale:#5034-Mt. Washington Pediatric'!H87)</f>
        <v>58.96457778981771</v>
      </c>
      <c r="J67" s="534">
        <f>SUM('#64-Levindale:#5034-Mt. Washington Pediatric'!I87)</f>
        <v>63.530627650348855</v>
      </c>
      <c r="K67" s="534">
        <f>SUM('#64-Levindale:#5034-Mt. Washington Pediatric'!J87)</f>
        <v>0</v>
      </c>
      <c r="L67" s="534">
        <f>SUM('#64-Levindale:#5034-Mt. Washington Pediatric'!K87)</f>
        <v>122.49520544016656</v>
      </c>
      <c r="M67" s="534">
        <f t="shared" ref="M67:M76" si="8">L67-J67</f>
        <v>58.964577789817703</v>
      </c>
      <c r="N67" s="493"/>
      <c r="O67" s="493"/>
    </row>
    <row r="68" spans="1:15">
      <c r="A68" s="498" t="s">
        <v>440</v>
      </c>
      <c r="B68" s="498"/>
      <c r="C68" s="492" t="s">
        <v>924</v>
      </c>
      <c r="D68" s="492"/>
      <c r="E68" s="492"/>
      <c r="F68" s="492"/>
      <c r="G68" s="518">
        <f>SUM('#64-Levindale:#5034-Mt. Washington Pediatric'!F88)</f>
        <v>106</v>
      </c>
      <c r="H68" s="518">
        <f>SUM('#64-Levindale:#5034-Mt. Washington Pediatric'!G88)</f>
        <v>25</v>
      </c>
      <c r="I68" s="534">
        <f>SUM('#64-Levindale:#5034-Mt. Washington Pediatric'!H88)</f>
        <v>36120.169082250643</v>
      </c>
      <c r="J68" s="534">
        <f>SUM('#64-Levindale:#5034-Mt. Washington Pediatric'!I88)</f>
        <v>25598.95173384076</v>
      </c>
      <c r="K68" s="534">
        <f>SUM('#64-Levindale:#5034-Mt. Washington Pediatric'!J88)</f>
        <v>0</v>
      </c>
      <c r="L68" s="534">
        <f>SUM('#64-Levindale:#5034-Mt. Washington Pediatric'!K88)</f>
        <v>61719.120816091403</v>
      </c>
      <c r="M68" s="534">
        <f t="shared" si="8"/>
        <v>36120.169082250643</v>
      </c>
      <c r="N68" s="493"/>
      <c r="O68" s="493"/>
    </row>
    <row r="69" spans="1:15">
      <c r="A69" s="498" t="s">
        <v>441</v>
      </c>
      <c r="B69" s="498"/>
      <c r="C69" s="492" t="s">
        <v>58</v>
      </c>
      <c r="D69" s="492"/>
      <c r="E69" s="492"/>
      <c r="F69" s="492"/>
      <c r="G69" s="518">
        <f>SUM('#64-Levindale:#5034-Mt. Washington Pediatric'!F89)</f>
        <v>0</v>
      </c>
      <c r="H69" s="518">
        <f>SUM('#64-Levindale:#5034-Mt. Washington Pediatric'!G89)</f>
        <v>0</v>
      </c>
      <c r="I69" s="534">
        <f>SUM('#64-Levindale:#5034-Mt. Washington Pediatric'!H89)</f>
        <v>33.579827351489406</v>
      </c>
      <c r="J69" s="534">
        <f>SUM('#64-Levindale:#5034-Mt. Washington Pediatric'!I89)</f>
        <v>36.180154051724095</v>
      </c>
      <c r="K69" s="534">
        <f>SUM('#64-Levindale:#5034-Mt. Washington Pediatric'!J89)</f>
        <v>0</v>
      </c>
      <c r="L69" s="534">
        <f>SUM('#64-Levindale:#5034-Mt. Washington Pediatric'!K89)</f>
        <v>69.759981403213501</v>
      </c>
      <c r="M69" s="534">
        <f t="shared" si="8"/>
        <v>33.579827351489406</v>
      </c>
      <c r="N69" s="493"/>
      <c r="O69" s="493"/>
    </row>
    <row r="70" spans="1:15">
      <c r="A70" s="498" t="s">
        <v>442</v>
      </c>
      <c r="B70" s="498"/>
      <c r="C70" s="491" t="s">
        <v>59</v>
      </c>
      <c r="D70" s="492"/>
      <c r="E70" s="492"/>
      <c r="F70" s="492"/>
      <c r="G70" s="518">
        <f>SUM('#64-Levindale:#5034-Mt. Washington Pediatric'!F90)</f>
        <v>8</v>
      </c>
      <c r="H70" s="518">
        <f>SUM('#64-Levindale:#5034-Mt. Washington Pediatric'!G90)</f>
        <v>50</v>
      </c>
      <c r="I70" s="534">
        <f>SUM('#64-Levindale:#5034-Mt. Washington Pediatric'!H90)</f>
        <v>641.58294930899706</v>
      </c>
      <c r="J70" s="534">
        <f>SUM('#64-Levindale:#5034-Mt. Washington Pediatric'!I90)</f>
        <v>337.18084449610012</v>
      </c>
      <c r="K70" s="534">
        <f>SUM('#64-Levindale:#5034-Mt. Washington Pediatric'!J90)</f>
        <v>0</v>
      </c>
      <c r="L70" s="534">
        <f>SUM('#64-Levindale:#5034-Mt. Washington Pediatric'!K90)</f>
        <v>978.76379380509718</v>
      </c>
      <c r="M70" s="534">
        <f t="shared" si="8"/>
        <v>641.58294930899706</v>
      </c>
      <c r="N70" s="493"/>
      <c r="O70" s="493"/>
    </row>
    <row r="71" spans="1:15">
      <c r="A71" s="498" t="s">
        <v>443</v>
      </c>
      <c r="B71" s="498"/>
      <c r="C71" s="492" t="s">
        <v>60</v>
      </c>
      <c r="D71" s="519"/>
      <c r="E71" s="519"/>
      <c r="F71" s="519"/>
      <c r="G71" s="518">
        <f>SUM('#64-Levindale:#5034-Mt. Washington Pediatric'!F91)</f>
        <v>833</v>
      </c>
      <c r="H71" s="518">
        <f>SUM('#64-Levindale:#5034-Mt. Washington Pediatric'!G91)</f>
        <v>3536</v>
      </c>
      <c r="I71" s="534">
        <f>SUM('#64-Levindale:#5034-Mt. Washington Pediatric'!H91)</f>
        <v>242932.3490217108</v>
      </c>
      <c r="J71" s="534">
        <f>SUM('#64-Levindale:#5034-Mt. Washington Pediatric'!I91)</f>
        <v>154313.75023528017</v>
      </c>
      <c r="K71" s="534">
        <f>SUM('#64-Levindale:#5034-Mt. Washington Pediatric'!J91)</f>
        <v>0</v>
      </c>
      <c r="L71" s="534">
        <f>SUM('#64-Levindale:#5034-Mt. Washington Pediatric'!K91)</f>
        <v>397246.09925699094</v>
      </c>
      <c r="M71" s="534">
        <f t="shared" si="8"/>
        <v>242932.34902171078</v>
      </c>
      <c r="N71" s="493"/>
      <c r="O71" s="493"/>
    </row>
    <row r="72" spans="1:15">
      <c r="A72" s="498" t="s">
        <v>444</v>
      </c>
      <c r="B72" s="498"/>
      <c r="C72" s="492" t="s">
        <v>925</v>
      </c>
      <c r="D72" s="492"/>
      <c r="E72" s="492"/>
      <c r="F72" s="492"/>
      <c r="G72" s="518">
        <f>SUM('#64-Levindale:#5034-Mt. Washington Pediatric'!F92)</f>
        <v>85</v>
      </c>
      <c r="H72" s="518">
        <f>SUM('#64-Levindale:#5034-Mt. Washington Pediatric'!G92)</f>
        <v>4</v>
      </c>
      <c r="I72" s="534">
        <f>SUM('#64-Levindale:#5034-Mt. Washington Pediatric'!H92)</f>
        <v>72422.226795576091</v>
      </c>
      <c r="J72" s="534">
        <f>SUM('#64-Levindale:#5034-Mt. Washington Pediatric'!I92)</f>
        <v>70133.799003133521</v>
      </c>
      <c r="K72" s="534">
        <f>SUM('#64-Levindale:#5034-Mt. Washington Pediatric'!J92)</f>
        <v>0</v>
      </c>
      <c r="L72" s="534">
        <f>SUM('#64-Levindale:#5034-Mt. Washington Pediatric'!K92)</f>
        <v>142556.02579870963</v>
      </c>
      <c r="M72" s="534">
        <f t="shared" si="8"/>
        <v>72422.226795576105</v>
      </c>
      <c r="N72" s="493"/>
      <c r="O72" s="493"/>
    </row>
    <row r="73" spans="1:15">
      <c r="A73" s="498" t="s">
        <v>445</v>
      </c>
      <c r="B73" s="498"/>
      <c r="C73" s="492" t="s">
        <v>926</v>
      </c>
      <c r="D73" s="492"/>
      <c r="E73" s="492"/>
      <c r="F73" s="492"/>
      <c r="G73" s="518">
        <f>SUM('#64-Levindale:#5034-Mt. Washington Pediatric'!F93)</f>
        <v>24</v>
      </c>
      <c r="H73" s="518">
        <f>SUM('#64-Levindale:#5034-Mt. Washington Pediatric'!G93)</f>
        <v>75</v>
      </c>
      <c r="I73" s="534">
        <f>SUM('#64-Levindale:#5034-Mt. Washington Pediatric'!H93)</f>
        <v>46134.302498865531</v>
      </c>
      <c r="J73" s="534">
        <f>SUM('#64-Levindale:#5034-Mt. Washington Pediatric'!I93)</f>
        <v>35072.215944583339</v>
      </c>
      <c r="K73" s="534">
        <f>SUM('#64-Levindale:#5034-Mt. Washington Pediatric'!J93)</f>
        <v>21804</v>
      </c>
      <c r="L73" s="534">
        <f>SUM('#64-Levindale:#5034-Mt. Washington Pediatric'!K93)</f>
        <v>59402.518443448876</v>
      </c>
      <c r="M73" s="534">
        <f t="shared" si="8"/>
        <v>24330.302498865538</v>
      </c>
      <c r="N73" s="493"/>
      <c r="O73" s="493"/>
    </row>
    <row r="74" spans="1:15">
      <c r="A74" s="498" t="s">
        <v>654</v>
      </c>
      <c r="B74" s="498"/>
      <c r="C74" s="492" t="s">
        <v>367</v>
      </c>
      <c r="D74" s="492"/>
      <c r="E74" s="492"/>
      <c r="F74" s="492"/>
      <c r="G74" s="518">
        <f>SUM('#64-Levindale:#5034-Mt. Washington Pediatric'!F94)</f>
        <v>0</v>
      </c>
      <c r="H74" s="518">
        <f>SUM('#64-Levindale:#5034-Mt. Washington Pediatric'!G94)</f>
        <v>0</v>
      </c>
      <c r="I74" s="534">
        <f>SUM('#64-Levindale:#5034-Mt. Washington Pediatric'!H94)</f>
        <v>0</v>
      </c>
      <c r="J74" s="534">
        <f>SUM('#64-Levindale:#5034-Mt. Washington Pediatric'!I94)</f>
        <v>0</v>
      </c>
      <c r="K74" s="534">
        <f>SUM('#64-Levindale:#5034-Mt. Washington Pediatric'!J94)</f>
        <v>0</v>
      </c>
      <c r="L74" s="534">
        <f>SUM('#64-Levindale:#5034-Mt. Washington Pediatric'!K94)</f>
        <v>0</v>
      </c>
      <c r="M74" s="534">
        <f t="shared" si="8"/>
        <v>0</v>
      </c>
      <c r="N74" s="493"/>
      <c r="O74" s="493"/>
    </row>
    <row r="75" spans="1:15">
      <c r="A75" s="498" t="s">
        <v>112</v>
      </c>
      <c r="B75" s="498"/>
      <c r="C75" s="492" t="s">
        <v>367</v>
      </c>
      <c r="D75" s="492"/>
      <c r="E75" s="492"/>
      <c r="F75" s="492"/>
      <c r="G75" s="518">
        <f>SUM('#64-Levindale:#5034-Mt. Washington Pediatric'!F95)</f>
        <v>0</v>
      </c>
      <c r="H75" s="518">
        <f>SUM('#64-Levindale:#5034-Mt. Washington Pediatric'!G95)</f>
        <v>0</v>
      </c>
      <c r="I75" s="534">
        <f>SUM('#64-Levindale:#5034-Mt. Washington Pediatric'!H95)</f>
        <v>0</v>
      </c>
      <c r="J75" s="534">
        <f>SUM('#64-Levindale:#5034-Mt. Washington Pediatric'!I95)</f>
        <v>0</v>
      </c>
      <c r="K75" s="534">
        <f>SUM('#64-Levindale:#5034-Mt. Washington Pediatric'!J95)</f>
        <v>0</v>
      </c>
      <c r="L75" s="534">
        <f>SUM('#64-Levindale:#5034-Mt. Washington Pediatric'!K95)</f>
        <v>0</v>
      </c>
      <c r="M75" s="534">
        <f t="shared" si="8"/>
        <v>0</v>
      </c>
      <c r="N75" s="493"/>
      <c r="O75" s="493"/>
    </row>
    <row r="76" spans="1:15">
      <c r="A76" s="498" t="s">
        <v>927</v>
      </c>
      <c r="B76" s="498"/>
      <c r="C76" s="639"/>
      <c r="D76" s="639"/>
      <c r="E76" s="640"/>
      <c r="F76" s="535"/>
      <c r="G76" s="518">
        <f>SUM('#64-Levindale:#5034-Mt. Washington Pediatric'!F96)</f>
        <v>0</v>
      </c>
      <c r="H76" s="518">
        <f>SUM('#64-Levindale:#5034-Mt. Washington Pediatric'!G96)</f>
        <v>0</v>
      </c>
      <c r="I76" s="534">
        <f>SUM('#64-Levindale:#5034-Mt. Washington Pediatric'!H96)</f>
        <v>0</v>
      </c>
      <c r="J76" s="534">
        <f>SUM('#64-Levindale:#5034-Mt. Washington Pediatric'!I96)</f>
        <v>0</v>
      </c>
      <c r="K76" s="534">
        <f>SUM('#64-Levindale:#5034-Mt. Washington Pediatric'!J96)</f>
        <v>0</v>
      </c>
      <c r="L76" s="534">
        <f>SUM('#64-Levindale:#5034-Mt. Washington Pediatric'!K96)</f>
        <v>0</v>
      </c>
      <c r="M76" s="534">
        <f t="shared" si="8"/>
        <v>0</v>
      </c>
      <c r="N76" s="493"/>
      <c r="O76" s="493"/>
    </row>
    <row r="77" spans="1:15">
      <c r="B77" s="498"/>
      <c r="D77" s="492"/>
      <c r="E77" s="492"/>
      <c r="F77" s="492"/>
      <c r="I77" s="505"/>
      <c r="J77" s="505"/>
      <c r="K77" s="505"/>
      <c r="L77" s="505"/>
      <c r="M77" s="493"/>
      <c r="N77" s="493"/>
      <c r="O77" s="493"/>
    </row>
    <row r="78" spans="1:15">
      <c r="A78" s="486" t="s">
        <v>150</v>
      </c>
      <c r="B78" s="498"/>
      <c r="C78" s="492" t="s">
        <v>295</v>
      </c>
      <c r="G78" s="518">
        <f>SUM(G66:G76)</f>
        <v>1056</v>
      </c>
      <c r="H78" s="518">
        <f t="shared" ref="H78:M78" si="9">SUM(H66:H76)</f>
        <v>3690</v>
      </c>
      <c r="I78" s="534">
        <f t="shared" si="9"/>
        <v>398343.1747528534</v>
      </c>
      <c r="J78" s="534">
        <f t="shared" si="9"/>
        <v>285555.60854303598</v>
      </c>
      <c r="K78" s="534">
        <f t="shared" si="9"/>
        <v>21804</v>
      </c>
      <c r="L78" s="534">
        <f t="shared" si="9"/>
        <v>662094.78329588939</v>
      </c>
      <c r="M78" s="534">
        <f t="shared" si="9"/>
        <v>376539.17475285335</v>
      </c>
      <c r="N78" s="493"/>
      <c r="O78" s="493"/>
    </row>
    <row r="79" spans="1:15">
      <c r="A79" s="498"/>
      <c r="B79" s="498"/>
      <c r="C79" s="492"/>
      <c r="G79" s="509"/>
      <c r="H79" s="509"/>
      <c r="I79" s="509"/>
      <c r="J79" s="509"/>
      <c r="K79" s="509"/>
      <c r="L79" s="509"/>
      <c r="M79" s="509"/>
      <c r="N79" s="493"/>
      <c r="O79" s="493"/>
    </row>
    <row r="80" spans="1:15">
      <c r="A80" s="487"/>
      <c r="B80" s="487"/>
      <c r="C80" s="492"/>
      <c r="K80" s="496"/>
      <c r="L80" s="497"/>
      <c r="N80" s="493"/>
      <c r="O80" s="493"/>
    </row>
    <row r="81" spans="1:15" ht="46.5" customHeight="1">
      <c r="A81" s="492" t="s">
        <v>928</v>
      </c>
      <c r="B81" s="492"/>
      <c r="C81" s="492" t="s">
        <v>63</v>
      </c>
      <c r="G81" s="489" t="s">
        <v>9</v>
      </c>
      <c r="H81" s="489" t="s">
        <v>37</v>
      </c>
      <c r="I81" s="489" t="s">
        <v>915</v>
      </c>
      <c r="J81" s="489" t="s">
        <v>916</v>
      </c>
      <c r="K81" s="490" t="s">
        <v>281</v>
      </c>
      <c r="L81" s="495" t="s">
        <v>913</v>
      </c>
      <c r="M81" s="489" t="s">
        <v>914</v>
      </c>
      <c r="N81" s="493"/>
      <c r="O81" s="493"/>
    </row>
    <row r="82" spans="1:15">
      <c r="A82" s="487"/>
      <c r="B82" s="487"/>
      <c r="C82" s="492"/>
      <c r="K82" s="496"/>
      <c r="L82" s="497"/>
      <c r="N82" s="493"/>
      <c r="O82" s="493"/>
    </row>
    <row r="83" spans="1:15">
      <c r="A83" s="498" t="s">
        <v>447</v>
      </c>
      <c r="B83" s="487"/>
      <c r="C83" s="483" t="s">
        <v>929</v>
      </c>
      <c r="G83" s="518">
        <f>SUM('#64-Levindale:#5034-Mt. Washington Pediatric'!F102)</f>
        <v>2880.5245941086127</v>
      </c>
      <c r="H83" s="518">
        <f>SUM('#64-Levindale:#5034-Mt. Washington Pediatric'!G102)</f>
        <v>45.082359045377181</v>
      </c>
      <c r="I83" s="534">
        <f>SUM('#64-Levindale:#5034-Mt. Washington Pediatric'!H102)</f>
        <v>360381.64596761548</v>
      </c>
      <c r="J83" s="534">
        <f>SUM('#64-Levindale:#5034-Mt. Washington Pediatric'!I102)</f>
        <v>250182.55252632505</v>
      </c>
      <c r="K83" s="534">
        <f>SUM('#64-Levindale:#5034-Mt. Washington Pediatric'!J102)</f>
        <v>0</v>
      </c>
      <c r="L83" s="534">
        <f>SUM('#64-Levindale:#5034-Mt. Washington Pediatric'!K102)</f>
        <v>610564.19849394052</v>
      </c>
      <c r="M83" s="534">
        <f>L83-J83</f>
        <v>360381.64596761548</v>
      </c>
      <c r="N83" s="493"/>
      <c r="O83" s="493"/>
    </row>
    <row r="84" spans="1:15">
      <c r="A84" s="498" t="s">
        <v>448</v>
      </c>
      <c r="B84" s="486"/>
      <c r="C84" s="506" t="s">
        <v>62</v>
      </c>
      <c r="G84" s="518">
        <f>SUM('#64-Levindale:#5034-Mt. Washington Pediatric'!F103)</f>
        <v>68.757791735436768</v>
      </c>
      <c r="H84" s="518">
        <f>SUM('#64-Levindale:#5034-Mt. Washington Pediatric'!G103)</f>
        <v>7.6007450335998925</v>
      </c>
      <c r="I84" s="534">
        <f>SUM('#64-Levindale:#5034-Mt. Washington Pediatric'!H103)</f>
        <v>13069.810850654323</v>
      </c>
      <c r="J84" s="534">
        <f>SUM('#64-Levindale:#5034-Mt. Washington Pediatric'!I103)</f>
        <v>9335.7733440307366</v>
      </c>
      <c r="K84" s="534">
        <f>SUM('#64-Levindale:#5034-Mt. Washington Pediatric'!J103)</f>
        <v>0</v>
      </c>
      <c r="L84" s="534">
        <f>SUM('#64-Levindale:#5034-Mt. Washington Pediatric'!K103)</f>
        <v>22405.58419468506</v>
      </c>
      <c r="M84" s="534">
        <f t="shared" ref="M84:M87" si="10">L84-J84</f>
        <v>13069.810850654323</v>
      </c>
      <c r="N84" s="493"/>
      <c r="O84" s="493"/>
    </row>
    <row r="85" spans="1:15">
      <c r="A85" s="498" t="s">
        <v>642</v>
      </c>
      <c r="B85" s="498"/>
      <c r="C85" s="483" t="s">
        <v>630</v>
      </c>
      <c r="D85" s="507"/>
      <c r="E85" s="507"/>
      <c r="F85" s="507"/>
      <c r="G85" s="518">
        <f>SUM('#64-Levindale:#5034-Mt. Washington Pediatric'!F104)</f>
        <v>0</v>
      </c>
      <c r="H85" s="518">
        <f>SUM('#64-Levindale:#5034-Mt. Washington Pediatric'!G104)</f>
        <v>0</v>
      </c>
      <c r="I85" s="534">
        <f>SUM('#64-Levindale:#5034-Mt. Washington Pediatric'!H104)</f>
        <v>0</v>
      </c>
      <c r="J85" s="534">
        <f>SUM('#64-Levindale:#5034-Mt. Washington Pediatric'!I104)</f>
        <v>0</v>
      </c>
      <c r="K85" s="534">
        <f>SUM('#64-Levindale:#5034-Mt. Washington Pediatric'!J104)</f>
        <v>0</v>
      </c>
      <c r="L85" s="534">
        <f>SUM('#64-Levindale:#5034-Mt. Washington Pediatric'!K104)</f>
        <v>0</v>
      </c>
      <c r="M85" s="534">
        <f t="shared" si="10"/>
        <v>0</v>
      </c>
      <c r="N85" s="493"/>
      <c r="O85" s="493"/>
    </row>
    <row r="86" spans="1:15">
      <c r="A86" s="498" t="s">
        <v>677</v>
      </c>
      <c r="B86" s="498"/>
      <c r="C86" s="492"/>
      <c r="G86" s="518">
        <f>SUM('#64-Levindale:#5034-Mt. Washington Pediatric'!F105)</f>
        <v>0</v>
      </c>
      <c r="H86" s="518">
        <f>SUM('#64-Levindale:#5034-Mt. Washington Pediatric'!G105)</f>
        <v>0</v>
      </c>
      <c r="I86" s="534">
        <f>SUM('#64-Levindale:#5034-Mt. Washington Pediatric'!H105)</f>
        <v>0</v>
      </c>
      <c r="J86" s="534">
        <f>SUM('#64-Levindale:#5034-Mt. Washington Pediatric'!I105)</f>
        <v>0</v>
      </c>
      <c r="K86" s="534">
        <f>SUM('#64-Levindale:#5034-Mt. Washington Pediatric'!J105)</f>
        <v>0</v>
      </c>
      <c r="L86" s="534">
        <f>SUM('#64-Levindale:#5034-Mt. Washington Pediatric'!K105)</f>
        <v>0</v>
      </c>
      <c r="M86" s="534">
        <f t="shared" si="10"/>
        <v>0</v>
      </c>
      <c r="N86" s="493"/>
      <c r="O86" s="493"/>
    </row>
    <row r="87" spans="1:15">
      <c r="A87" s="498" t="s">
        <v>679</v>
      </c>
      <c r="B87" s="498"/>
      <c r="C87" s="492"/>
      <c r="G87" s="518">
        <f>SUM('#64-Levindale:#5034-Mt. Washington Pediatric'!F106)</f>
        <v>0</v>
      </c>
      <c r="H87" s="518">
        <f>SUM('#64-Levindale:#5034-Mt. Washington Pediatric'!G106)</f>
        <v>0</v>
      </c>
      <c r="I87" s="534">
        <f>SUM('#64-Levindale:#5034-Mt. Washington Pediatric'!H106)</f>
        <v>0</v>
      </c>
      <c r="J87" s="534">
        <f>SUM('#64-Levindale:#5034-Mt. Washington Pediatric'!I106)</f>
        <v>0</v>
      </c>
      <c r="K87" s="534">
        <f>SUM('#64-Levindale:#5034-Mt. Washington Pediatric'!J106)</f>
        <v>0</v>
      </c>
      <c r="L87" s="534">
        <f>SUM('#64-Levindale:#5034-Mt. Washington Pediatric'!K106)</f>
        <v>0</v>
      </c>
      <c r="M87" s="534">
        <f t="shared" si="10"/>
        <v>0</v>
      </c>
      <c r="N87" s="493"/>
      <c r="O87" s="493"/>
    </row>
    <row r="88" spans="1:15">
      <c r="A88" s="498"/>
      <c r="B88" s="498"/>
      <c r="C88" s="492"/>
      <c r="G88" s="520"/>
      <c r="H88" s="521"/>
      <c r="I88" s="521"/>
      <c r="J88" s="521"/>
      <c r="K88" s="521"/>
      <c r="L88" s="521"/>
      <c r="N88" s="493"/>
      <c r="O88" s="493"/>
    </row>
    <row r="89" spans="1:15">
      <c r="A89" s="492" t="s">
        <v>153</v>
      </c>
      <c r="B89" s="487"/>
      <c r="C89" s="492" t="s">
        <v>295</v>
      </c>
      <c r="D89" s="493"/>
      <c r="E89" s="493"/>
      <c r="F89" s="493"/>
      <c r="G89" s="518">
        <f>SUM(G83:G87)</f>
        <v>2949.2823858440497</v>
      </c>
      <c r="H89" s="518">
        <f t="shared" ref="H89:M89" si="11">SUM(H83:H87)</f>
        <v>52.683104078977074</v>
      </c>
      <c r="I89" s="534">
        <f t="shared" si="11"/>
        <v>373451.4568182698</v>
      </c>
      <c r="J89" s="534">
        <f t="shared" si="11"/>
        <v>259518.32587035579</v>
      </c>
      <c r="K89" s="534">
        <f t="shared" si="11"/>
        <v>0</v>
      </c>
      <c r="L89" s="534">
        <f t="shared" si="11"/>
        <v>632969.78268862562</v>
      </c>
      <c r="M89" s="534">
        <f t="shared" si="11"/>
        <v>373451.4568182698</v>
      </c>
      <c r="N89" s="493"/>
      <c r="O89" s="493"/>
    </row>
    <row r="90" spans="1:15">
      <c r="A90" s="487"/>
      <c r="B90" s="487"/>
      <c r="C90" s="492"/>
      <c r="D90" s="493"/>
      <c r="E90" s="493"/>
      <c r="F90" s="493"/>
      <c r="G90" s="522"/>
      <c r="H90" s="522"/>
      <c r="I90" s="522"/>
      <c r="J90" s="522"/>
      <c r="K90" s="522"/>
      <c r="L90" s="522"/>
      <c r="M90" s="493"/>
      <c r="N90" s="493"/>
      <c r="O90" s="493"/>
    </row>
    <row r="91" spans="1:15">
      <c r="A91" s="487"/>
      <c r="B91" s="487"/>
      <c r="C91" s="492"/>
      <c r="D91" s="493"/>
      <c r="E91" s="493"/>
      <c r="F91" s="493"/>
      <c r="K91" s="496"/>
      <c r="L91" s="497"/>
      <c r="M91" s="493"/>
      <c r="N91" s="493"/>
      <c r="O91" s="493"/>
    </row>
    <row r="92" spans="1:15">
      <c r="A92" s="486" t="s">
        <v>930</v>
      </c>
      <c r="B92" s="487"/>
      <c r="C92" s="492" t="s">
        <v>39</v>
      </c>
      <c r="K92" s="496"/>
      <c r="L92" s="497"/>
      <c r="N92" s="493"/>
      <c r="O92" s="493"/>
    </row>
    <row r="93" spans="1:15">
      <c r="B93" s="487"/>
      <c r="G93" s="501">
        <f>SUM('#64-Levindale:#5034-Mt. Washington Pediatric'!F111)</f>
        <v>12771998.382000001</v>
      </c>
      <c r="I93" s="514"/>
      <c r="J93" s="514"/>
      <c r="K93" s="496"/>
      <c r="L93" s="497"/>
      <c r="N93" s="493"/>
      <c r="O93" s="493"/>
    </row>
    <row r="94" spans="1:15">
      <c r="B94" s="486"/>
      <c r="C94" s="492"/>
      <c r="K94" s="496"/>
      <c r="L94" s="497"/>
      <c r="N94" s="493"/>
      <c r="O94" s="493"/>
    </row>
    <row r="95" spans="1:15">
      <c r="A95" s="487"/>
      <c r="B95" s="487"/>
      <c r="K95" s="496"/>
      <c r="L95" s="497"/>
      <c r="N95" s="493"/>
      <c r="O95" s="493"/>
    </row>
    <row r="96" spans="1:15" ht="44.25" customHeight="1">
      <c r="A96" s="487"/>
      <c r="B96" s="487"/>
      <c r="G96" s="489" t="s">
        <v>9</v>
      </c>
      <c r="H96" s="489" t="s">
        <v>37</v>
      </c>
      <c r="I96" s="489" t="s">
        <v>915</v>
      </c>
      <c r="J96" s="489" t="s">
        <v>916</v>
      </c>
      <c r="K96" s="490" t="s">
        <v>281</v>
      </c>
      <c r="L96" s="495" t="s">
        <v>913</v>
      </c>
      <c r="M96" s="489" t="s">
        <v>914</v>
      </c>
      <c r="N96" s="493"/>
      <c r="O96" s="493"/>
    </row>
    <row r="97" spans="1:15">
      <c r="A97" s="486" t="s">
        <v>931</v>
      </c>
      <c r="B97" s="498"/>
      <c r="C97" s="492" t="s">
        <v>23</v>
      </c>
      <c r="K97" s="496"/>
      <c r="L97" s="497"/>
      <c r="N97" s="493"/>
      <c r="O97" s="493"/>
    </row>
    <row r="98" spans="1:15">
      <c r="B98" s="487"/>
      <c r="C98" s="492"/>
      <c r="G98" s="523"/>
      <c r="H98" s="523"/>
      <c r="I98" s="524"/>
      <c r="J98" s="524"/>
      <c r="K98" s="524"/>
      <c r="L98" s="524"/>
      <c r="M98" s="524"/>
      <c r="N98" s="493"/>
      <c r="O98" s="493"/>
    </row>
    <row r="99" spans="1:15">
      <c r="A99" s="498" t="s">
        <v>463</v>
      </c>
      <c r="B99" s="486"/>
      <c r="C99" s="492" t="s">
        <v>24</v>
      </c>
      <c r="G99" s="518">
        <f>SUM('#64-Levindale:#5034-Mt. Washington Pediatric'!F131)</f>
        <v>0</v>
      </c>
      <c r="H99" s="518">
        <f>SUM('#64-Levindale:#5034-Mt. Washington Pediatric'!G131)</f>
        <v>0</v>
      </c>
      <c r="I99" s="534">
        <f>SUM('#64-Levindale:#5034-Mt. Washington Pediatric'!H131)</f>
        <v>0</v>
      </c>
      <c r="J99" s="534">
        <f>SUM('#64-Levindale:#5034-Mt. Washington Pediatric'!I131)</f>
        <v>0</v>
      </c>
      <c r="K99" s="534">
        <f>SUM('#64-Levindale:#5034-Mt. Washington Pediatric'!J131)</f>
        <v>0</v>
      </c>
      <c r="L99" s="534">
        <f>SUM('#64-Levindale:#5034-Mt. Washington Pediatric'!K131)</f>
        <v>0</v>
      </c>
      <c r="M99" s="534">
        <f>L99-J99</f>
        <v>0</v>
      </c>
      <c r="N99" s="493"/>
      <c r="O99" s="493"/>
    </row>
    <row r="100" spans="1:15">
      <c r="A100" s="498" t="s">
        <v>464</v>
      </c>
      <c r="B100" s="498"/>
      <c r="C100" s="492" t="s">
        <v>25</v>
      </c>
      <c r="G100" s="518">
        <f>SUM('#64-Levindale:#5034-Mt. Washington Pediatric'!F132)</f>
        <v>0</v>
      </c>
      <c r="H100" s="518">
        <f>SUM('#64-Levindale:#5034-Mt. Washington Pediatric'!G132)</f>
        <v>0</v>
      </c>
      <c r="I100" s="534">
        <f>SUM('#64-Levindale:#5034-Mt. Washington Pediatric'!H132)</f>
        <v>0</v>
      </c>
      <c r="J100" s="534">
        <f>SUM('#64-Levindale:#5034-Mt. Washington Pediatric'!I132)</f>
        <v>0</v>
      </c>
      <c r="K100" s="534">
        <f>SUM('#64-Levindale:#5034-Mt. Washington Pediatric'!J132)</f>
        <v>0</v>
      </c>
      <c r="L100" s="534">
        <f>SUM('#64-Levindale:#5034-Mt. Washington Pediatric'!K132)</f>
        <v>0</v>
      </c>
      <c r="M100" s="534">
        <f t="shared" ref="M100:M103" si="12">L100-J100</f>
        <v>0</v>
      </c>
      <c r="N100" s="493"/>
      <c r="O100" s="493"/>
    </row>
    <row r="101" spans="1:15">
      <c r="A101" s="498" t="s">
        <v>946</v>
      </c>
      <c r="B101" s="498"/>
      <c r="C101" s="492" t="s">
        <v>367</v>
      </c>
      <c r="G101" s="518">
        <f>SUM('#64-Levindale:#5034-Mt. Washington Pediatric'!F133)</f>
        <v>0</v>
      </c>
      <c r="H101" s="518">
        <f>SUM('#64-Levindale:#5034-Mt. Washington Pediatric'!G133)</f>
        <v>0</v>
      </c>
      <c r="I101" s="534">
        <f>SUM('#64-Levindale:#5034-Mt. Washington Pediatric'!H133)</f>
        <v>0</v>
      </c>
      <c r="J101" s="534">
        <f>SUM('#64-Levindale:#5034-Mt. Washington Pediatric'!I133)</f>
        <v>0</v>
      </c>
      <c r="K101" s="534">
        <f>SUM('#64-Levindale:#5034-Mt. Washington Pediatric'!J133)</f>
        <v>0</v>
      </c>
      <c r="L101" s="534">
        <f>SUM('#64-Levindale:#5034-Mt. Washington Pediatric'!K133)</f>
        <v>0</v>
      </c>
      <c r="M101" s="534">
        <f t="shared" si="12"/>
        <v>0</v>
      </c>
      <c r="N101" s="493"/>
      <c r="O101" s="493"/>
    </row>
    <row r="102" spans="1:15">
      <c r="A102" s="498" t="s">
        <v>947</v>
      </c>
      <c r="B102" s="498"/>
      <c r="C102" s="492" t="s">
        <v>367</v>
      </c>
      <c r="G102" s="518">
        <f>SUM('#64-Levindale:#5034-Mt. Washington Pediatric'!F134)</f>
        <v>0</v>
      </c>
      <c r="H102" s="518">
        <f>SUM('#64-Levindale:#5034-Mt. Washington Pediatric'!G134)</f>
        <v>0</v>
      </c>
      <c r="I102" s="534">
        <f>SUM('#64-Levindale:#5034-Mt. Washington Pediatric'!H134)</f>
        <v>0</v>
      </c>
      <c r="J102" s="534">
        <f>SUM('#64-Levindale:#5034-Mt. Washington Pediatric'!I134)</f>
        <v>0</v>
      </c>
      <c r="K102" s="534">
        <f>SUM('#64-Levindale:#5034-Mt. Washington Pediatric'!J134)</f>
        <v>0</v>
      </c>
      <c r="L102" s="534">
        <f>SUM('#64-Levindale:#5034-Mt. Washington Pediatric'!K134)</f>
        <v>0</v>
      </c>
      <c r="M102" s="534">
        <f t="shared" si="12"/>
        <v>0</v>
      </c>
      <c r="N102" s="493"/>
      <c r="O102" s="493"/>
    </row>
    <row r="103" spans="1:15">
      <c r="A103" s="498" t="s">
        <v>948</v>
      </c>
      <c r="B103" s="498"/>
      <c r="C103" s="492" t="s">
        <v>367</v>
      </c>
      <c r="G103" s="518">
        <f>SUM('#64-Levindale:#5034-Mt. Washington Pediatric'!F135)</f>
        <v>0</v>
      </c>
      <c r="H103" s="518">
        <f>SUM('#64-Levindale:#5034-Mt. Washington Pediatric'!G135)</f>
        <v>0</v>
      </c>
      <c r="I103" s="534">
        <f>SUM('#64-Levindale:#5034-Mt. Washington Pediatric'!H135)</f>
        <v>0</v>
      </c>
      <c r="J103" s="534">
        <f>SUM('#64-Levindale:#5034-Mt. Washington Pediatric'!I135)</f>
        <v>0</v>
      </c>
      <c r="K103" s="534">
        <f>SUM('#64-Levindale:#5034-Mt. Washington Pediatric'!J135)</f>
        <v>0</v>
      </c>
      <c r="L103" s="534">
        <f>SUM('#64-Levindale:#5034-Mt. Washington Pediatric'!K135)</f>
        <v>0</v>
      </c>
      <c r="M103" s="534">
        <f t="shared" si="12"/>
        <v>0</v>
      </c>
      <c r="N103" s="493"/>
      <c r="O103" s="493"/>
    </row>
    <row r="104" spans="1:15">
      <c r="A104" s="498"/>
      <c r="B104" s="498"/>
      <c r="C104" s="492"/>
      <c r="G104" s="543"/>
      <c r="H104" s="543"/>
      <c r="I104" s="543"/>
      <c r="J104" s="543"/>
      <c r="K104" s="543"/>
      <c r="L104" s="544"/>
      <c r="M104" s="544"/>
      <c r="N104" s="493"/>
      <c r="O104" s="493"/>
    </row>
    <row r="105" spans="1:15">
      <c r="A105" s="498" t="s">
        <v>163</v>
      </c>
      <c r="B105" s="498"/>
      <c r="C105" s="492" t="s">
        <v>295</v>
      </c>
      <c r="G105" s="494">
        <f>SUM(G99:G103)</f>
        <v>0</v>
      </c>
      <c r="H105" s="494">
        <f t="shared" ref="H105:L105" si="13">SUM(H99:H103)</f>
        <v>0</v>
      </c>
      <c r="I105" s="534">
        <f t="shared" si="13"/>
        <v>0</v>
      </c>
      <c r="J105" s="534">
        <f t="shared" si="13"/>
        <v>0</v>
      </c>
      <c r="K105" s="534">
        <f t="shared" si="13"/>
        <v>0</v>
      </c>
      <c r="L105" s="534">
        <f t="shared" si="13"/>
        <v>0</v>
      </c>
      <c r="M105" s="534">
        <f>SUM(M99:M103)</f>
        <v>0</v>
      </c>
      <c r="N105" s="493"/>
      <c r="O105" s="493"/>
    </row>
    <row r="106" spans="1:15">
      <c r="A106" s="486"/>
      <c r="B106" s="486"/>
      <c r="G106" s="505"/>
      <c r="H106" s="505"/>
      <c r="I106" s="505"/>
      <c r="J106" s="505"/>
      <c r="K106" s="505"/>
      <c r="L106" s="505"/>
      <c r="M106" s="505"/>
    </row>
    <row r="107" spans="1:15" ht="46.5" customHeight="1">
      <c r="A107" s="492"/>
      <c r="G107" s="489" t="s">
        <v>9</v>
      </c>
      <c r="H107" s="489" t="s">
        <v>37</v>
      </c>
      <c r="I107" s="489" t="s">
        <v>915</v>
      </c>
      <c r="J107" s="489" t="s">
        <v>916</v>
      </c>
      <c r="K107" s="490" t="s">
        <v>281</v>
      </c>
      <c r="L107" s="495" t="s">
        <v>913</v>
      </c>
      <c r="M107" s="489" t="s">
        <v>914</v>
      </c>
    </row>
    <row r="108" spans="1:15">
      <c r="A108" s="483" t="s">
        <v>932</v>
      </c>
      <c r="C108" s="492" t="s">
        <v>26</v>
      </c>
      <c r="K108" s="496"/>
      <c r="L108" s="497"/>
    </row>
    <row r="109" spans="1:15">
      <c r="A109" s="498" t="s">
        <v>933</v>
      </c>
      <c r="B109" s="486"/>
      <c r="C109" s="492" t="s">
        <v>64</v>
      </c>
      <c r="G109" s="518">
        <f>+G24</f>
        <v>10523</v>
      </c>
      <c r="H109" s="518">
        <f>+H24</f>
        <v>90892</v>
      </c>
      <c r="I109" s="534">
        <f>+I24</f>
        <v>771259.8904896595</v>
      </c>
      <c r="J109" s="534">
        <f>+J24</f>
        <v>618772.13990256342</v>
      </c>
      <c r="K109" s="534">
        <f>+K24</f>
        <v>182731.64677654998</v>
      </c>
      <c r="L109" s="534">
        <f t="shared" ref="L109:L118" si="14">+I109+J109-K109</f>
        <v>1207300.3836156731</v>
      </c>
      <c r="M109" s="534">
        <f t="shared" ref="M109:M118" si="15">+I109-K109</f>
        <v>588528.24371310952</v>
      </c>
      <c r="N109" s="493"/>
      <c r="O109" s="493"/>
    </row>
    <row r="110" spans="1:15">
      <c r="A110" s="498" t="s">
        <v>934</v>
      </c>
      <c r="B110" s="498"/>
      <c r="C110" s="492" t="s">
        <v>65</v>
      </c>
      <c r="G110" s="518">
        <f>+G38</f>
        <v>14727</v>
      </c>
      <c r="H110" s="518">
        <f>+H38</f>
        <v>9655</v>
      </c>
      <c r="I110" s="534">
        <f>+I38</f>
        <v>2695951.7377622561</v>
      </c>
      <c r="J110" s="534">
        <f>+J38</f>
        <v>762518.80835999991</v>
      </c>
      <c r="K110" s="534">
        <f>+K38</f>
        <v>2119220.9274432501</v>
      </c>
      <c r="L110" s="534">
        <f t="shared" si="14"/>
        <v>1339249.6186790057</v>
      </c>
      <c r="M110" s="534">
        <f t="shared" si="15"/>
        <v>576730.81031900598</v>
      </c>
      <c r="N110" s="493"/>
      <c r="O110" s="493"/>
    </row>
    <row r="111" spans="1:15">
      <c r="A111" s="498" t="s">
        <v>935</v>
      </c>
      <c r="B111" s="498"/>
      <c r="C111" s="492" t="s">
        <v>66</v>
      </c>
      <c r="G111" s="518">
        <f>+G43</f>
        <v>30377</v>
      </c>
      <c r="H111" s="518">
        <f>+H43</f>
        <v>15680</v>
      </c>
      <c r="I111" s="534">
        <f>+I43</f>
        <v>6168660.0019681342</v>
      </c>
      <c r="J111" s="534">
        <f>+J43</f>
        <v>1953170.17313</v>
      </c>
      <c r="K111" s="534">
        <f>+K43</f>
        <v>1933811.01</v>
      </c>
      <c r="L111" s="534">
        <f t="shared" si="14"/>
        <v>6188019.1650981344</v>
      </c>
      <c r="M111" s="534">
        <f t="shared" si="15"/>
        <v>4234848.9919681344</v>
      </c>
      <c r="N111" s="493"/>
      <c r="O111" s="493"/>
    </row>
    <row r="112" spans="1:15">
      <c r="A112" s="498" t="s">
        <v>936</v>
      </c>
      <c r="B112" s="498"/>
      <c r="C112" s="492" t="s">
        <v>67</v>
      </c>
      <c r="G112" s="518">
        <f>+G51</f>
        <v>3285</v>
      </c>
      <c r="H112" s="518">
        <f>+H51</f>
        <v>0</v>
      </c>
      <c r="I112" s="534">
        <f>+I51</f>
        <v>231023.69876160275</v>
      </c>
      <c r="J112" s="534">
        <f>+J51</f>
        <v>0</v>
      </c>
      <c r="K112" s="534">
        <f>+K51</f>
        <v>0</v>
      </c>
      <c r="L112" s="534">
        <f t="shared" si="14"/>
        <v>231023.69876160275</v>
      </c>
      <c r="M112" s="534">
        <f t="shared" si="15"/>
        <v>231023.69876160275</v>
      </c>
      <c r="N112" s="493"/>
      <c r="O112" s="493"/>
    </row>
    <row r="113" spans="1:15">
      <c r="A113" s="498" t="s">
        <v>937</v>
      </c>
      <c r="B113" s="498"/>
      <c r="C113" s="492" t="s">
        <v>68</v>
      </c>
      <c r="G113" s="518">
        <f>+G60</f>
        <v>2928.75</v>
      </c>
      <c r="H113" s="518">
        <f>+H60</f>
        <v>18184</v>
      </c>
      <c r="I113" s="534">
        <f>+I60</f>
        <v>266503.39430203853</v>
      </c>
      <c r="J113" s="534">
        <f>+J60</f>
        <v>115320.79503333333</v>
      </c>
      <c r="K113" s="534">
        <f>+K60</f>
        <v>0</v>
      </c>
      <c r="L113" s="534">
        <f t="shared" si="14"/>
        <v>381824.18933537183</v>
      </c>
      <c r="M113" s="534">
        <f t="shared" si="15"/>
        <v>266503.39430203853</v>
      </c>
      <c r="N113" s="493"/>
      <c r="O113" s="493"/>
    </row>
    <row r="114" spans="1:15">
      <c r="A114" s="498" t="s">
        <v>938</v>
      </c>
      <c r="B114" s="498"/>
      <c r="C114" s="492" t="s">
        <v>69</v>
      </c>
      <c r="G114" s="518">
        <f>+G78</f>
        <v>1056</v>
      </c>
      <c r="H114" s="518">
        <f>+H78</f>
        <v>3690</v>
      </c>
      <c r="I114" s="534">
        <f>+I78</f>
        <v>398343.1747528534</v>
      </c>
      <c r="J114" s="534">
        <f>+J78</f>
        <v>285555.60854303598</v>
      </c>
      <c r="K114" s="534">
        <f>+K78</f>
        <v>21804</v>
      </c>
      <c r="L114" s="534">
        <f t="shared" si="14"/>
        <v>662094.78329588939</v>
      </c>
      <c r="M114" s="534">
        <f t="shared" si="15"/>
        <v>376539.1747528534</v>
      </c>
      <c r="N114" s="493"/>
      <c r="O114" s="493"/>
    </row>
    <row r="115" spans="1:15">
      <c r="A115" s="498" t="s">
        <v>939</v>
      </c>
      <c r="B115" s="498"/>
      <c r="C115" s="492" t="s">
        <v>61</v>
      </c>
      <c r="G115" s="518">
        <f>+G89</f>
        <v>2949.2823858440497</v>
      </c>
      <c r="H115" s="518">
        <f>+H89</f>
        <v>52.683104078977074</v>
      </c>
      <c r="I115" s="534">
        <f>+I89</f>
        <v>373451.4568182698</v>
      </c>
      <c r="J115" s="534">
        <f>+J89</f>
        <v>259518.32587035579</v>
      </c>
      <c r="K115" s="534">
        <f>+K89</f>
        <v>0</v>
      </c>
      <c r="L115" s="534">
        <f t="shared" si="14"/>
        <v>632969.78268862562</v>
      </c>
      <c r="M115" s="534">
        <f t="shared" si="15"/>
        <v>373451.4568182698</v>
      </c>
      <c r="N115" s="493"/>
      <c r="O115" s="493"/>
    </row>
    <row r="116" spans="1:15">
      <c r="A116" s="498" t="s">
        <v>940</v>
      </c>
      <c r="B116" s="498"/>
      <c r="C116" s="492" t="s">
        <v>70</v>
      </c>
      <c r="G116" s="518">
        <f>SUM('[8]#1-Meritus'!F148,'[8]#2-UMMS'!F148,'[8]#3-Prince George''s'!F148,'[8]#4-Holy Cross'!F148,'[8]#5-Frederick Memorial'!F148,'[8]#6-Harford Memorial'!F148,'[8]#7-St. Joseph'!F148,'[8]#8-Mercy'!F148,'[8]#9-Johns Hopkins'!F148,'[8]#10-Shore Health Dorchester'!F148,'[8]#11-St. Agnes'!F148,'[8]#12-Sinai'!F148,'[8]#13-Bon Secours'!F148,'[8]#15-Franklin Square'!F148,'[8]#16-Washington Adventist'!F148,'[8]#17-Garrett County'!F148,'[8]#18-Montgomery General'!F148,'[8]#19-Pennisula General'!F148,'[8]#22-Suburban'!F148,'[8]#23-Anne Arundel Medical Center'!F148,'[8]#24-Union Memorial'!F148,'[8]#27-Western Maryland Regional'!F148,'[8]#28-St. Mary''s'!F148,'[8]#29-JH Bayview'!F148,'[8]#30-Chester River'!F148,'[8]#32-Union Cecil County'!F148,'[8]#33-Carroll Hospital '!F148,'[8]#34-Harbor Hospital'!F148,'[8]#35-Civista Medical Center'!F148,'[8]#37-Shore Health Easton'!F148,'[8]#38-UM Midtown'!F148,'[8]#39-Calvert Memorial'!F148,'[8]#40-Northwest'!F148,'[8]#43-UM Baltimore Washington'!F148,'[8]#44-GBMC'!F148,'[8]#45-McCready'!F148,'[8]#48-Howard County'!F148,'[8]#49-UCH Upper Chesapeake'!F148,'[8]#51-Doctors Community'!F148,'[8]#55-Laurel Regional'!F148,'[8]#60-Ft Washington'!F148,'[8]#61-Atlantic General'!F148,'[8]#62-Southern Maryland'!F148,'[8]#2001-UM Rehab &amp; Ortho'!F148,'[8]#2004-Good Samaritan'!F148,'[8]#5034-Mt. Washington Pediatric'!F148,'[8]#5050-Shady Grove Adventist'!F148)</f>
        <v>0</v>
      </c>
      <c r="H116" s="518">
        <f>SUM('[8]#1-Meritus'!G148,'[8]#2-UMMS'!G148,'[8]#3-Prince George''s'!G148,'[8]#4-Holy Cross'!G148,'[8]#5-Frederick Memorial'!G148,'[8]#6-Harford Memorial'!G148,'[8]#7-St. Joseph'!G148,'[8]#8-Mercy'!G148,'[8]#9-Johns Hopkins'!G148,'[8]#10-Shore Health Dorchester'!G148,'[8]#11-St. Agnes'!G148,'[8]#12-Sinai'!G148,'[8]#13-Bon Secours'!G148,'[8]#15-Franklin Square'!G148,'[8]#16-Washington Adventist'!G148,'[8]#17-Garrett County'!G148,'[8]#18-Montgomery General'!G148,'[8]#19-Pennisula General'!G148,'[8]#22-Suburban'!G148,'[8]#23-Anne Arundel Medical Center'!G148,'[8]#24-Union Memorial'!G148,'[8]#27-Western Maryland Regional'!G148,'[8]#28-St. Mary''s'!G148,'[8]#29-JH Bayview'!G148,'[8]#30-Chester River'!G148,'[8]#32-Union Cecil County'!G148,'[8]#33-Carroll Hospital '!G148,'[8]#34-Harbor Hospital'!G148,'[8]#35-Civista Medical Center'!G148,'[8]#37-Shore Health Easton'!G148,'[8]#38-UM Midtown'!G148,'[8]#39-Calvert Memorial'!G148,'[8]#40-Northwest'!G148,'[8]#43-UM Baltimore Washington'!G148,'[8]#44-GBMC'!G148,'[8]#45-McCready'!G148,'[8]#48-Howard County'!G148,'[8]#49-UCH Upper Chesapeake'!G148,'[8]#51-Doctors Community'!G148,'[8]#55-Laurel Regional'!G148,'[8]#60-Ft Washington'!G148,'[8]#61-Atlantic General'!G148,'[8]#62-Southern Maryland'!G148,'[8]#2001-UM Rehab &amp; Ortho'!G148,'[8]#2004-Good Samaritan'!G148,'[8]#5034-Mt. Washington Pediatric'!G148,'[8]#5050-Shady Grove Adventist'!G148)</f>
        <v>0</v>
      </c>
      <c r="I116" s="534">
        <f>+G93</f>
        <v>12771998.382000001</v>
      </c>
      <c r="J116" s="534">
        <f>+H93</f>
        <v>0</v>
      </c>
      <c r="K116" s="534">
        <f>SUM('[8]#1-Meritus'!J148,'[8]#2-UMMS'!J148,'[8]#3-Prince George''s'!J148,'[8]#4-Holy Cross'!J148,'[8]#5-Frederick Memorial'!J148,'[8]#6-Harford Memorial'!J148,'[8]#7-St. Joseph'!J148,'[8]#8-Mercy'!J148,'[8]#9-Johns Hopkins'!J148,'[8]#10-Shore Health Dorchester'!J148,'[8]#11-St. Agnes'!J148,'[8]#12-Sinai'!J148,'[8]#13-Bon Secours'!J148,'[8]#15-Franklin Square'!J148,'[8]#16-Washington Adventist'!J148,'[8]#17-Garrett County'!J148,'[8]#18-Montgomery General'!J148,'[8]#19-Pennisula General'!J148,'[8]#22-Suburban'!J148,'[8]#23-Anne Arundel Medical Center'!J148,'[8]#24-Union Memorial'!J148,'[8]#27-Western Maryland Regional'!J148,'[8]#28-St. Mary''s'!J148,'[8]#29-JH Bayview'!J148,'[8]#30-Chester River'!J148,'[8]#32-Union Cecil County'!J148,'[8]#33-Carroll Hospital '!J148,'[8]#34-Harbor Hospital'!J148,'[8]#35-Civista Medical Center'!J148,'[8]#37-Shore Health Easton'!J148,'[8]#38-UM Midtown'!J148,'[8]#39-Calvert Memorial'!J148,'[8]#40-Northwest'!J148,'[8]#43-UM Baltimore Washington'!J148,'[8]#44-GBMC'!J148,'[8]#45-McCready'!J148,'[8]#48-Howard County'!J148,'[8]#49-UCH Upper Chesapeake'!J148,'[8]#51-Doctors Community'!J148,'[8]#55-Laurel Regional'!J148,'[8]#60-Ft Washington'!J148,'[8]#61-Atlantic General'!J148,'[8]#62-Southern Maryland'!J148,'[8]#2001-UM Rehab &amp; Ortho'!J148,'[8]#2004-Good Samaritan'!J148,'[8]#5034-Mt. Washington Pediatric'!J148,'[8]#5050-Shady Grove Adventist'!J148)</f>
        <v>0</v>
      </c>
      <c r="L116" s="534">
        <f>+I116+J116-K116</f>
        <v>12771998.382000001</v>
      </c>
      <c r="M116" s="534">
        <f t="shared" si="15"/>
        <v>12771998.382000001</v>
      </c>
      <c r="N116" s="493"/>
      <c r="O116" s="493"/>
    </row>
    <row r="117" spans="1:15">
      <c r="A117" s="498" t="s">
        <v>941</v>
      </c>
      <c r="B117" s="498"/>
      <c r="C117" s="492" t="s">
        <v>71</v>
      </c>
      <c r="G117" s="518">
        <f>+G105</f>
        <v>0</v>
      </c>
      <c r="H117" s="518">
        <f>+H105</f>
        <v>0</v>
      </c>
      <c r="I117" s="534">
        <f>+I105</f>
        <v>0</v>
      </c>
      <c r="J117" s="534">
        <f>+J105</f>
        <v>0</v>
      </c>
      <c r="K117" s="534">
        <f>+K105</f>
        <v>0</v>
      </c>
      <c r="L117" s="534">
        <f t="shared" si="14"/>
        <v>0</v>
      </c>
      <c r="M117" s="534">
        <f t="shared" si="15"/>
        <v>0</v>
      </c>
      <c r="N117" s="493"/>
      <c r="O117" s="493"/>
    </row>
    <row r="118" spans="1:15">
      <c r="A118" s="498" t="s">
        <v>185</v>
      </c>
      <c r="B118" s="498"/>
      <c r="C118" s="492" t="s">
        <v>183</v>
      </c>
      <c r="G118" s="518">
        <f>+G6</f>
        <v>0</v>
      </c>
      <c r="H118" s="518">
        <f>+H6</f>
        <v>0</v>
      </c>
      <c r="I118" s="534">
        <f>+I6</f>
        <v>0</v>
      </c>
      <c r="J118" s="534">
        <f>+J6</f>
        <v>0</v>
      </c>
      <c r="K118" s="534">
        <f>+K6</f>
        <v>0</v>
      </c>
      <c r="L118" s="534">
        <f t="shared" si="14"/>
        <v>0</v>
      </c>
      <c r="M118" s="534">
        <f t="shared" si="15"/>
        <v>0</v>
      </c>
      <c r="N118" s="493"/>
      <c r="O118" s="493"/>
    </row>
    <row r="119" spans="1:15">
      <c r="A119" s="498"/>
      <c r="B119" s="498"/>
      <c r="C119" s="492"/>
      <c r="G119" s="525"/>
      <c r="H119" s="525"/>
      <c r="I119" s="505"/>
      <c r="J119" s="505"/>
      <c r="K119" s="505"/>
      <c r="L119" s="505"/>
      <c r="M119" s="493"/>
    </row>
    <row r="120" spans="1:15">
      <c r="A120" s="498" t="s">
        <v>165</v>
      </c>
      <c r="B120" s="487"/>
      <c r="C120" s="492" t="s">
        <v>26</v>
      </c>
      <c r="G120" s="518">
        <f>SUM(G109:G118)</f>
        <v>65846.032385844053</v>
      </c>
      <c r="H120" s="518">
        <f t="shared" ref="H120:M120" si="16">SUM(H109:H118)</f>
        <v>138153.68310407898</v>
      </c>
      <c r="I120" s="534">
        <f t="shared" si="16"/>
        <v>23677191.736854814</v>
      </c>
      <c r="J120" s="534">
        <f t="shared" si="16"/>
        <v>3994855.8508392884</v>
      </c>
      <c r="K120" s="534">
        <f t="shared" si="16"/>
        <v>4257567.5842198003</v>
      </c>
      <c r="L120" s="534">
        <f t="shared" si="16"/>
        <v>23414480.003474303</v>
      </c>
      <c r="M120" s="534">
        <f t="shared" si="16"/>
        <v>19419624.152635016</v>
      </c>
    </row>
    <row r="121" spans="1:15">
      <c r="A121" s="487"/>
      <c r="B121" s="486"/>
      <c r="C121" s="492"/>
      <c r="G121" s="509"/>
      <c r="H121" s="509"/>
      <c r="I121" s="509"/>
      <c r="J121" s="509"/>
      <c r="K121" s="509"/>
      <c r="L121" s="509"/>
      <c r="M121" s="525"/>
    </row>
    <row r="122" spans="1:15">
      <c r="A122" s="486"/>
      <c r="B122" s="486"/>
      <c r="C122" s="492" t="s">
        <v>942</v>
      </c>
      <c r="D122" s="526">
        <f>SUM('[9]AAMC 11:WMHS 11'!F121)</f>
        <v>13039588671.793743</v>
      </c>
      <c r="E122" s="527"/>
      <c r="F122" s="527"/>
      <c r="G122" s="501">
        <f>SUM('#64-Levindale:#5034-Mt. Washington Pediatric'!F121)</f>
        <v>399614235.90700001</v>
      </c>
      <c r="K122" s="493"/>
      <c r="L122" s="493"/>
    </row>
    <row r="123" spans="1:15">
      <c r="A123" s="486"/>
      <c r="B123" s="486"/>
      <c r="D123" s="492"/>
      <c r="E123" s="492"/>
      <c r="F123" s="492"/>
      <c r="K123" s="493"/>
      <c r="L123" s="493"/>
      <c r="N123" s="497"/>
    </row>
    <row r="124" spans="1:15">
      <c r="A124" s="486"/>
      <c r="B124" s="487"/>
      <c r="C124" s="492" t="s">
        <v>943</v>
      </c>
      <c r="D124" s="528">
        <f>L120/D122</f>
        <v>1.7956455984016386E-3</v>
      </c>
      <c r="E124" s="529"/>
      <c r="F124" s="529"/>
      <c r="G124" s="530">
        <f>L120/G122</f>
        <v>5.8592707415266919E-2</v>
      </c>
      <c r="K124" s="493"/>
      <c r="L124" s="531"/>
      <c r="M124" s="496"/>
      <c r="N124" s="497"/>
    </row>
    <row r="125" spans="1:15">
      <c r="A125" s="487"/>
      <c r="B125" s="487"/>
      <c r="D125" s="492"/>
      <c r="E125" s="492"/>
      <c r="F125" s="492"/>
      <c r="L125" s="492"/>
      <c r="M125" s="496"/>
      <c r="N125" s="497"/>
    </row>
    <row r="126" spans="1:15">
      <c r="A126" s="487"/>
      <c r="B126" s="487"/>
      <c r="C126" s="492" t="s">
        <v>944</v>
      </c>
      <c r="D126" s="530">
        <f>M120/D122</f>
        <v>1.4892819583060995E-3</v>
      </c>
      <c r="E126" s="532"/>
      <c r="F126" s="532"/>
      <c r="G126" s="530">
        <f>M120/G122</f>
        <v>4.8595926790642258E-2</v>
      </c>
      <c r="L126" s="533"/>
      <c r="M126" s="496"/>
      <c r="N126" s="497"/>
    </row>
    <row r="127" spans="1:15">
      <c r="A127" s="487"/>
      <c r="M127" s="496"/>
      <c r="N127" s="496"/>
      <c r="O127" s="497"/>
    </row>
  </sheetData>
  <mergeCells count="8">
    <mergeCell ref="C36:E36"/>
    <mergeCell ref="C76:E76"/>
    <mergeCell ref="B18:D18"/>
    <mergeCell ref="B19:D19"/>
    <mergeCell ref="B22:D22"/>
    <mergeCell ref="C33:E33"/>
    <mergeCell ref="C34:E34"/>
    <mergeCell ref="C35:E35"/>
  </mergeCells>
  <pageMargins left="0.7" right="0.7" top="0.75" bottom="0.75" header="0.3" footer="0.3"/>
  <pageSetup scale="57" fitToHeight="0" orientation="landscape" r:id="rId1"/>
  <headerFooter>
    <oddFooter>&amp;CAttachment III Page &amp;P</oddFooter>
  </headerFooter>
  <rowBreaks count="2" manualBreakCount="2">
    <brk id="45" max="16383" man="1"/>
    <brk id="8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O127"/>
  <sheetViews>
    <sheetView view="pageBreakPreview" zoomScaleNormal="100" zoomScaleSheetLayoutView="100" workbookViewId="0">
      <selection activeCell="N138" sqref="N138"/>
    </sheetView>
  </sheetViews>
  <sheetFormatPr defaultRowHeight="12.75"/>
  <cols>
    <col min="1" max="1" width="6.28515625" style="483" customWidth="1"/>
    <col min="2" max="2" width="4.42578125" style="483" customWidth="1"/>
    <col min="3" max="3" width="56" style="483" customWidth="1"/>
    <col min="4" max="4" width="0.85546875" style="483" hidden="1" customWidth="1"/>
    <col min="5" max="5" width="5.140625" style="483" hidden="1" customWidth="1"/>
    <col min="6" max="6" width="11.42578125" style="483" customWidth="1"/>
    <col min="7" max="7" width="28.140625" style="483" customWidth="1"/>
    <col min="8" max="8" width="19.28515625" style="483" bestFit="1" customWidth="1"/>
    <col min="9" max="9" width="17.7109375" style="483" bestFit="1" customWidth="1"/>
    <col min="10" max="10" width="16.7109375" style="483" bestFit="1" customWidth="1"/>
    <col min="11" max="11" width="17" style="483" bestFit="1" customWidth="1"/>
    <col min="12" max="13" width="17.7109375" style="483" bestFit="1" customWidth="1"/>
    <col min="14" max="14" width="14.85546875" style="483" bestFit="1" customWidth="1"/>
    <col min="15" max="15" width="16" style="483" bestFit="1" customWidth="1"/>
    <col min="16" max="16" width="14.85546875" style="483" bestFit="1" customWidth="1"/>
    <col min="17" max="17" width="16" style="483" bestFit="1" customWidth="1"/>
    <col min="18" max="18" width="12.7109375" style="483" bestFit="1" customWidth="1"/>
    <col min="19" max="19" width="14.85546875" style="483" bestFit="1" customWidth="1"/>
    <col min="20" max="257" width="9.140625" style="483"/>
    <col min="258" max="258" width="6.28515625" style="483" customWidth="1"/>
    <col min="259" max="259" width="4.42578125" style="483" customWidth="1"/>
    <col min="260" max="260" width="38.42578125" style="483" customWidth="1"/>
    <col min="261" max="262" width="0" style="483" hidden="1" customWidth="1"/>
    <col min="263" max="263" width="28.140625" style="483" customWidth="1"/>
    <col min="264" max="264" width="19.28515625" style="483" bestFit="1" customWidth="1"/>
    <col min="265" max="265" width="18" style="483" bestFit="1" customWidth="1"/>
    <col min="266" max="266" width="16.28515625" style="483" bestFit="1" customWidth="1"/>
    <col min="267" max="267" width="16.5703125" style="483" bestFit="1" customWidth="1"/>
    <col min="268" max="268" width="16.42578125" style="483" bestFit="1" customWidth="1"/>
    <col min="269" max="269" width="15.5703125" style="483" bestFit="1" customWidth="1"/>
    <col min="270" max="270" width="14.85546875" style="483" bestFit="1" customWidth="1"/>
    <col min="271" max="271" width="16" style="483" bestFit="1" customWidth="1"/>
    <col min="272" max="272" width="14.85546875" style="483" bestFit="1" customWidth="1"/>
    <col min="273" max="273" width="16" style="483" bestFit="1" customWidth="1"/>
    <col min="274" max="274" width="12.7109375" style="483" bestFit="1" customWidth="1"/>
    <col min="275" max="275" width="14.85546875" style="483" bestFit="1" customWidth="1"/>
    <col min="276" max="513" width="9.140625" style="483"/>
    <col min="514" max="514" width="6.28515625" style="483" customWidth="1"/>
    <col min="515" max="515" width="4.42578125" style="483" customWidth="1"/>
    <col min="516" max="516" width="38.42578125" style="483" customWidth="1"/>
    <col min="517" max="518" width="0" style="483" hidden="1" customWidth="1"/>
    <col min="519" max="519" width="28.140625" style="483" customWidth="1"/>
    <col min="520" max="520" width="19.28515625" style="483" bestFit="1" customWidth="1"/>
    <col min="521" max="521" width="18" style="483" bestFit="1" customWidth="1"/>
    <col min="522" max="522" width="16.28515625" style="483" bestFit="1" customWidth="1"/>
    <col min="523" max="523" width="16.5703125" style="483" bestFit="1" customWidth="1"/>
    <col min="524" max="524" width="16.42578125" style="483" bestFit="1" customWidth="1"/>
    <col min="525" max="525" width="15.5703125" style="483" bestFit="1" customWidth="1"/>
    <col min="526" max="526" width="14.85546875" style="483" bestFit="1" customWidth="1"/>
    <col min="527" max="527" width="16" style="483" bestFit="1" customWidth="1"/>
    <col min="528" max="528" width="14.85546875" style="483" bestFit="1" customWidth="1"/>
    <col min="529" max="529" width="16" style="483" bestFit="1" customWidth="1"/>
    <col min="530" max="530" width="12.7109375" style="483" bestFit="1" customWidth="1"/>
    <col min="531" max="531" width="14.85546875" style="483" bestFit="1" customWidth="1"/>
    <col min="532" max="769" width="9.140625" style="483"/>
    <col min="770" max="770" width="6.28515625" style="483" customWidth="1"/>
    <col min="771" max="771" width="4.42578125" style="483" customWidth="1"/>
    <col min="772" max="772" width="38.42578125" style="483" customWidth="1"/>
    <col min="773" max="774" width="0" style="483" hidden="1" customWidth="1"/>
    <col min="775" max="775" width="28.140625" style="483" customWidth="1"/>
    <col min="776" max="776" width="19.28515625" style="483" bestFit="1" customWidth="1"/>
    <col min="777" max="777" width="18" style="483" bestFit="1" customWidth="1"/>
    <col min="778" max="778" width="16.28515625" style="483" bestFit="1" customWidth="1"/>
    <col min="779" max="779" width="16.5703125" style="483" bestFit="1" customWidth="1"/>
    <col min="780" max="780" width="16.42578125" style="483" bestFit="1" customWidth="1"/>
    <col min="781" max="781" width="15.5703125" style="483" bestFit="1" customWidth="1"/>
    <col min="782" max="782" width="14.85546875" style="483" bestFit="1" customWidth="1"/>
    <col min="783" max="783" width="16" style="483" bestFit="1" customWidth="1"/>
    <col min="784" max="784" width="14.85546875" style="483" bestFit="1" customWidth="1"/>
    <col min="785" max="785" width="16" style="483" bestFit="1" customWidth="1"/>
    <col min="786" max="786" width="12.7109375" style="483" bestFit="1" customWidth="1"/>
    <col min="787" max="787" width="14.85546875" style="483" bestFit="1" customWidth="1"/>
    <col min="788" max="1025" width="9.140625" style="483"/>
    <col min="1026" max="1026" width="6.28515625" style="483" customWidth="1"/>
    <col min="1027" max="1027" width="4.42578125" style="483" customWidth="1"/>
    <col min="1028" max="1028" width="38.42578125" style="483" customWidth="1"/>
    <col min="1029" max="1030" width="0" style="483" hidden="1" customWidth="1"/>
    <col min="1031" max="1031" width="28.140625" style="483" customWidth="1"/>
    <col min="1032" max="1032" width="19.28515625" style="483" bestFit="1" customWidth="1"/>
    <col min="1033" max="1033" width="18" style="483" bestFit="1" customWidth="1"/>
    <col min="1034" max="1034" width="16.28515625" style="483" bestFit="1" customWidth="1"/>
    <col min="1035" max="1035" width="16.5703125" style="483" bestFit="1" customWidth="1"/>
    <col min="1036" max="1036" width="16.42578125" style="483" bestFit="1" customWidth="1"/>
    <col min="1037" max="1037" width="15.5703125" style="483" bestFit="1" customWidth="1"/>
    <col min="1038" max="1038" width="14.85546875" style="483" bestFit="1" customWidth="1"/>
    <col min="1039" max="1039" width="16" style="483" bestFit="1" customWidth="1"/>
    <col min="1040" max="1040" width="14.85546875" style="483" bestFit="1" customWidth="1"/>
    <col min="1041" max="1041" width="16" style="483" bestFit="1" customWidth="1"/>
    <col min="1042" max="1042" width="12.7109375" style="483" bestFit="1" customWidth="1"/>
    <col min="1043" max="1043" width="14.85546875" style="483" bestFit="1" customWidth="1"/>
    <col min="1044" max="1281" width="9.140625" style="483"/>
    <col min="1282" max="1282" width="6.28515625" style="483" customWidth="1"/>
    <col min="1283" max="1283" width="4.42578125" style="483" customWidth="1"/>
    <col min="1284" max="1284" width="38.42578125" style="483" customWidth="1"/>
    <col min="1285" max="1286" width="0" style="483" hidden="1" customWidth="1"/>
    <col min="1287" max="1287" width="28.140625" style="483" customWidth="1"/>
    <col min="1288" max="1288" width="19.28515625" style="483" bestFit="1" customWidth="1"/>
    <col min="1289" max="1289" width="18" style="483" bestFit="1" customWidth="1"/>
    <col min="1290" max="1290" width="16.28515625" style="483" bestFit="1" customWidth="1"/>
    <col min="1291" max="1291" width="16.5703125" style="483" bestFit="1" customWidth="1"/>
    <col min="1292" max="1292" width="16.42578125" style="483" bestFit="1" customWidth="1"/>
    <col min="1293" max="1293" width="15.5703125" style="483" bestFit="1" customWidth="1"/>
    <col min="1294" max="1294" width="14.85546875" style="483" bestFit="1" customWidth="1"/>
    <col min="1295" max="1295" width="16" style="483" bestFit="1" customWidth="1"/>
    <col min="1296" max="1296" width="14.85546875" style="483" bestFit="1" customWidth="1"/>
    <col min="1297" max="1297" width="16" style="483" bestFit="1" customWidth="1"/>
    <col min="1298" max="1298" width="12.7109375" style="483" bestFit="1" customWidth="1"/>
    <col min="1299" max="1299" width="14.85546875" style="483" bestFit="1" customWidth="1"/>
    <col min="1300" max="1537" width="9.140625" style="483"/>
    <col min="1538" max="1538" width="6.28515625" style="483" customWidth="1"/>
    <col min="1539" max="1539" width="4.42578125" style="483" customWidth="1"/>
    <col min="1540" max="1540" width="38.42578125" style="483" customWidth="1"/>
    <col min="1541" max="1542" width="0" style="483" hidden="1" customWidth="1"/>
    <col min="1543" max="1543" width="28.140625" style="483" customWidth="1"/>
    <col min="1544" max="1544" width="19.28515625" style="483" bestFit="1" customWidth="1"/>
    <col min="1545" max="1545" width="18" style="483" bestFit="1" customWidth="1"/>
    <col min="1546" max="1546" width="16.28515625" style="483" bestFit="1" customWidth="1"/>
    <col min="1547" max="1547" width="16.5703125" style="483" bestFit="1" customWidth="1"/>
    <col min="1548" max="1548" width="16.42578125" style="483" bestFit="1" customWidth="1"/>
    <col min="1549" max="1549" width="15.5703125" style="483" bestFit="1" customWidth="1"/>
    <col min="1550" max="1550" width="14.85546875" style="483" bestFit="1" customWidth="1"/>
    <col min="1551" max="1551" width="16" style="483" bestFit="1" customWidth="1"/>
    <col min="1552" max="1552" width="14.85546875" style="483" bestFit="1" customWidth="1"/>
    <col min="1553" max="1553" width="16" style="483" bestFit="1" customWidth="1"/>
    <col min="1554" max="1554" width="12.7109375" style="483" bestFit="1" customWidth="1"/>
    <col min="1555" max="1555" width="14.85546875" style="483" bestFit="1" customWidth="1"/>
    <col min="1556" max="1793" width="9.140625" style="483"/>
    <col min="1794" max="1794" width="6.28515625" style="483" customWidth="1"/>
    <col min="1795" max="1795" width="4.42578125" style="483" customWidth="1"/>
    <col min="1796" max="1796" width="38.42578125" style="483" customWidth="1"/>
    <col min="1797" max="1798" width="0" style="483" hidden="1" customWidth="1"/>
    <col min="1799" max="1799" width="28.140625" style="483" customWidth="1"/>
    <col min="1800" max="1800" width="19.28515625" style="483" bestFit="1" customWidth="1"/>
    <col min="1801" max="1801" width="18" style="483" bestFit="1" customWidth="1"/>
    <col min="1802" max="1802" width="16.28515625" style="483" bestFit="1" customWidth="1"/>
    <col min="1803" max="1803" width="16.5703125" style="483" bestFit="1" customWidth="1"/>
    <col min="1804" max="1804" width="16.42578125" style="483" bestFit="1" customWidth="1"/>
    <col min="1805" max="1805" width="15.5703125" style="483" bestFit="1" customWidth="1"/>
    <col min="1806" max="1806" width="14.85546875" style="483" bestFit="1" customWidth="1"/>
    <col min="1807" max="1807" width="16" style="483" bestFit="1" customWidth="1"/>
    <col min="1808" max="1808" width="14.85546875" style="483" bestFit="1" customWidth="1"/>
    <col min="1809" max="1809" width="16" style="483" bestFit="1" customWidth="1"/>
    <col min="1810" max="1810" width="12.7109375" style="483" bestFit="1" customWidth="1"/>
    <col min="1811" max="1811" width="14.85546875" style="483" bestFit="1" customWidth="1"/>
    <col min="1812" max="2049" width="9.140625" style="483"/>
    <col min="2050" max="2050" width="6.28515625" style="483" customWidth="1"/>
    <col min="2051" max="2051" width="4.42578125" style="483" customWidth="1"/>
    <col min="2052" max="2052" width="38.42578125" style="483" customWidth="1"/>
    <col min="2053" max="2054" width="0" style="483" hidden="1" customWidth="1"/>
    <col min="2055" max="2055" width="28.140625" style="483" customWidth="1"/>
    <col min="2056" max="2056" width="19.28515625" style="483" bestFit="1" customWidth="1"/>
    <col min="2057" max="2057" width="18" style="483" bestFit="1" customWidth="1"/>
    <col min="2058" max="2058" width="16.28515625" style="483" bestFit="1" customWidth="1"/>
    <col min="2059" max="2059" width="16.5703125" style="483" bestFit="1" customWidth="1"/>
    <col min="2060" max="2060" width="16.42578125" style="483" bestFit="1" customWidth="1"/>
    <col min="2061" max="2061" width="15.5703125" style="483" bestFit="1" customWidth="1"/>
    <col min="2062" max="2062" width="14.85546875" style="483" bestFit="1" customWidth="1"/>
    <col min="2063" max="2063" width="16" style="483" bestFit="1" customWidth="1"/>
    <col min="2064" max="2064" width="14.85546875" style="483" bestFit="1" customWidth="1"/>
    <col min="2065" max="2065" width="16" style="483" bestFit="1" customWidth="1"/>
    <col min="2066" max="2066" width="12.7109375" style="483" bestFit="1" customWidth="1"/>
    <col min="2067" max="2067" width="14.85546875" style="483" bestFit="1" customWidth="1"/>
    <col min="2068" max="2305" width="9.140625" style="483"/>
    <col min="2306" max="2306" width="6.28515625" style="483" customWidth="1"/>
    <col min="2307" max="2307" width="4.42578125" style="483" customWidth="1"/>
    <col min="2308" max="2308" width="38.42578125" style="483" customWidth="1"/>
    <col min="2309" max="2310" width="0" style="483" hidden="1" customWidth="1"/>
    <col min="2311" max="2311" width="28.140625" style="483" customWidth="1"/>
    <col min="2312" max="2312" width="19.28515625" style="483" bestFit="1" customWidth="1"/>
    <col min="2313" max="2313" width="18" style="483" bestFit="1" customWidth="1"/>
    <col min="2314" max="2314" width="16.28515625" style="483" bestFit="1" customWidth="1"/>
    <col min="2315" max="2315" width="16.5703125" style="483" bestFit="1" customWidth="1"/>
    <col min="2316" max="2316" width="16.42578125" style="483" bestFit="1" customWidth="1"/>
    <col min="2317" max="2317" width="15.5703125" style="483" bestFit="1" customWidth="1"/>
    <col min="2318" max="2318" width="14.85546875" style="483" bestFit="1" customWidth="1"/>
    <col min="2319" max="2319" width="16" style="483" bestFit="1" customWidth="1"/>
    <col min="2320" max="2320" width="14.85546875" style="483" bestFit="1" customWidth="1"/>
    <col min="2321" max="2321" width="16" style="483" bestFit="1" customWidth="1"/>
    <col min="2322" max="2322" width="12.7109375" style="483" bestFit="1" customWidth="1"/>
    <col min="2323" max="2323" width="14.85546875" style="483" bestFit="1" customWidth="1"/>
    <col min="2324" max="2561" width="9.140625" style="483"/>
    <col min="2562" max="2562" width="6.28515625" style="483" customWidth="1"/>
    <col min="2563" max="2563" width="4.42578125" style="483" customWidth="1"/>
    <col min="2564" max="2564" width="38.42578125" style="483" customWidth="1"/>
    <col min="2565" max="2566" width="0" style="483" hidden="1" customWidth="1"/>
    <col min="2567" max="2567" width="28.140625" style="483" customWidth="1"/>
    <col min="2568" max="2568" width="19.28515625" style="483" bestFit="1" customWidth="1"/>
    <col min="2569" max="2569" width="18" style="483" bestFit="1" customWidth="1"/>
    <col min="2570" max="2570" width="16.28515625" style="483" bestFit="1" customWidth="1"/>
    <col min="2571" max="2571" width="16.5703125" style="483" bestFit="1" customWidth="1"/>
    <col min="2572" max="2572" width="16.42578125" style="483" bestFit="1" customWidth="1"/>
    <col min="2573" max="2573" width="15.5703125" style="483" bestFit="1" customWidth="1"/>
    <col min="2574" max="2574" width="14.85546875" style="483" bestFit="1" customWidth="1"/>
    <col min="2575" max="2575" width="16" style="483" bestFit="1" customWidth="1"/>
    <col min="2576" max="2576" width="14.85546875" style="483" bestFit="1" customWidth="1"/>
    <col min="2577" max="2577" width="16" style="483" bestFit="1" customWidth="1"/>
    <col min="2578" max="2578" width="12.7109375" style="483" bestFit="1" customWidth="1"/>
    <col min="2579" max="2579" width="14.85546875" style="483" bestFit="1" customWidth="1"/>
    <col min="2580" max="2817" width="9.140625" style="483"/>
    <col min="2818" max="2818" width="6.28515625" style="483" customWidth="1"/>
    <col min="2819" max="2819" width="4.42578125" style="483" customWidth="1"/>
    <col min="2820" max="2820" width="38.42578125" style="483" customWidth="1"/>
    <col min="2821" max="2822" width="0" style="483" hidden="1" customWidth="1"/>
    <col min="2823" max="2823" width="28.140625" style="483" customWidth="1"/>
    <col min="2824" max="2824" width="19.28515625" style="483" bestFit="1" customWidth="1"/>
    <col min="2825" max="2825" width="18" style="483" bestFit="1" customWidth="1"/>
    <col min="2826" max="2826" width="16.28515625" style="483" bestFit="1" customWidth="1"/>
    <col min="2827" max="2827" width="16.5703125" style="483" bestFit="1" customWidth="1"/>
    <col min="2828" max="2828" width="16.42578125" style="483" bestFit="1" customWidth="1"/>
    <col min="2829" max="2829" width="15.5703125" style="483" bestFit="1" customWidth="1"/>
    <col min="2830" max="2830" width="14.85546875" style="483" bestFit="1" customWidth="1"/>
    <col min="2831" max="2831" width="16" style="483" bestFit="1" customWidth="1"/>
    <col min="2832" max="2832" width="14.85546875" style="483" bestFit="1" customWidth="1"/>
    <col min="2833" max="2833" width="16" style="483" bestFit="1" customWidth="1"/>
    <col min="2834" max="2834" width="12.7109375" style="483" bestFit="1" customWidth="1"/>
    <col min="2835" max="2835" width="14.85546875" style="483" bestFit="1" customWidth="1"/>
    <col min="2836" max="3073" width="9.140625" style="483"/>
    <col min="3074" max="3074" width="6.28515625" style="483" customWidth="1"/>
    <col min="3075" max="3075" width="4.42578125" style="483" customWidth="1"/>
    <col min="3076" max="3076" width="38.42578125" style="483" customWidth="1"/>
    <col min="3077" max="3078" width="0" style="483" hidden="1" customWidth="1"/>
    <col min="3079" max="3079" width="28.140625" style="483" customWidth="1"/>
    <col min="3080" max="3080" width="19.28515625" style="483" bestFit="1" customWidth="1"/>
    <col min="3081" max="3081" width="18" style="483" bestFit="1" customWidth="1"/>
    <col min="3082" max="3082" width="16.28515625" style="483" bestFit="1" customWidth="1"/>
    <col min="3083" max="3083" width="16.5703125" style="483" bestFit="1" customWidth="1"/>
    <col min="3084" max="3084" width="16.42578125" style="483" bestFit="1" customWidth="1"/>
    <col min="3085" max="3085" width="15.5703125" style="483" bestFit="1" customWidth="1"/>
    <col min="3086" max="3086" width="14.85546875" style="483" bestFit="1" customWidth="1"/>
    <col min="3087" max="3087" width="16" style="483" bestFit="1" customWidth="1"/>
    <col min="3088" max="3088" width="14.85546875" style="483" bestFit="1" customWidth="1"/>
    <col min="3089" max="3089" width="16" style="483" bestFit="1" customWidth="1"/>
    <col min="3090" max="3090" width="12.7109375" style="483" bestFit="1" customWidth="1"/>
    <col min="3091" max="3091" width="14.85546875" style="483" bestFit="1" customWidth="1"/>
    <col min="3092" max="3329" width="9.140625" style="483"/>
    <col min="3330" max="3330" width="6.28515625" style="483" customWidth="1"/>
    <col min="3331" max="3331" width="4.42578125" style="483" customWidth="1"/>
    <col min="3332" max="3332" width="38.42578125" style="483" customWidth="1"/>
    <col min="3333" max="3334" width="0" style="483" hidden="1" customWidth="1"/>
    <col min="3335" max="3335" width="28.140625" style="483" customWidth="1"/>
    <col min="3336" max="3336" width="19.28515625" style="483" bestFit="1" customWidth="1"/>
    <col min="3337" max="3337" width="18" style="483" bestFit="1" customWidth="1"/>
    <col min="3338" max="3338" width="16.28515625" style="483" bestFit="1" customWidth="1"/>
    <col min="3339" max="3339" width="16.5703125" style="483" bestFit="1" customWidth="1"/>
    <col min="3340" max="3340" width="16.42578125" style="483" bestFit="1" customWidth="1"/>
    <col min="3341" max="3341" width="15.5703125" style="483" bestFit="1" customWidth="1"/>
    <col min="3342" max="3342" width="14.85546875" style="483" bestFit="1" customWidth="1"/>
    <col min="3343" max="3343" width="16" style="483" bestFit="1" customWidth="1"/>
    <col min="3344" max="3344" width="14.85546875" style="483" bestFit="1" customWidth="1"/>
    <col min="3345" max="3345" width="16" style="483" bestFit="1" customWidth="1"/>
    <col min="3346" max="3346" width="12.7109375" style="483" bestFit="1" customWidth="1"/>
    <col min="3347" max="3347" width="14.85546875" style="483" bestFit="1" customWidth="1"/>
    <col min="3348" max="3585" width="9.140625" style="483"/>
    <col min="3586" max="3586" width="6.28515625" style="483" customWidth="1"/>
    <col min="3587" max="3587" width="4.42578125" style="483" customWidth="1"/>
    <col min="3588" max="3588" width="38.42578125" style="483" customWidth="1"/>
    <col min="3589" max="3590" width="0" style="483" hidden="1" customWidth="1"/>
    <col min="3591" max="3591" width="28.140625" style="483" customWidth="1"/>
    <col min="3592" max="3592" width="19.28515625" style="483" bestFit="1" customWidth="1"/>
    <col min="3593" max="3593" width="18" style="483" bestFit="1" customWidth="1"/>
    <col min="3594" max="3594" width="16.28515625" style="483" bestFit="1" customWidth="1"/>
    <col min="3595" max="3595" width="16.5703125" style="483" bestFit="1" customWidth="1"/>
    <col min="3596" max="3596" width="16.42578125" style="483" bestFit="1" customWidth="1"/>
    <col min="3597" max="3597" width="15.5703125" style="483" bestFit="1" customWidth="1"/>
    <col min="3598" max="3598" width="14.85546875" style="483" bestFit="1" customWidth="1"/>
    <col min="3599" max="3599" width="16" style="483" bestFit="1" customWidth="1"/>
    <col min="3600" max="3600" width="14.85546875" style="483" bestFit="1" customWidth="1"/>
    <col min="3601" max="3601" width="16" style="483" bestFit="1" customWidth="1"/>
    <col min="3602" max="3602" width="12.7109375" style="483" bestFit="1" customWidth="1"/>
    <col min="3603" max="3603" width="14.85546875" style="483" bestFit="1" customWidth="1"/>
    <col min="3604" max="3841" width="9.140625" style="483"/>
    <col min="3842" max="3842" width="6.28515625" style="483" customWidth="1"/>
    <col min="3843" max="3843" width="4.42578125" style="483" customWidth="1"/>
    <col min="3844" max="3844" width="38.42578125" style="483" customWidth="1"/>
    <col min="3845" max="3846" width="0" style="483" hidden="1" customWidth="1"/>
    <col min="3847" max="3847" width="28.140625" style="483" customWidth="1"/>
    <col min="3848" max="3848" width="19.28515625" style="483" bestFit="1" customWidth="1"/>
    <col min="3849" max="3849" width="18" style="483" bestFit="1" customWidth="1"/>
    <col min="3850" max="3850" width="16.28515625" style="483" bestFit="1" customWidth="1"/>
    <col min="3851" max="3851" width="16.5703125" style="483" bestFit="1" customWidth="1"/>
    <col min="3852" max="3852" width="16.42578125" style="483" bestFit="1" customWidth="1"/>
    <col min="3853" max="3853" width="15.5703125" style="483" bestFit="1" customWidth="1"/>
    <col min="3854" max="3854" width="14.85546875" style="483" bestFit="1" customWidth="1"/>
    <col min="3855" max="3855" width="16" style="483" bestFit="1" customWidth="1"/>
    <col min="3856" max="3856" width="14.85546875" style="483" bestFit="1" customWidth="1"/>
    <col min="3857" max="3857" width="16" style="483" bestFit="1" customWidth="1"/>
    <col min="3858" max="3858" width="12.7109375" style="483" bestFit="1" customWidth="1"/>
    <col min="3859" max="3859" width="14.85546875" style="483" bestFit="1" customWidth="1"/>
    <col min="3860" max="4097" width="9.140625" style="483"/>
    <col min="4098" max="4098" width="6.28515625" style="483" customWidth="1"/>
    <col min="4099" max="4099" width="4.42578125" style="483" customWidth="1"/>
    <col min="4100" max="4100" width="38.42578125" style="483" customWidth="1"/>
    <col min="4101" max="4102" width="0" style="483" hidden="1" customWidth="1"/>
    <col min="4103" max="4103" width="28.140625" style="483" customWidth="1"/>
    <col min="4104" max="4104" width="19.28515625" style="483" bestFit="1" customWidth="1"/>
    <col min="4105" max="4105" width="18" style="483" bestFit="1" customWidth="1"/>
    <col min="4106" max="4106" width="16.28515625" style="483" bestFit="1" customWidth="1"/>
    <col min="4107" max="4107" width="16.5703125" style="483" bestFit="1" customWidth="1"/>
    <col min="4108" max="4108" width="16.42578125" style="483" bestFit="1" customWidth="1"/>
    <col min="4109" max="4109" width="15.5703125" style="483" bestFit="1" customWidth="1"/>
    <col min="4110" max="4110" width="14.85546875" style="483" bestFit="1" customWidth="1"/>
    <col min="4111" max="4111" width="16" style="483" bestFit="1" customWidth="1"/>
    <col min="4112" max="4112" width="14.85546875" style="483" bestFit="1" customWidth="1"/>
    <col min="4113" max="4113" width="16" style="483" bestFit="1" customWidth="1"/>
    <col min="4114" max="4114" width="12.7109375" style="483" bestFit="1" customWidth="1"/>
    <col min="4115" max="4115" width="14.85546875" style="483" bestFit="1" customWidth="1"/>
    <col min="4116" max="4353" width="9.140625" style="483"/>
    <col min="4354" max="4354" width="6.28515625" style="483" customWidth="1"/>
    <col min="4355" max="4355" width="4.42578125" style="483" customWidth="1"/>
    <col min="4356" max="4356" width="38.42578125" style="483" customWidth="1"/>
    <col min="4357" max="4358" width="0" style="483" hidden="1" customWidth="1"/>
    <col min="4359" max="4359" width="28.140625" style="483" customWidth="1"/>
    <col min="4360" max="4360" width="19.28515625" style="483" bestFit="1" customWidth="1"/>
    <col min="4361" max="4361" width="18" style="483" bestFit="1" customWidth="1"/>
    <col min="4362" max="4362" width="16.28515625" style="483" bestFit="1" customWidth="1"/>
    <col min="4363" max="4363" width="16.5703125" style="483" bestFit="1" customWidth="1"/>
    <col min="4364" max="4364" width="16.42578125" style="483" bestFit="1" customWidth="1"/>
    <col min="4365" max="4365" width="15.5703125" style="483" bestFit="1" customWidth="1"/>
    <col min="4366" max="4366" width="14.85546875" style="483" bestFit="1" customWidth="1"/>
    <col min="4367" max="4367" width="16" style="483" bestFit="1" customWidth="1"/>
    <col min="4368" max="4368" width="14.85546875" style="483" bestFit="1" customWidth="1"/>
    <col min="4369" max="4369" width="16" style="483" bestFit="1" customWidth="1"/>
    <col min="4370" max="4370" width="12.7109375" style="483" bestFit="1" customWidth="1"/>
    <col min="4371" max="4371" width="14.85546875" style="483" bestFit="1" customWidth="1"/>
    <col min="4372" max="4609" width="9.140625" style="483"/>
    <col min="4610" max="4610" width="6.28515625" style="483" customWidth="1"/>
    <col min="4611" max="4611" width="4.42578125" style="483" customWidth="1"/>
    <col min="4612" max="4612" width="38.42578125" style="483" customWidth="1"/>
    <col min="4613" max="4614" width="0" style="483" hidden="1" customWidth="1"/>
    <col min="4615" max="4615" width="28.140625" style="483" customWidth="1"/>
    <col min="4616" max="4616" width="19.28515625" style="483" bestFit="1" customWidth="1"/>
    <col min="4617" max="4617" width="18" style="483" bestFit="1" customWidth="1"/>
    <col min="4618" max="4618" width="16.28515625" style="483" bestFit="1" customWidth="1"/>
    <col min="4619" max="4619" width="16.5703125" style="483" bestFit="1" customWidth="1"/>
    <col min="4620" max="4620" width="16.42578125" style="483" bestFit="1" customWidth="1"/>
    <col min="4621" max="4621" width="15.5703125" style="483" bestFit="1" customWidth="1"/>
    <col min="4622" max="4622" width="14.85546875" style="483" bestFit="1" customWidth="1"/>
    <col min="4623" max="4623" width="16" style="483" bestFit="1" customWidth="1"/>
    <col min="4624" max="4624" width="14.85546875" style="483" bestFit="1" customWidth="1"/>
    <col min="4625" max="4625" width="16" style="483" bestFit="1" customWidth="1"/>
    <col min="4626" max="4626" width="12.7109375" style="483" bestFit="1" customWidth="1"/>
    <col min="4627" max="4627" width="14.85546875" style="483" bestFit="1" customWidth="1"/>
    <col min="4628" max="4865" width="9.140625" style="483"/>
    <col min="4866" max="4866" width="6.28515625" style="483" customWidth="1"/>
    <col min="4867" max="4867" width="4.42578125" style="483" customWidth="1"/>
    <col min="4868" max="4868" width="38.42578125" style="483" customWidth="1"/>
    <col min="4869" max="4870" width="0" style="483" hidden="1" customWidth="1"/>
    <col min="4871" max="4871" width="28.140625" style="483" customWidth="1"/>
    <col min="4872" max="4872" width="19.28515625" style="483" bestFit="1" customWidth="1"/>
    <col min="4873" max="4873" width="18" style="483" bestFit="1" customWidth="1"/>
    <col min="4874" max="4874" width="16.28515625" style="483" bestFit="1" customWidth="1"/>
    <col min="4875" max="4875" width="16.5703125" style="483" bestFit="1" customWidth="1"/>
    <col min="4876" max="4876" width="16.42578125" style="483" bestFit="1" customWidth="1"/>
    <col min="4877" max="4877" width="15.5703125" style="483" bestFit="1" customWidth="1"/>
    <col min="4878" max="4878" width="14.85546875" style="483" bestFit="1" customWidth="1"/>
    <col min="4879" max="4879" width="16" style="483" bestFit="1" customWidth="1"/>
    <col min="4880" max="4880" width="14.85546875" style="483" bestFit="1" customWidth="1"/>
    <col min="4881" max="4881" width="16" style="483" bestFit="1" customWidth="1"/>
    <col min="4882" max="4882" width="12.7109375" style="483" bestFit="1" customWidth="1"/>
    <col min="4883" max="4883" width="14.85546875" style="483" bestFit="1" customWidth="1"/>
    <col min="4884" max="5121" width="9.140625" style="483"/>
    <col min="5122" max="5122" width="6.28515625" style="483" customWidth="1"/>
    <col min="5123" max="5123" width="4.42578125" style="483" customWidth="1"/>
    <col min="5124" max="5124" width="38.42578125" style="483" customWidth="1"/>
    <col min="5125" max="5126" width="0" style="483" hidden="1" customWidth="1"/>
    <col min="5127" max="5127" width="28.140625" style="483" customWidth="1"/>
    <col min="5128" max="5128" width="19.28515625" style="483" bestFit="1" customWidth="1"/>
    <col min="5129" max="5129" width="18" style="483" bestFit="1" customWidth="1"/>
    <col min="5130" max="5130" width="16.28515625" style="483" bestFit="1" customWidth="1"/>
    <col min="5131" max="5131" width="16.5703125" style="483" bestFit="1" customWidth="1"/>
    <col min="5132" max="5132" width="16.42578125" style="483" bestFit="1" customWidth="1"/>
    <col min="5133" max="5133" width="15.5703125" style="483" bestFit="1" customWidth="1"/>
    <col min="5134" max="5134" width="14.85546875" style="483" bestFit="1" customWidth="1"/>
    <col min="5135" max="5135" width="16" style="483" bestFit="1" customWidth="1"/>
    <col min="5136" max="5136" width="14.85546875" style="483" bestFit="1" customWidth="1"/>
    <col min="5137" max="5137" width="16" style="483" bestFit="1" customWidth="1"/>
    <col min="5138" max="5138" width="12.7109375" style="483" bestFit="1" customWidth="1"/>
    <col min="5139" max="5139" width="14.85546875" style="483" bestFit="1" customWidth="1"/>
    <col min="5140" max="5377" width="9.140625" style="483"/>
    <col min="5378" max="5378" width="6.28515625" style="483" customWidth="1"/>
    <col min="5379" max="5379" width="4.42578125" style="483" customWidth="1"/>
    <col min="5380" max="5380" width="38.42578125" style="483" customWidth="1"/>
    <col min="5381" max="5382" width="0" style="483" hidden="1" customWidth="1"/>
    <col min="5383" max="5383" width="28.140625" style="483" customWidth="1"/>
    <col min="5384" max="5384" width="19.28515625" style="483" bestFit="1" customWidth="1"/>
    <col min="5385" max="5385" width="18" style="483" bestFit="1" customWidth="1"/>
    <col min="5386" max="5386" width="16.28515625" style="483" bestFit="1" customWidth="1"/>
    <col min="5387" max="5387" width="16.5703125" style="483" bestFit="1" customWidth="1"/>
    <col min="5388" max="5388" width="16.42578125" style="483" bestFit="1" customWidth="1"/>
    <col min="5389" max="5389" width="15.5703125" style="483" bestFit="1" customWidth="1"/>
    <col min="5390" max="5390" width="14.85546875" style="483" bestFit="1" customWidth="1"/>
    <col min="5391" max="5391" width="16" style="483" bestFit="1" customWidth="1"/>
    <col min="5392" max="5392" width="14.85546875" style="483" bestFit="1" customWidth="1"/>
    <col min="5393" max="5393" width="16" style="483" bestFit="1" customWidth="1"/>
    <col min="5394" max="5394" width="12.7109375" style="483" bestFit="1" customWidth="1"/>
    <col min="5395" max="5395" width="14.85546875" style="483" bestFit="1" customWidth="1"/>
    <col min="5396" max="5633" width="9.140625" style="483"/>
    <col min="5634" max="5634" width="6.28515625" style="483" customWidth="1"/>
    <col min="5635" max="5635" width="4.42578125" style="483" customWidth="1"/>
    <col min="5636" max="5636" width="38.42578125" style="483" customWidth="1"/>
    <col min="5637" max="5638" width="0" style="483" hidden="1" customWidth="1"/>
    <col min="5639" max="5639" width="28.140625" style="483" customWidth="1"/>
    <col min="5640" max="5640" width="19.28515625" style="483" bestFit="1" customWidth="1"/>
    <col min="5641" max="5641" width="18" style="483" bestFit="1" customWidth="1"/>
    <col min="5642" max="5642" width="16.28515625" style="483" bestFit="1" customWidth="1"/>
    <col min="5643" max="5643" width="16.5703125" style="483" bestFit="1" customWidth="1"/>
    <col min="5644" max="5644" width="16.42578125" style="483" bestFit="1" customWidth="1"/>
    <col min="5645" max="5645" width="15.5703125" style="483" bestFit="1" customWidth="1"/>
    <col min="5646" max="5646" width="14.85546875" style="483" bestFit="1" customWidth="1"/>
    <col min="5647" max="5647" width="16" style="483" bestFit="1" customWidth="1"/>
    <col min="5648" max="5648" width="14.85546875" style="483" bestFit="1" customWidth="1"/>
    <col min="5649" max="5649" width="16" style="483" bestFit="1" customWidth="1"/>
    <col min="5650" max="5650" width="12.7109375" style="483" bestFit="1" customWidth="1"/>
    <col min="5651" max="5651" width="14.85546875" style="483" bestFit="1" customWidth="1"/>
    <col min="5652" max="5889" width="9.140625" style="483"/>
    <col min="5890" max="5890" width="6.28515625" style="483" customWidth="1"/>
    <col min="5891" max="5891" width="4.42578125" style="483" customWidth="1"/>
    <col min="5892" max="5892" width="38.42578125" style="483" customWidth="1"/>
    <col min="5893" max="5894" width="0" style="483" hidden="1" customWidth="1"/>
    <col min="5895" max="5895" width="28.140625" style="483" customWidth="1"/>
    <col min="5896" max="5896" width="19.28515625" style="483" bestFit="1" customWidth="1"/>
    <col min="5897" max="5897" width="18" style="483" bestFit="1" customWidth="1"/>
    <col min="5898" max="5898" width="16.28515625" style="483" bestFit="1" customWidth="1"/>
    <col min="5899" max="5899" width="16.5703125" style="483" bestFit="1" customWidth="1"/>
    <col min="5900" max="5900" width="16.42578125" style="483" bestFit="1" customWidth="1"/>
    <col min="5901" max="5901" width="15.5703125" style="483" bestFit="1" customWidth="1"/>
    <col min="5902" max="5902" width="14.85546875" style="483" bestFit="1" customWidth="1"/>
    <col min="5903" max="5903" width="16" style="483" bestFit="1" customWidth="1"/>
    <col min="5904" max="5904" width="14.85546875" style="483" bestFit="1" customWidth="1"/>
    <col min="5905" max="5905" width="16" style="483" bestFit="1" customWidth="1"/>
    <col min="5906" max="5906" width="12.7109375" style="483" bestFit="1" customWidth="1"/>
    <col min="5907" max="5907" width="14.85546875" style="483" bestFit="1" customWidth="1"/>
    <col min="5908" max="6145" width="9.140625" style="483"/>
    <col min="6146" max="6146" width="6.28515625" style="483" customWidth="1"/>
    <col min="6147" max="6147" width="4.42578125" style="483" customWidth="1"/>
    <col min="6148" max="6148" width="38.42578125" style="483" customWidth="1"/>
    <col min="6149" max="6150" width="0" style="483" hidden="1" customWidth="1"/>
    <col min="6151" max="6151" width="28.140625" style="483" customWidth="1"/>
    <col min="6152" max="6152" width="19.28515625" style="483" bestFit="1" customWidth="1"/>
    <col min="6153" max="6153" width="18" style="483" bestFit="1" customWidth="1"/>
    <col min="6154" max="6154" width="16.28515625" style="483" bestFit="1" customWidth="1"/>
    <col min="6155" max="6155" width="16.5703125" style="483" bestFit="1" customWidth="1"/>
    <col min="6156" max="6156" width="16.42578125" style="483" bestFit="1" customWidth="1"/>
    <col min="6157" max="6157" width="15.5703125" style="483" bestFit="1" customWidth="1"/>
    <col min="6158" max="6158" width="14.85546875" style="483" bestFit="1" customWidth="1"/>
    <col min="6159" max="6159" width="16" style="483" bestFit="1" customWidth="1"/>
    <col min="6160" max="6160" width="14.85546875" style="483" bestFit="1" customWidth="1"/>
    <col min="6161" max="6161" width="16" style="483" bestFit="1" customWidth="1"/>
    <col min="6162" max="6162" width="12.7109375" style="483" bestFit="1" customWidth="1"/>
    <col min="6163" max="6163" width="14.85546875" style="483" bestFit="1" customWidth="1"/>
    <col min="6164" max="6401" width="9.140625" style="483"/>
    <col min="6402" max="6402" width="6.28515625" style="483" customWidth="1"/>
    <col min="6403" max="6403" width="4.42578125" style="483" customWidth="1"/>
    <col min="6404" max="6404" width="38.42578125" style="483" customWidth="1"/>
    <col min="6405" max="6406" width="0" style="483" hidden="1" customWidth="1"/>
    <col min="6407" max="6407" width="28.140625" style="483" customWidth="1"/>
    <col min="6408" max="6408" width="19.28515625" style="483" bestFit="1" customWidth="1"/>
    <col min="6409" max="6409" width="18" style="483" bestFit="1" customWidth="1"/>
    <col min="6410" max="6410" width="16.28515625" style="483" bestFit="1" customWidth="1"/>
    <col min="6411" max="6411" width="16.5703125" style="483" bestFit="1" customWidth="1"/>
    <col min="6412" max="6412" width="16.42578125" style="483" bestFit="1" customWidth="1"/>
    <col min="6413" max="6413" width="15.5703125" style="483" bestFit="1" customWidth="1"/>
    <col min="6414" max="6414" width="14.85546875" style="483" bestFit="1" customWidth="1"/>
    <col min="6415" max="6415" width="16" style="483" bestFit="1" customWidth="1"/>
    <col min="6416" max="6416" width="14.85546875" style="483" bestFit="1" customWidth="1"/>
    <col min="6417" max="6417" width="16" style="483" bestFit="1" customWidth="1"/>
    <col min="6418" max="6418" width="12.7109375" style="483" bestFit="1" customWidth="1"/>
    <col min="6419" max="6419" width="14.85546875" style="483" bestFit="1" customWidth="1"/>
    <col min="6420" max="6657" width="9.140625" style="483"/>
    <col min="6658" max="6658" width="6.28515625" style="483" customWidth="1"/>
    <col min="6659" max="6659" width="4.42578125" style="483" customWidth="1"/>
    <col min="6660" max="6660" width="38.42578125" style="483" customWidth="1"/>
    <col min="6661" max="6662" width="0" style="483" hidden="1" customWidth="1"/>
    <col min="6663" max="6663" width="28.140625" style="483" customWidth="1"/>
    <col min="6664" max="6664" width="19.28515625" style="483" bestFit="1" customWidth="1"/>
    <col min="6665" max="6665" width="18" style="483" bestFit="1" customWidth="1"/>
    <col min="6666" max="6666" width="16.28515625" style="483" bestFit="1" customWidth="1"/>
    <col min="6667" max="6667" width="16.5703125" style="483" bestFit="1" customWidth="1"/>
    <col min="6668" max="6668" width="16.42578125" style="483" bestFit="1" customWidth="1"/>
    <col min="6669" max="6669" width="15.5703125" style="483" bestFit="1" customWidth="1"/>
    <col min="6670" max="6670" width="14.85546875" style="483" bestFit="1" customWidth="1"/>
    <col min="6671" max="6671" width="16" style="483" bestFit="1" customWidth="1"/>
    <col min="6672" max="6672" width="14.85546875" style="483" bestFit="1" customWidth="1"/>
    <col min="6673" max="6673" width="16" style="483" bestFit="1" customWidth="1"/>
    <col min="6674" max="6674" width="12.7109375" style="483" bestFit="1" customWidth="1"/>
    <col min="6675" max="6675" width="14.85546875" style="483" bestFit="1" customWidth="1"/>
    <col min="6676" max="6913" width="9.140625" style="483"/>
    <col min="6914" max="6914" width="6.28515625" style="483" customWidth="1"/>
    <col min="6915" max="6915" width="4.42578125" style="483" customWidth="1"/>
    <col min="6916" max="6916" width="38.42578125" style="483" customWidth="1"/>
    <col min="6917" max="6918" width="0" style="483" hidden="1" customWidth="1"/>
    <col min="6919" max="6919" width="28.140625" style="483" customWidth="1"/>
    <col min="6920" max="6920" width="19.28515625" style="483" bestFit="1" customWidth="1"/>
    <col min="6921" max="6921" width="18" style="483" bestFit="1" customWidth="1"/>
    <col min="6922" max="6922" width="16.28515625" style="483" bestFit="1" customWidth="1"/>
    <col min="6923" max="6923" width="16.5703125" style="483" bestFit="1" customWidth="1"/>
    <col min="6924" max="6924" width="16.42578125" style="483" bestFit="1" customWidth="1"/>
    <col min="6925" max="6925" width="15.5703125" style="483" bestFit="1" customWidth="1"/>
    <col min="6926" max="6926" width="14.85546875" style="483" bestFit="1" customWidth="1"/>
    <col min="6927" max="6927" width="16" style="483" bestFit="1" customWidth="1"/>
    <col min="6928" max="6928" width="14.85546875" style="483" bestFit="1" customWidth="1"/>
    <col min="6929" max="6929" width="16" style="483" bestFit="1" customWidth="1"/>
    <col min="6930" max="6930" width="12.7109375" style="483" bestFit="1" customWidth="1"/>
    <col min="6931" max="6931" width="14.85546875" style="483" bestFit="1" customWidth="1"/>
    <col min="6932" max="7169" width="9.140625" style="483"/>
    <col min="7170" max="7170" width="6.28515625" style="483" customWidth="1"/>
    <col min="7171" max="7171" width="4.42578125" style="483" customWidth="1"/>
    <col min="7172" max="7172" width="38.42578125" style="483" customWidth="1"/>
    <col min="7173" max="7174" width="0" style="483" hidden="1" customWidth="1"/>
    <col min="7175" max="7175" width="28.140625" style="483" customWidth="1"/>
    <col min="7176" max="7176" width="19.28515625" style="483" bestFit="1" customWidth="1"/>
    <col min="7177" max="7177" width="18" style="483" bestFit="1" customWidth="1"/>
    <col min="7178" max="7178" width="16.28515625" style="483" bestFit="1" customWidth="1"/>
    <col min="7179" max="7179" width="16.5703125" style="483" bestFit="1" customWidth="1"/>
    <col min="7180" max="7180" width="16.42578125" style="483" bestFit="1" customWidth="1"/>
    <col min="7181" max="7181" width="15.5703125" style="483" bestFit="1" customWidth="1"/>
    <col min="7182" max="7182" width="14.85546875" style="483" bestFit="1" customWidth="1"/>
    <col min="7183" max="7183" width="16" style="483" bestFit="1" customWidth="1"/>
    <col min="7184" max="7184" width="14.85546875" style="483" bestFit="1" customWidth="1"/>
    <col min="7185" max="7185" width="16" style="483" bestFit="1" customWidth="1"/>
    <col min="7186" max="7186" width="12.7109375" style="483" bestFit="1" customWidth="1"/>
    <col min="7187" max="7187" width="14.85546875" style="483" bestFit="1" customWidth="1"/>
    <col min="7188" max="7425" width="9.140625" style="483"/>
    <col min="7426" max="7426" width="6.28515625" style="483" customWidth="1"/>
    <col min="7427" max="7427" width="4.42578125" style="483" customWidth="1"/>
    <col min="7428" max="7428" width="38.42578125" style="483" customWidth="1"/>
    <col min="7429" max="7430" width="0" style="483" hidden="1" customWidth="1"/>
    <col min="7431" max="7431" width="28.140625" style="483" customWidth="1"/>
    <col min="7432" max="7432" width="19.28515625" style="483" bestFit="1" customWidth="1"/>
    <col min="7433" max="7433" width="18" style="483" bestFit="1" customWidth="1"/>
    <col min="7434" max="7434" width="16.28515625" style="483" bestFit="1" customWidth="1"/>
    <col min="7435" max="7435" width="16.5703125" style="483" bestFit="1" customWidth="1"/>
    <col min="7436" max="7436" width="16.42578125" style="483" bestFit="1" customWidth="1"/>
    <col min="7437" max="7437" width="15.5703125" style="483" bestFit="1" customWidth="1"/>
    <col min="7438" max="7438" width="14.85546875" style="483" bestFit="1" customWidth="1"/>
    <col min="7439" max="7439" width="16" style="483" bestFit="1" customWidth="1"/>
    <col min="7440" max="7440" width="14.85546875" style="483" bestFit="1" customWidth="1"/>
    <col min="7441" max="7441" width="16" style="483" bestFit="1" customWidth="1"/>
    <col min="7442" max="7442" width="12.7109375" style="483" bestFit="1" customWidth="1"/>
    <col min="7443" max="7443" width="14.85546875" style="483" bestFit="1" customWidth="1"/>
    <col min="7444" max="7681" width="9.140625" style="483"/>
    <col min="7682" max="7682" width="6.28515625" style="483" customWidth="1"/>
    <col min="7683" max="7683" width="4.42578125" style="483" customWidth="1"/>
    <col min="7684" max="7684" width="38.42578125" style="483" customWidth="1"/>
    <col min="7685" max="7686" width="0" style="483" hidden="1" customWidth="1"/>
    <col min="7687" max="7687" width="28.140625" style="483" customWidth="1"/>
    <col min="7688" max="7688" width="19.28515625" style="483" bestFit="1" customWidth="1"/>
    <col min="7689" max="7689" width="18" style="483" bestFit="1" customWidth="1"/>
    <col min="7690" max="7690" width="16.28515625" style="483" bestFit="1" customWidth="1"/>
    <col min="7691" max="7691" width="16.5703125" style="483" bestFit="1" customWidth="1"/>
    <col min="7692" max="7692" width="16.42578125" style="483" bestFit="1" customWidth="1"/>
    <col min="7693" max="7693" width="15.5703125" style="483" bestFit="1" customWidth="1"/>
    <col min="7694" max="7694" width="14.85546875" style="483" bestFit="1" customWidth="1"/>
    <col min="7695" max="7695" width="16" style="483" bestFit="1" customWidth="1"/>
    <col min="7696" max="7696" width="14.85546875" style="483" bestFit="1" customWidth="1"/>
    <col min="7697" max="7697" width="16" style="483" bestFit="1" customWidth="1"/>
    <col min="7698" max="7698" width="12.7109375" style="483" bestFit="1" customWidth="1"/>
    <col min="7699" max="7699" width="14.85546875" style="483" bestFit="1" customWidth="1"/>
    <col min="7700" max="7937" width="9.140625" style="483"/>
    <col min="7938" max="7938" width="6.28515625" style="483" customWidth="1"/>
    <col min="7939" max="7939" width="4.42578125" style="483" customWidth="1"/>
    <col min="7940" max="7940" width="38.42578125" style="483" customWidth="1"/>
    <col min="7941" max="7942" width="0" style="483" hidden="1" customWidth="1"/>
    <col min="7943" max="7943" width="28.140625" style="483" customWidth="1"/>
    <col min="7944" max="7944" width="19.28515625" style="483" bestFit="1" customWidth="1"/>
    <col min="7945" max="7945" width="18" style="483" bestFit="1" customWidth="1"/>
    <col min="7946" max="7946" width="16.28515625" style="483" bestFit="1" customWidth="1"/>
    <col min="7947" max="7947" width="16.5703125" style="483" bestFit="1" customWidth="1"/>
    <col min="7948" max="7948" width="16.42578125" style="483" bestFit="1" customWidth="1"/>
    <col min="7949" max="7949" width="15.5703125" style="483" bestFit="1" customWidth="1"/>
    <col min="7950" max="7950" width="14.85546875" style="483" bestFit="1" customWidth="1"/>
    <col min="7951" max="7951" width="16" style="483" bestFit="1" customWidth="1"/>
    <col min="7952" max="7952" width="14.85546875" style="483" bestFit="1" customWidth="1"/>
    <col min="7953" max="7953" width="16" style="483" bestFit="1" customWidth="1"/>
    <col min="7954" max="7954" width="12.7109375" style="483" bestFit="1" customWidth="1"/>
    <col min="7955" max="7955" width="14.85546875" style="483" bestFit="1" customWidth="1"/>
    <col min="7956" max="8193" width="9.140625" style="483"/>
    <col min="8194" max="8194" width="6.28515625" style="483" customWidth="1"/>
    <col min="8195" max="8195" width="4.42578125" style="483" customWidth="1"/>
    <col min="8196" max="8196" width="38.42578125" style="483" customWidth="1"/>
    <col min="8197" max="8198" width="0" style="483" hidden="1" customWidth="1"/>
    <col min="8199" max="8199" width="28.140625" style="483" customWidth="1"/>
    <col min="8200" max="8200" width="19.28515625" style="483" bestFit="1" customWidth="1"/>
    <col min="8201" max="8201" width="18" style="483" bestFit="1" customWidth="1"/>
    <col min="8202" max="8202" width="16.28515625" style="483" bestFit="1" customWidth="1"/>
    <col min="8203" max="8203" width="16.5703125" style="483" bestFit="1" customWidth="1"/>
    <col min="8204" max="8204" width="16.42578125" style="483" bestFit="1" customWidth="1"/>
    <col min="8205" max="8205" width="15.5703125" style="483" bestFit="1" customWidth="1"/>
    <col min="8206" max="8206" width="14.85546875" style="483" bestFit="1" customWidth="1"/>
    <col min="8207" max="8207" width="16" style="483" bestFit="1" customWidth="1"/>
    <col min="8208" max="8208" width="14.85546875" style="483" bestFit="1" customWidth="1"/>
    <col min="8209" max="8209" width="16" style="483" bestFit="1" customWidth="1"/>
    <col min="8210" max="8210" width="12.7109375" style="483" bestFit="1" customWidth="1"/>
    <col min="8211" max="8211" width="14.85546875" style="483" bestFit="1" customWidth="1"/>
    <col min="8212" max="8449" width="9.140625" style="483"/>
    <col min="8450" max="8450" width="6.28515625" style="483" customWidth="1"/>
    <col min="8451" max="8451" width="4.42578125" style="483" customWidth="1"/>
    <col min="8452" max="8452" width="38.42578125" style="483" customWidth="1"/>
    <col min="8453" max="8454" width="0" style="483" hidden="1" customWidth="1"/>
    <col min="8455" max="8455" width="28.140625" style="483" customWidth="1"/>
    <col min="8456" max="8456" width="19.28515625" style="483" bestFit="1" customWidth="1"/>
    <col min="8457" max="8457" width="18" style="483" bestFit="1" customWidth="1"/>
    <col min="8458" max="8458" width="16.28515625" style="483" bestFit="1" customWidth="1"/>
    <col min="8459" max="8459" width="16.5703125" style="483" bestFit="1" customWidth="1"/>
    <col min="8460" max="8460" width="16.42578125" style="483" bestFit="1" customWidth="1"/>
    <col min="8461" max="8461" width="15.5703125" style="483" bestFit="1" customWidth="1"/>
    <col min="8462" max="8462" width="14.85546875" style="483" bestFit="1" customWidth="1"/>
    <col min="8463" max="8463" width="16" style="483" bestFit="1" customWidth="1"/>
    <col min="8464" max="8464" width="14.85546875" style="483" bestFit="1" customWidth="1"/>
    <col min="8465" max="8465" width="16" style="483" bestFit="1" customWidth="1"/>
    <col min="8466" max="8466" width="12.7109375" style="483" bestFit="1" customWidth="1"/>
    <col min="8467" max="8467" width="14.85546875" style="483" bestFit="1" customWidth="1"/>
    <col min="8468" max="8705" width="9.140625" style="483"/>
    <col min="8706" max="8706" width="6.28515625" style="483" customWidth="1"/>
    <col min="8707" max="8707" width="4.42578125" style="483" customWidth="1"/>
    <col min="8708" max="8708" width="38.42578125" style="483" customWidth="1"/>
    <col min="8709" max="8710" width="0" style="483" hidden="1" customWidth="1"/>
    <col min="8711" max="8711" width="28.140625" style="483" customWidth="1"/>
    <col min="8712" max="8712" width="19.28515625" style="483" bestFit="1" customWidth="1"/>
    <col min="8713" max="8713" width="18" style="483" bestFit="1" customWidth="1"/>
    <col min="8714" max="8714" width="16.28515625" style="483" bestFit="1" customWidth="1"/>
    <col min="8715" max="8715" width="16.5703125" style="483" bestFit="1" customWidth="1"/>
    <col min="8716" max="8716" width="16.42578125" style="483" bestFit="1" customWidth="1"/>
    <col min="8717" max="8717" width="15.5703125" style="483" bestFit="1" customWidth="1"/>
    <col min="8718" max="8718" width="14.85546875" style="483" bestFit="1" customWidth="1"/>
    <col min="8719" max="8719" width="16" style="483" bestFit="1" customWidth="1"/>
    <col min="8720" max="8720" width="14.85546875" style="483" bestFit="1" customWidth="1"/>
    <col min="8721" max="8721" width="16" style="483" bestFit="1" customWidth="1"/>
    <col min="8722" max="8722" width="12.7109375" style="483" bestFit="1" customWidth="1"/>
    <col min="8723" max="8723" width="14.85546875" style="483" bestFit="1" customWidth="1"/>
    <col min="8724" max="8961" width="9.140625" style="483"/>
    <col min="8962" max="8962" width="6.28515625" style="483" customWidth="1"/>
    <col min="8963" max="8963" width="4.42578125" style="483" customWidth="1"/>
    <col min="8964" max="8964" width="38.42578125" style="483" customWidth="1"/>
    <col min="8965" max="8966" width="0" style="483" hidden="1" customWidth="1"/>
    <col min="8967" max="8967" width="28.140625" style="483" customWidth="1"/>
    <col min="8968" max="8968" width="19.28515625" style="483" bestFit="1" customWidth="1"/>
    <col min="8969" max="8969" width="18" style="483" bestFit="1" customWidth="1"/>
    <col min="8970" max="8970" width="16.28515625" style="483" bestFit="1" customWidth="1"/>
    <col min="8971" max="8971" width="16.5703125" style="483" bestFit="1" customWidth="1"/>
    <col min="8972" max="8972" width="16.42578125" style="483" bestFit="1" customWidth="1"/>
    <col min="8973" max="8973" width="15.5703125" style="483" bestFit="1" customWidth="1"/>
    <col min="8974" max="8974" width="14.85546875" style="483" bestFit="1" customWidth="1"/>
    <col min="8975" max="8975" width="16" style="483" bestFit="1" customWidth="1"/>
    <col min="8976" max="8976" width="14.85546875" style="483" bestFit="1" customWidth="1"/>
    <col min="8977" max="8977" width="16" style="483" bestFit="1" customWidth="1"/>
    <col min="8978" max="8978" width="12.7109375" style="483" bestFit="1" customWidth="1"/>
    <col min="8979" max="8979" width="14.85546875" style="483" bestFit="1" customWidth="1"/>
    <col min="8980" max="9217" width="9.140625" style="483"/>
    <col min="9218" max="9218" width="6.28515625" style="483" customWidth="1"/>
    <col min="9219" max="9219" width="4.42578125" style="483" customWidth="1"/>
    <col min="9220" max="9220" width="38.42578125" style="483" customWidth="1"/>
    <col min="9221" max="9222" width="0" style="483" hidden="1" customWidth="1"/>
    <col min="9223" max="9223" width="28.140625" style="483" customWidth="1"/>
    <col min="9224" max="9224" width="19.28515625" style="483" bestFit="1" customWidth="1"/>
    <col min="9225" max="9225" width="18" style="483" bestFit="1" customWidth="1"/>
    <col min="9226" max="9226" width="16.28515625" style="483" bestFit="1" customWidth="1"/>
    <col min="9227" max="9227" width="16.5703125" style="483" bestFit="1" customWidth="1"/>
    <col min="9228" max="9228" width="16.42578125" style="483" bestFit="1" customWidth="1"/>
    <col min="9229" max="9229" width="15.5703125" style="483" bestFit="1" customWidth="1"/>
    <col min="9230" max="9230" width="14.85546875" style="483" bestFit="1" customWidth="1"/>
    <col min="9231" max="9231" width="16" style="483" bestFit="1" customWidth="1"/>
    <col min="9232" max="9232" width="14.85546875" style="483" bestFit="1" customWidth="1"/>
    <col min="9233" max="9233" width="16" style="483" bestFit="1" customWidth="1"/>
    <col min="9234" max="9234" width="12.7109375" style="483" bestFit="1" customWidth="1"/>
    <col min="9235" max="9235" width="14.85546875" style="483" bestFit="1" customWidth="1"/>
    <col min="9236" max="9473" width="9.140625" style="483"/>
    <col min="9474" max="9474" width="6.28515625" style="483" customWidth="1"/>
    <col min="9475" max="9475" width="4.42578125" style="483" customWidth="1"/>
    <col min="9476" max="9476" width="38.42578125" style="483" customWidth="1"/>
    <col min="9477" max="9478" width="0" style="483" hidden="1" customWidth="1"/>
    <col min="9479" max="9479" width="28.140625" style="483" customWidth="1"/>
    <col min="9480" max="9480" width="19.28515625" style="483" bestFit="1" customWidth="1"/>
    <col min="9481" max="9481" width="18" style="483" bestFit="1" customWidth="1"/>
    <col min="9482" max="9482" width="16.28515625" style="483" bestFit="1" customWidth="1"/>
    <col min="9483" max="9483" width="16.5703125" style="483" bestFit="1" customWidth="1"/>
    <col min="9484" max="9484" width="16.42578125" style="483" bestFit="1" customWidth="1"/>
    <col min="9485" max="9485" width="15.5703125" style="483" bestFit="1" customWidth="1"/>
    <col min="9486" max="9486" width="14.85546875" style="483" bestFit="1" customWidth="1"/>
    <col min="9487" max="9487" width="16" style="483" bestFit="1" customWidth="1"/>
    <col min="9488" max="9488" width="14.85546875" style="483" bestFit="1" customWidth="1"/>
    <col min="9489" max="9489" width="16" style="483" bestFit="1" customWidth="1"/>
    <col min="9490" max="9490" width="12.7109375" style="483" bestFit="1" customWidth="1"/>
    <col min="9491" max="9491" width="14.85546875" style="483" bestFit="1" customWidth="1"/>
    <col min="9492" max="9729" width="9.140625" style="483"/>
    <col min="9730" max="9730" width="6.28515625" style="483" customWidth="1"/>
    <col min="9731" max="9731" width="4.42578125" style="483" customWidth="1"/>
    <col min="9732" max="9732" width="38.42578125" style="483" customWidth="1"/>
    <col min="9733" max="9734" width="0" style="483" hidden="1" customWidth="1"/>
    <col min="9735" max="9735" width="28.140625" style="483" customWidth="1"/>
    <col min="9736" max="9736" width="19.28515625" style="483" bestFit="1" customWidth="1"/>
    <col min="9737" max="9737" width="18" style="483" bestFit="1" customWidth="1"/>
    <col min="9738" max="9738" width="16.28515625" style="483" bestFit="1" customWidth="1"/>
    <col min="9739" max="9739" width="16.5703125" style="483" bestFit="1" customWidth="1"/>
    <col min="9740" max="9740" width="16.42578125" style="483" bestFit="1" customWidth="1"/>
    <col min="9741" max="9741" width="15.5703125" style="483" bestFit="1" customWidth="1"/>
    <col min="9742" max="9742" width="14.85546875" style="483" bestFit="1" customWidth="1"/>
    <col min="9743" max="9743" width="16" style="483" bestFit="1" customWidth="1"/>
    <col min="9744" max="9744" width="14.85546875" style="483" bestFit="1" customWidth="1"/>
    <col min="9745" max="9745" width="16" style="483" bestFit="1" customWidth="1"/>
    <col min="9746" max="9746" width="12.7109375" style="483" bestFit="1" customWidth="1"/>
    <col min="9747" max="9747" width="14.85546875" style="483" bestFit="1" customWidth="1"/>
    <col min="9748" max="9985" width="9.140625" style="483"/>
    <col min="9986" max="9986" width="6.28515625" style="483" customWidth="1"/>
    <col min="9987" max="9987" width="4.42578125" style="483" customWidth="1"/>
    <col min="9988" max="9988" width="38.42578125" style="483" customWidth="1"/>
    <col min="9989" max="9990" width="0" style="483" hidden="1" customWidth="1"/>
    <col min="9991" max="9991" width="28.140625" style="483" customWidth="1"/>
    <col min="9992" max="9992" width="19.28515625" style="483" bestFit="1" customWidth="1"/>
    <col min="9993" max="9993" width="18" style="483" bestFit="1" customWidth="1"/>
    <col min="9994" max="9994" width="16.28515625" style="483" bestFit="1" customWidth="1"/>
    <col min="9995" max="9995" width="16.5703125" style="483" bestFit="1" customWidth="1"/>
    <col min="9996" max="9996" width="16.42578125" style="483" bestFit="1" customWidth="1"/>
    <col min="9997" max="9997" width="15.5703125" style="483" bestFit="1" customWidth="1"/>
    <col min="9998" max="9998" width="14.85546875" style="483" bestFit="1" customWidth="1"/>
    <col min="9999" max="9999" width="16" style="483" bestFit="1" customWidth="1"/>
    <col min="10000" max="10000" width="14.85546875" style="483" bestFit="1" customWidth="1"/>
    <col min="10001" max="10001" width="16" style="483" bestFit="1" customWidth="1"/>
    <col min="10002" max="10002" width="12.7109375" style="483" bestFit="1" customWidth="1"/>
    <col min="10003" max="10003" width="14.85546875" style="483" bestFit="1" customWidth="1"/>
    <col min="10004" max="10241" width="9.140625" style="483"/>
    <col min="10242" max="10242" width="6.28515625" style="483" customWidth="1"/>
    <col min="10243" max="10243" width="4.42578125" style="483" customWidth="1"/>
    <col min="10244" max="10244" width="38.42578125" style="483" customWidth="1"/>
    <col min="10245" max="10246" width="0" style="483" hidden="1" customWidth="1"/>
    <col min="10247" max="10247" width="28.140625" style="483" customWidth="1"/>
    <col min="10248" max="10248" width="19.28515625" style="483" bestFit="1" customWidth="1"/>
    <col min="10249" max="10249" width="18" style="483" bestFit="1" customWidth="1"/>
    <col min="10250" max="10250" width="16.28515625" style="483" bestFit="1" customWidth="1"/>
    <col min="10251" max="10251" width="16.5703125" style="483" bestFit="1" customWidth="1"/>
    <col min="10252" max="10252" width="16.42578125" style="483" bestFit="1" customWidth="1"/>
    <col min="10253" max="10253" width="15.5703125" style="483" bestFit="1" customWidth="1"/>
    <col min="10254" max="10254" width="14.85546875" style="483" bestFit="1" customWidth="1"/>
    <col min="10255" max="10255" width="16" style="483" bestFit="1" customWidth="1"/>
    <col min="10256" max="10256" width="14.85546875" style="483" bestFit="1" customWidth="1"/>
    <col min="10257" max="10257" width="16" style="483" bestFit="1" customWidth="1"/>
    <col min="10258" max="10258" width="12.7109375" style="483" bestFit="1" customWidth="1"/>
    <col min="10259" max="10259" width="14.85546875" style="483" bestFit="1" customWidth="1"/>
    <col min="10260" max="10497" width="9.140625" style="483"/>
    <col min="10498" max="10498" width="6.28515625" style="483" customWidth="1"/>
    <col min="10499" max="10499" width="4.42578125" style="483" customWidth="1"/>
    <col min="10500" max="10500" width="38.42578125" style="483" customWidth="1"/>
    <col min="10501" max="10502" width="0" style="483" hidden="1" customWidth="1"/>
    <col min="10503" max="10503" width="28.140625" style="483" customWidth="1"/>
    <col min="10504" max="10504" width="19.28515625" style="483" bestFit="1" customWidth="1"/>
    <col min="10505" max="10505" width="18" style="483" bestFit="1" customWidth="1"/>
    <col min="10506" max="10506" width="16.28515625" style="483" bestFit="1" customWidth="1"/>
    <col min="10507" max="10507" width="16.5703125" style="483" bestFit="1" customWidth="1"/>
    <col min="10508" max="10508" width="16.42578125" style="483" bestFit="1" customWidth="1"/>
    <col min="10509" max="10509" width="15.5703125" style="483" bestFit="1" customWidth="1"/>
    <col min="10510" max="10510" width="14.85546875" style="483" bestFit="1" customWidth="1"/>
    <col min="10511" max="10511" width="16" style="483" bestFit="1" customWidth="1"/>
    <col min="10512" max="10512" width="14.85546875" style="483" bestFit="1" customWidth="1"/>
    <col min="10513" max="10513" width="16" style="483" bestFit="1" customWidth="1"/>
    <col min="10514" max="10514" width="12.7109375" style="483" bestFit="1" customWidth="1"/>
    <col min="10515" max="10515" width="14.85546875" style="483" bestFit="1" customWidth="1"/>
    <col min="10516" max="10753" width="9.140625" style="483"/>
    <col min="10754" max="10754" width="6.28515625" style="483" customWidth="1"/>
    <col min="10755" max="10755" width="4.42578125" style="483" customWidth="1"/>
    <col min="10756" max="10756" width="38.42578125" style="483" customWidth="1"/>
    <col min="10757" max="10758" width="0" style="483" hidden="1" customWidth="1"/>
    <col min="10759" max="10759" width="28.140625" style="483" customWidth="1"/>
    <col min="10760" max="10760" width="19.28515625" style="483" bestFit="1" customWidth="1"/>
    <col min="10761" max="10761" width="18" style="483" bestFit="1" customWidth="1"/>
    <col min="10762" max="10762" width="16.28515625" style="483" bestFit="1" customWidth="1"/>
    <col min="10763" max="10763" width="16.5703125" style="483" bestFit="1" customWidth="1"/>
    <col min="10764" max="10764" width="16.42578125" style="483" bestFit="1" customWidth="1"/>
    <col min="10765" max="10765" width="15.5703125" style="483" bestFit="1" customWidth="1"/>
    <col min="10766" max="10766" width="14.85546875" style="483" bestFit="1" customWidth="1"/>
    <col min="10767" max="10767" width="16" style="483" bestFit="1" customWidth="1"/>
    <col min="10768" max="10768" width="14.85546875" style="483" bestFit="1" customWidth="1"/>
    <col min="10769" max="10769" width="16" style="483" bestFit="1" customWidth="1"/>
    <col min="10770" max="10770" width="12.7109375" style="483" bestFit="1" customWidth="1"/>
    <col min="10771" max="10771" width="14.85546875" style="483" bestFit="1" customWidth="1"/>
    <col min="10772" max="11009" width="9.140625" style="483"/>
    <col min="11010" max="11010" width="6.28515625" style="483" customWidth="1"/>
    <col min="11011" max="11011" width="4.42578125" style="483" customWidth="1"/>
    <col min="11012" max="11012" width="38.42578125" style="483" customWidth="1"/>
    <col min="11013" max="11014" width="0" style="483" hidden="1" customWidth="1"/>
    <col min="11015" max="11015" width="28.140625" style="483" customWidth="1"/>
    <col min="11016" max="11016" width="19.28515625" style="483" bestFit="1" customWidth="1"/>
    <col min="11017" max="11017" width="18" style="483" bestFit="1" customWidth="1"/>
    <col min="11018" max="11018" width="16.28515625" style="483" bestFit="1" customWidth="1"/>
    <col min="11019" max="11019" width="16.5703125" style="483" bestFit="1" customWidth="1"/>
    <col min="11020" max="11020" width="16.42578125" style="483" bestFit="1" customWidth="1"/>
    <col min="11021" max="11021" width="15.5703125" style="483" bestFit="1" customWidth="1"/>
    <col min="11022" max="11022" width="14.85546875" style="483" bestFit="1" customWidth="1"/>
    <col min="11023" max="11023" width="16" style="483" bestFit="1" customWidth="1"/>
    <col min="11024" max="11024" width="14.85546875" style="483" bestFit="1" customWidth="1"/>
    <col min="11025" max="11025" width="16" style="483" bestFit="1" customWidth="1"/>
    <col min="11026" max="11026" width="12.7109375" style="483" bestFit="1" customWidth="1"/>
    <col min="11027" max="11027" width="14.85546875" style="483" bestFit="1" customWidth="1"/>
    <col min="11028" max="11265" width="9.140625" style="483"/>
    <col min="11266" max="11266" width="6.28515625" style="483" customWidth="1"/>
    <col min="11267" max="11267" width="4.42578125" style="483" customWidth="1"/>
    <col min="11268" max="11268" width="38.42578125" style="483" customWidth="1"/>
    <col min="11269" max="11270" width="0" style="483" hidden="1" customWidth="1"/>
    <col min="11271" max="11271" width="28.140625" style="483" customWidth="1"/>
    <col min="11272" max="11272" width="19.28515625" style="483" bestFit="1" customWidth="1"/>
    <col min="11273" max="11273" width="18" style="483" bestFit="1" customWidth="1"/>
    <col min="11274" max="11274" width="16.28515625" style="483" bestFit="1" customWidth="1"/>
    <col min="11275" max="11275" width="16.5703125" style="483" bestFit="1" customWidth="1"/>
    <col min="11276" max="11276" width="16.42578125" style="483" bestFit="1" customWidth="1"/>
    <col min="11277" max="11277" width="15.5703125" style="483" bestFit="1" customWidth="1"/>
    <col min="11278" max="11278" width="14.85546875" style="483" bestFit="1" customWidth="1"/>
    <col min="11279" max="11279" width="16" style="483" bestFit="1" customWidth="1"/>
    <col min="11280" max="11280" width="14.85546875" style="483" bestFit="1" customWidth="1"/>
    <col min="11281" max="11281" width="16" style="483" bestFit="1" customWidth="1"/>
    <col min="11282" max="11282" width="12.7109375" style="483" bestFit="1" customWidth="1"/>
    <col min="11283" max="11283" width="14.85546875" style="483" bestFit="1" customWidth="1"/>
    <col min="11284" max="11521" width="9.140625" style="483"/>
    <col min="11522" max="11522" width="6.28515625" style="483" customWidth="1"/>
    <col min="11523" max="11523" width="4.42578125" style="483" customWidth="1"/>
    <col min="11524" max="11524" width="38.42578125" style="483" customWidth="1"/>
    <col min="11525" max="11526" width="0" style="483" hidden="1" customWidth="1"/>
    <col min="11527" max="11527" width="28.140625" style="483" customWidth="1"/>
    <col min="11528" max="11528" width="19.28515625" style="483" bestFit="1" customWidth="1"/>
    <col min="11529" max="11529" width="18" style="483" bestFit="1" customWidth="1"/>
    <col min="11530" max="11530" width="16.28515625" style="483" bestFit="1" customWidth="1"/>
    <col min="11531" max="11531" width="16.5703125" style="483" bestFit="1" customWidth="1"/>
    <col min="11532" max="11532" width="16.42578125" style="483" bestFit="1" customWidth="1"/>
    <col min="11533" max="11533" width="15.5703125" style="483" bestFit="1" customWidth="1"/>
    <col min="11534" max="11534" width="14.85546875" style="483" bestFit="1" customWidth="1"/>
    <col min="11535" max="11535" width="16" style="483" bestFit="1" customWidth="1"/>
    <col min="11536" max="11536" width="14.85546875" style="483" bestFit="1" customWidth="1"/>
    <col min="11537" max="11537" width="16" style="483" bestFit="1" customWidth="1"/>
    <col min="11538" max="11538" width="12.7109375" style="483" bestFit="1" customWidth="1"/>
    <col min="11539" max="11539" width="14.85546875" style="483" bestFit="1" customWidth="1"/>
    <col min="11540" max="11777" width="9.140625" style="483"/>
    <col min="11778" max="11778" width="6.28515625" style="483" customWidth="1"/>
    <col min="11779" max="11779" width="4.42578125" style="483" customWidth="1"/>
    <col min="11780" max="11780" width="38.42578125" style="483" customWidth="1"/>
    <col min="11781" max="11782" width="0" style="483" hidden="1" customWidth="1"/>
    <col min="11783" max="11783" width="28.140625" style="483" customWidth="1"/>
    <col min="11784" max="11784" width="19.28515625" style="483" bestFit="1" customWidth="1"/>
    <col min="11785" max="11785" width="18" style="483" bestFit="1" customWidth="1"/>
    <col min="11786" max="11786" width="16.28515625" style="483" bestFit="1" customWidth="1"/>
    <col min="11787" max="11787" width="16.5703125" style="483" bestFit="1" customWidth="1"/>
    <col min="11788" max="11788" width="16.42578125" style="483" bestFit="1" customWidth="1"/>
    <col min="11789" max="11789" width="15.5703125" style="483" bestFit="1" customWidth="1"/>
    <col min="11790" max="11790" width="14.85546875" style="483" bestFit="1" customWidth="1"/>
    <col min="11791" max="11791" width="16" style="483" bestFit="1" customWidth="1"/>
    <col min="11792" max="11792" width="14.85546875" style="483" bestFit="1" customWidth="1"/>
    <col min="11793" max="11793" width="16" style="483" bestFit="1" customWidth="1"/>
    <col min="11794" max="11794" width="12.7109375" style="483" bestFit="1" customWidth="1"/>
    <col min="11795" max="11795" width="14.85546875" style="483" bestFit="1" customWidth="1"/>
    <col min="11796" max="12033" width="9.140625" style="483"/>
    <col min="12034" max="12034" width="6.28515625" style="483" customWidth="1"/>
    <col min="12035" max="12035" width="4.42578125" style="483" customWidth="1"/>
    <col min="12036" max="12036" width="38.42578125" style="483" customWidth="1"/>
    <col min="12037" max="12038" width="0" style="483" hidden="1" customWidth="1"/>
    <col min="12039" max="12039" width="28.140625" style="483" customWidth="1"/>
    <col min="12040" max="12040" width="19.28515625" style="483" bestFit="1" customWidth="1"/>
    <col min="12041" max="12041" width="18" style="483" bestFit="1" customWidth="1"/>
    <col min="12042" max="12042" width="16.28515625" style="483" bestFit="1" customWidth="1"/>
    <col min="12043" max="12043" width="16.5703125" style="483" bestFit="1" customWidth="1"/>
    <col min="12044" max="12044" width="16.42578125" style="483" bestFit="1" customWidth="1"/>
    <col min="12045" max="12045" width="15.5703125" style="483" bestFit="1" customWidth="1"/>
    <col min="12046" max="12046" width="14.85546875" style="483" bestFit="1" customWidth="1"/>
    <col min="12047" max="12047" width="16" style="483" bestFit="1" customWidth="1"/>
    <col min="12048" max="12048" width="14.85546875" style="483" bestFit="1" customWidth="1"/>
    <col min="12049" max="12049" width="16" style="483" bestFit="1" customWidth="1"/>
    <col min="12050" max="12050" width="12.7109375" style="483" bestFit="1" customWidth="1"/>
    <col min="12051" max="12051" width="14.85546875" style="483" bestFit="1" customWidth="1"/>
    <col min="12052" max="12289" width="9.140625" style="483"/>
    <col min="12290" max="12290" width="6.28515625" style="483" customWidth="1"/>
    <col min="12291" max="12291" width="4.42578125" style="483" customWidth="1"/>
    <col min="12292" max="12292" width="38.42578125" style="483" customWidth="1"/>
    <col min="12293" max="12294" width="0" style="483" hidden="1" customWidth="1"/>
    <col min="12295" max="12295" width="28.140625" style="483" customWidth="1"/>
    <col min="12296" max="12296" width="19.28515625" style="483" bestFit="1" customWidth="1"/>
    <col min="12297" max="12297" width="18" style="483" bestFit="1" customWidth="1"/>
    <col min="12298" max="12298" width="16.28515625" style="483" bestFit="1" customWidth="1"/>
    <col min="12299" max="12299" width="16.5703125" style="483" bestFit="1" customWidth="1"/>
    <col min="12300" max="12300" width="16.42578125" style="483" bestFit="1" customWidth="1"/>
    <col min="12301" max="12301" width="15.5703125" style="483" bestFit="1" customWidth="1"/>
    <col min="12302" max="12302" width="14.85546875" style="483" bestFit="1" customWidth="1"/>
    <col min="12303" max="12303" width="16" style="483" bestFit="1" customWidth="1"/>
    <col min="12304" max="12304" width="14.85546875" style="483" bestFit="1" customWidth="1"/>
    <col min="12305" max="12305" width="16" style="483" bestFit="1" customWidth="1"/>
    <col min="12306" max="12306" width="12.7109375" style="483" bestFit="1" customWidth="1"/>
    <col min="12307" max="12307" width="14.85546875" style="483" bestFit="1" customWidth="1"/>
    <col min="12308" max="12545" width="9.140625" style="483"/>
    <col min="12546" max="12546" width="6.28515625" style="483" customWidth="1"/>
    <col min="12547" max="12547" width="4.42578125" style="483" customWidth="1"/>
    <col min="12548" max="12548" width="38.42578125" style="483" customWidth="1"/>
    <col min="12549" max="12550" width="0" style="483" hidden="1" customWidth="1"/>
    <col min="12551" max="12551" width="28.140625" style="483" customWidth="1"/>
    <col min="12552" max="12552" width="19.28515625" style="483" bestFit="1" customWidth="1"/>
    <col min="12553" max="12553" width="18" style="483" bestFit="1" customWidth="1"/>
    <col min="12554" max="12554" width="16.28515625" style="483" bestFit="1" customWidth="1"/>
    <col min="12555" max="12555" width="16.5703125" style="483" bestFit="1" customWidth="1"/>
    <col min="12556" max="12556" width="16.42578125" style="483" bestFit="1" customWidth="1"/>
    <col min="12557" max="12557" width="15.5703125" style="483" bestFit="1" customWidth="1"/>
    <col min="12558" max="12558" width="14.85546875" style="483" bestFit="1" customWidth="1"/>
    <col min="12559" max="12559" width="16" style="483" bestFit="1" customWidth="1"/>
    <col min="12560" max="12560" width="14.85546875" style="483" bestFit="1" customWidth="1"/>
    <col min="12561" max="12561" width="16" style="483" bestFit="1" customWidth="1"/>
    <col min="12562" max="12562" width="12.7109375" style="483" bestFit="1" customWidth="1"/>
    <col min="12563" max="12563" width="14.85546875" style="483" bestFit="1" customWidth="1"/>
    <col min="12564" max="12801" width="9.140625" style="483"/>
    <col min="12802" max="12802" width="6.28515625" style="483" customWidth="1"/>
    <col min="12803" max="12803" width="4.42578125" style="483" customWidth="1"/>
    <col min="12804" max="12804" width="38.42578125" style="483" customWidth="1"/>
    <col min="12805" max="12806" width="0" style="483" hidden="1" customWidth="1"/>
    <col min="12807" max="12807" width="28.140625" style="483" customWidth="1"/>
    <col min="12808" max="12808" width="19.28515625" style="483" bestFit="1" customWidth="1"/>
    <col min="12809" max="12809" width="18" style="483" bestFit="1" customWidth="1"/>
    <col min="12810" max="12810" width="16.28515625" style="483" bestFit="1" customWidth="1"/>
    <col min="12811" max="12811" width="16.5703125" style="483" bestFit="1" customWidth="1"/>
    <col min="12812" max="12812" width="16.42578125" style="483" bestFit="1" customWidth="1"/>
    <col min="12813" max="12813" width="15.5703125" style="483" bestFit="1" customWidth="1"/>
    <col min="12814" max="12814" width="14.85546875" style="483" bestFit="1" customWidth="1"/>
    <col min="12815" max="12815" width="16" style="483" bestFit="1" customWidth="1"/>
    <col min="12816" max="12816" width="14.85546875" style="483" bestFit="1" customWidth="1"/>
    <col min="12817" max="12817" width="16" style="483" bestFit="1" customWidth="1"/>
    <col min="12818" max="12818" width="12.7109375" style="483" bestFit="1" customWidth="1"/>
    <col min="12819" max="12819" width="14.85546875" style="483" bestFit="1" customWidth="1"/>
    <col min="12820" max="13057" width="9.140625" style="483"/>
    <col min="13058" max="13058" width="6.28515625" style="483" customWidth="1"/>
    <col min="13059" max="13059" width="4.42578125" style="483" customWidth="1"/>
    <col min="13060" max="13060" width="38.42578125" style="483" customWidth="1"/>
    <col min="13061" max="13062" width="0" style="483" hidden="1" customWidth="1"/>
    <col min="13063" max="13063" width="28.140625" style="483" customWidth="1"/>
    <col min="13064" max="13064" width="19.28515625" style="483" bestFit="1" customWidth="1"/>
    <col min="13065" max="13065" width="18" style="483" bestFit="1" customWidth="1"/>
    <col min="13066" max="13066" width="16.28515625" style="483" bestFit="1" customWidth="1"/>
    <col min="13067" max="13067" width="16.5703125" style="483" bestFit="1" customWidth="1"/>
    <col min="13068" max="13068" width="16.42578125" style="483" bestFit="1" customWidth="1"/>
    <col min="13069" max="13069" width="15.5703125" style="483" bestFit="1" customWidth="1"/>
    <col min="13070" max="13070" width="14.85546875" style="483" bestFit="1" customWidth="1"/>
    <col min="13071" max="13071" width="16" style="483" bestFit="1" customWidth="1"/>
    <col min="13072" max="13072" width="14.85546875" style="483" bestFit="1" customWidth="1"/>
    <col min="13073" max="13073" width="16" style="483" bestFit="1" customWidth="1"/>
    <col min="13074" max="13074" width="12.7109375" style="483" bestFit="1" customWidth="1"/>
    <col min="13075" max="13075" width="14.85546875" style="483" bestFit="1" customWidth="1"/>
    <col min="13076" max="13313" width="9.140625" style="483"/>
    <col min="13314" max="13314" width="6.28515625" style="483" customWidth="1"/>
    <col min="13315" max="13315" width="4.42578125" style="483" customWidth="1"/>
    <col min="13316" max="13316" width="38.42578125" style="483" customWidth="1"/>
    <col min="13317" max="13318" width="0" style="483" hidden="1" customWidth="1"/>
    <col min="13319" max="13319" width="28.140625" style="483" customWidth="1"/>
    <col min="13320" max="13320" width="19.28515625" style="483" bestFit="1" customWidth="1"/>
    <col min="13321" max="13321" width="18" style="483" bestFit="1" customWidth="1"/>
    <col min="13322" max="13322" width="16.28515625" style="483" bestFit="1" customWidth="1"/>
    <col min="13323" max="13323" width="16.5703125" style="483" bestFit="1" customWidth="1"/>
    <col min="13324" max="13324" width="16.42578125" style="483" bestFit="1" customWidth="1"/>
    <col min="13325" max="13325" width="15.5703125" style="483" bestFit="1" customWidth="1"/>
    <col min="13326" max="13326" width="14.85546875" style="483" bestFit="1" customWidth="1"/>
    <col min="13327" max="13327" width="16" style="483" bestFit="1" customWidth="1"/>
    <col min="13328" max="13328" width="14.85546875" style="483" bestFit="1" customWidth="1"/>
    <col min="13329" max="13329" width="16" style="483" bestFit="1" customWidth="1"/>
    <col min="13330" max="13330" width="12.7109375" style="483" bestFit="1" customWidth="1"/>
    <col min="13331" max="13331" width="14.85546875" style="483" bestFit="1" customWidth="1"/>
    <col min="13332" max="13569" width="9.140625" style="483"/>
    <col min="13570" max="13570" width="6.28515625" style="483" customWidth="1"/>
    <col min="13571" max="13571" width="4.42578125" style="483" customWidth="1"/>
    <col min="13572" max="13572" width="38.42578125" style="483" customWidth="1"/>
    <col min="13573" max="13574" width="0" style="483" hidden="1" customWidth="1"/>
    <col min="13575" max="13575" width="28.140625" style="483" customWidth="1"/>
    <col min="13576" max="13576" width="19.28515625" style="483" bestFit="1" customWidth="1"/>
    <col min="13577" max="13577" width="18" style="483" bestFit="1" customWidth="1"/>
    <col min="13578" max="13578" width="16.28515625" style="483" bestFit="1" customWidth="1"/>
    <col min="13579" max="13579" width="16.5703125" style="483" bestFit="1" customWidth="1"/>
    <col min="13580" max="13580" width="16.42578125" style="483" bestFit="1" customWidth="1"/>
    <col min="13581" max="13581" width="15.5703125" style="483" bestFit="1" customWidth="1"/>
    <col min="13582" max="13582" width="14.85546875" style="483" bestFit="1" customWidth="1"/>
    <col min="13583" max="13583" width="16" style="483" bestFit="1" customWidth="1"/>
    <col min="13584" max="13584" width="14.85546875" style="483" bestFit="1" customWidth="1"/>
    <col min="13585" max="13585" width="16" style="483" bestFit="1" customWidth="1"/>
    <col min="13586" max="13586" width="12.7109375" style="483" bestFit="1" customWidth="1"/>
    <col min="13587" max="13587" width="14.85546875" style="483" bestFit="1" customWidth="1"/>
    <col min="13588" max="13825" width="9.140625" style="483"/>
    <col min="13826" max="13826" width="6.28515625" style="483" customWidth="1"/>
    <col min="13827" max="13827" width="4.42578125" style="483" customWidth="1"/>
    <col min="13828" max="13828" width="38.42578125" style="483" customWidth="1"/>
    <col min="13829" max="13830" width="0" style="483" hidden="1" customWidth="1"/>
    <col min="13831" max="13831" width="28.140625" style="483" customWidth="1"/>
    <col min="13832" max="13832" width="19.28515625" style="483" bestFit="1" customWidth="1"/>
    <col min="13833" max="13833" width="18" style="483" bestFit="1" customWidth="1"/>
    <col min="13834" max="13834" width="16.28515625" style="483" bestFit="1" customWidth="1"/>
    <col min="13835" max="13835" width="16.5703125" style="483" bestFit="1" customWidth="1"/>
    <col min="13836" max="13836" width="16.42578125" style="483" bestFit="1" customWidth="1"/>
    <col min="13837" max="13837" width="15.5703125" style="483" bestFit="1" customWidth="1"/>
    <col min="13838" max="13838" width="14.85546875" style="483" bestFit="1" customWidth="1"/>
    <col min="13839" max="13839" width="16" style="483" bestFit="1" customWidth="1"/>
    <col min="13840" max="13840" width="14.85546875" style="483" bestFit="1" customWidth="1"/>
    <col min="13841" max="13841" width="16" style="483" bestFit="1" customWidth="1"/>
    <col min="13842" max="13842" width="12.7109375" style="483" bestFit="1" customWidth="1"/>
    <col min="13843" max="13843" width="14.85546875" style="483" bestFit="1" customWidth="1"/>
    <col min="13844" max="14081" width="9.140625" style="483"/>
    <col min="14082" max="14082" width="6.28515625" style="483" customWidth="1"/>
    <col min="14083" max="14083" width="4.42578125" style="483" customWidth="1"/>
    <col min="14084" max="14084" width="38.42578125" style="483" customWidth="1"/>
    <col min="14085" max="14086" width="0" style="483" hidden="1" customWidth="1"/>
    <col min="14087" max="14087" width="28.140625" style="483" customWidth="1"/>
    <col min="14088" max="14088" width="19.28515625" style="483" bestFit="1" customWidth="1"/>
    <col min="14089" max="14089" width="18" style="483" bestFit="1" customWidth="1"/>
    <col min="14090" max="14090" width="16.28515625" style="483" bestFit="1" customWidth="1"/>
    <col min="14091" max="14091" width="16.5703125" style="483" bestFit="1" customWidth="1"/>
    <col min="14092" max="14092" width="16.42578125" style="483" bestFit="1" customWidth="1"/>
    <col min="14093" max="14093" width="15.5703125" style="483" bestFit="1" customWidth="1"/>
    <col min="14094" max="14094" width="14.85546875" style="483" bestFit="1" customWidth="1"/>
    <col min="14095" max="14095" width="16" style="483" bestFit="1" customWidth="1"/>
    <col min="14096" max="14096" width="14.85546875" style="483" bestFit="1" customWidth="1"/>
    <col min="14097" max="14097" width="16" style="483" bestFit="1" customWidth="1"/>
    <col min="14098" max="14098" width="12.7109375" style="483" bestFit="1" customWidth="1"/>
    <col min="14099" max="14099" width="14.85546875" style="483" bestFit="1" customWidth="1"/>
    <col min="14100" max="14337" width="9.140625" style="483"/>
    <col min="14338" max="14338" width="6.28515625" style="483" customWidth="1"/>
    <col min="14339" max="14339" width="4.42578125" style="483" customWidth="1"/>
    <col min="14340" max="14340" width="38.42578125" style="483" customWidth="1"/>
    <col min="14341" max="14342" width="0" style="483" hidden="1" customWidth="1"/>
    <col min="14343" max="14343" width="28.140625" style="483" customWidth="1"/>
    <col min="14344" max="14344" width="19.28515625" style="483" bestFit="1" customWidth="1"/>
    <col min="14345" max="14345" width="18" style="483" bestFit="1" customWidth="1"/>
    <col min="14346" max="14346" width="16.28515625" style="483" bestFit="1" customWidth="1"/>
    <col min="14347" max="14347" width="16.5703125" style="483" bestFit="1" customWidth="1"/>
    <col min="14348" max="14348" width="16.42578125" style="483" bestFit="1" customWidth="1"/>
    <col min="14349" max="14349" width="15.5703125" style="483" bestFit="1" customWidth="1"/>
    <col min="14350" max="14350" width="14.85546875" style="483" bestFit="1" customWidth="1"/>
    <col min="14351" max="14351" width="16" style="483" bestFit="1" customWidth="1"/>
    <col min="14352" max="14352" width="14.85546875" style="483" bestFit="1" customWidth="1"/>
    <col min="14353" max="14353" width="16" style="483" bestFit="1" customWidth="1"/>
    <col min="14354" max="14354" width="12.7109375" style="483" bestFit="1" customWidth="1"/>
    <col min="14355" max="14355" width="14.85546875" style="483" bestFit="1" customWidth="1"/>
    <col min="14356" max="14593" width="9.140625" style="483"/>
    <col min="14594" max="14594" width="6.28515625" style="483" customWidth="1"/>
    <col min="14595" max="14595" width="4.42578125" style="483" customWidth="1"/>
    <col min="14596" max="14596" width="38.42578125" style="483" customWidth="1"/>
    <col min="14597" max="14598" width="0" style="483" hidden="1" customWidth="1"/>
    <col min="14599" max="14599" width="28.140625" style="483" customWidth="1"/>
    <col min="14600" max="14600" width="19.28515625" style="483" bestFit="1" customWidth="1"/>
    <col min="14601" max="14601" width="18" style="483" bestFit="1" customWidth="1"/>
    <col min="14602" max="14602" width="16.28515625" style="483" bestFit="1" customWidth="1"/>
    <col min="14603" max="14603" width="16.5703125" style="483" bestFit="1" customWidth="1"/>
    <col min="14604" max="14604" width="16.42578125" style="483" bestFit="1" customWidth="1"/>
    <col min="14605" max="14605" width="15.5703125" style="483" bestFit="1" customWidth="1"/>
    <col min="14606" max="14606" width="14.85546875" style="483" bestFit="1" customWidth="1"/>
    <col min="14607" max="14607" width="16" style="483" bestFit="1" customWidth="1"/>
    <col min="14608" max="14608" width="14.85546875" style="483" bestFit="1" customWidth="1"/>
    <col min="14609" max="14609" width="16" style="483" bestFit="1" customWidth="1"/>
    <col min="14610" max="14610" width="12.7109375" style="483" bestFit="1" customWidth="1"/>
    <col min="14611" max="14611" width="14.85546875" style="483" bestFit="1" customWidth="1"/>
    <col min="14612" max="14849" width="9.140625" style="483"/>
    <col min="14850" max="14850" width="6.28515625" style="483" customWidth="1"/>
    <col min="14851" max="14851" width="4.42578125" style="483" customWidth="1"/>
    <col min="14852" max="14852" width="38.42578125" style="483" customWidth="1"/>
    <col min="14853" max="14854" width="0" style="483" hidden="1" customWidth="1"/>
    <col min="14855" max="14855" width="28.140625" style="483" customWidth="1"/>
    <col min="14856" max="14856" width="19.28515625" style="483" bestFit="1" customWidth="1"/>
    <col min="14857" max="14857" width="18" style="483" bestFit="1" customWidth="1"/>
    <col min="14858" max="14858" width="16.28515625" style="483" bestFit="1" customWidth="1"/>
    <col min="14859" max="14859" width="16.5703125" style="483" bestFit="1" customWidth="1"/>
    <col min="14860" max="14860" width="16.42578125" style="483" bestFit="1" customWidth="1"/>
    <col min="14861" max="14861" width="15.5703125" style="483" bestFit="1" customWidth="1"/>
    <col min="14862" max="14862" width="14.85546875" style="483" bestFit="1" customWidth="1"/>
    <col min="14863" max="14863" width="16" style="483" bestFit="1" customWidth="1"/>
    <col min="14864" max="14864" width="14.85546875" style="483" bestFit="1" customWidth="1"/>
    <col min="14865" max="14865" width="16" style="483" bestFit="1" customWidth="1"/>
    <col min="14866" max="14866" width="12.7109375" style="483" bestFit="1" customWidth="1"/>
    <col min="14867" max="14867" width="14.85546875" style="483" bestFit="1" customWidth="1"/>
    <col min="14868" max="15105" width="9.140625" style="483"/>
    <col min="15106" max="15106" width="6.28515625" style="483" customWidth="1"/>
    <col min="15107" max="15107" width="4.42578125" style="483" customWidth="1"/>
    <col min="15108" max="15108" width="38.42578125" style="483" customWidth="1"/>
    <col min="15109" max="15110" width="0" style="483" hidden="1" customWidth="1"/>
    <col min="15111" max="15111" width="28.140625" style="483" customWidth="1"/>
    <col min="15112" max="15112" width="19.28515625" style="483" bestFit="1" customWidth="1"/>
    <col min="15113" max="15113" width="18" style="483" bestFit="1" customWidth="1"/>
    <col min="15114" max="15114" width="16.28515625" style="483" bestFit="1" customWidth="1"/>
    <col min="15115" max="15115" width="16.5703125" style="483" bestFit="1" customWidth="1"/>
    <col min="15116" max="15116" width="16.42578125" style="483" bestFit="1" customWidth="1"/>
    <col min="15117" max="15117" width="15.5703125" style="483" bestFit="1" customWidth="1"/>
    <col min="15118" max="15118" width="14.85546875" style="483" bestFit="1" customWidth="1"/>
    <col min="15119" max="15119" width="16" style="483" bestFit="1" customWidth="1"/>
    <col min="15120" max="15120" width="14.85546875" style="483" bestFit="1" customWidth="1"/>
    <col min="15121" max="15121" width="16" style="483" bestFit="1" customWidth="1"/>
    <col min="15122" max="15122" width="12.7109375" style="483" bestFit="1" customWidth="1"/>
    <col min="15123" max="15123" width="14.85546875" style="483" bestFit="1" customWidth="1"/>
    <col min="15124" max="15361" width="9.140625" style="483"/>
    <col min="15362" max="15362" width="6.28515625" style="483" customWidth="1"/>
    <col min="15363" max="15363" width="4.42578125" style="483" customWidth="1"/>
    <col min="15364" max="15364" width="38.42578125" style="483" customWidth="1"/>
    <col min="15365" max="15366" width="0" style="483" hidden="1" customWidth="1"/>
    <col min="15367" max="15367" width="28.140625" style="483" customWidth="1"/>
    <col min="15368" max="15368" width="19.28515625" style="483" bestFit="1" customWidth="1"/>
    <col min="15369" max="15369" width="18" style="483" bestFit="1" customWidth="1"/>
    <col min="15370" max="15370" width="16.28515625" style="483" bestFit="1" customWidth="1"/>
    <col min="15371" max="15371" width="16.5703125" style="483" bestFit="1" customWidth="1"/>
    <col min="15372" max="15372" width="16.42578125" style="483" bestFit="1" customWidth="1"/>
    <col min="15373" max="15373" width="15.5703125" style="483" bestFit="1" customWidth="1"/>
    <col min="15374" max="15374" width="14.85546875" style="483" bestFit="1" customWidth="1"/>
    <col min="15375" max="15375" width="16" style="483" bestFit="1" customWidth="1"/>
    <col min="15376" max="15376" width="14.85546875" style="483" bestFit="1" customWidth="1"/>
    <col min="15377" max="15377" width="16" style="483" bestFit="1" customWidth="1"/>
    <col min="15378" max="15378" width="12.7109375" style="483" bestFit="1" customWidth="1"/>
    <col min="15379" max="15379" width="14.85546875" style="483" bestFit="1" customWidth="1"/>
    <col min="15380" max="15617" width="9.140625" style="483"/>
    <col min="15618" max="15618" width="6.28515625" style="483" customWidth="1"/>
    <col min="15619" max="15619" width="4.42578125" style="483" customWidth="1"/>
    <col min="15620" max="15620" width="38.42578125" style="483" customWidth="1"/>
    <col min="15621" max="15622" width="0" style="483" hidden="1" customWidth="1"/>
    <col min="15623" max="15623" width="28.140625" style="483" customWidth="1"/>
    <col min="15624" max="15624" width="19.28515625" style="483" bestFit="1" customWidth="1"/>
    <col min="15625" max="15625" width="18" style="483" bestFit="1" customWidth="1"/>
    <col min="15626" max="15626" width="16.28515625" style="483" bestFit="1" customWidth="1"/>
    <col min="15627" max="15627" width="16.5703125" style="483" bestFit="1" customWidth="1"/>
    <col min="15628" max="15628" width="16.42578125" style="483" bestFit="1" customWidth="1"/>
    <col min="15629" max="15629" width="15.5703125" style="483" bestFit="1" customWidth="1"/>
    <col min="15630" max="15630" width="14.85546875" style="483" bestFit="1" customWidth="1"/>
    <col min="15631" max="15631" width="16" style="483" bestFit="1" customWidth="1"/>
    <col min="15632" max="15632" width="14.85546875" style="483" bestFit="1" customWidth="1"/>
    <col min="15633" max="15633" width="16" style="483" bestFit="1" customWidth="1"/>
    <col min="15634" max="15634" width="12.7109375" style="483" bestFit="1" customWidth="1"/>
    <col min="15635" max="15635" width="14.85546875" style="483" bestFit="1" customWidth="1"/>
    <col min="15636" max="15873" width="9.140625" style="483"/>
    <col min="15874" max="15874" width="6.28515625" style="483" customWidth="1"/>
    <col min="15875" max="15875" width="4.42578125" style="483" customWidth="1"/>
    <col min="15876" max="15876" width="38.42578125" style="483" customWidth="1"/>
    <col min="15877" max="15878" width="0" style="483" hidden="1" customWidth="1"/>
    <col min="15879" max="15879" width="28.140625" style="483" customWidth="1"/>
    <col min="15880" max="15880" width="19.28515625" style="483" bestFit="1" customWidth="1"/>
    <col min="15881" max="15881" width="18" style="483" bestFit="1" customWidth="1"/>
    <col min="15882" max="15882" width="16.28515625" style="483" bestFit="1" customWidth="1"/>
    <col min="15883" max="15883" width="16.5703125" style="483" bestFit="1" customWidth="1"/>
    <col min="15884" max="15884" width="16.42578125" style="483" bestFit="1" customWidth="1"/>
    <col min="15885" max="15885" width="15.5703125" style="483" bestFit="1" customWidth="1"/>
    <col min="15886" max="15886" width="14.85546875" style="483" bestFit="1" customWidth="1"/>
    <col min="15887" max="15887" width="16" style="483" bestFit="1" customWidth="1"/>
    <col min="15888" max="15888" width="14.85546875" style="483" bestFit="1" customWidth="1"/>
    <col min="15889" max="15889" width="16" style="483" bestFit="1" customWidth="1"/>
    <col min="15890" max="15890" width="12.7109375" style="483" bestFit="1" customWidth="1"/>
    <col min="15891" max="15891" width="14.85546875" style="483" bestFit="1" customWidth="1"/>
    <col min="15892" max="16129" width="9.140625" style="483"/>
    <col min="16130" max="16130" width="6.28515625" style="483" customWidth="1"/>
    <col min="16131" max="16131" width="4.42578125" style="483" customWidth="1"/>
    <col min="16132" max="16132" width="38.42578125" style="483" customWidth="1"/>
    <col min="16133" max="16134" width="0" style="483" hidden="1" customWidth="1"/>
    <col min="16135" max="16135" width="28.140625" style="483" customWidth="1"/>
    <col min="16136" max="16136" width="19.28515625" style="483" bestFit="1" customWidth="1"/>
    <col min="16137" max="16137" width="18" style="483" bestFit="1" customWidth="1"/>
    <col min="16138" max="16138" width="16.28515625" style="483" bestFit="1" customWidth="1"/>
    <col min="16139" max="16139" width="16.5703125" style="483" bestFit="1" customWidth="1"/>
    <col min="16140" max="16140" width="16.42578125" style="483" bestFit="1" customWidth="1"/>
    <col min="16141" max="16141" width="15.5703125" style="483" bestFit="1" customWidth="1"/>
    <col min="16142" max="16142" width="14.85546875" style="483" bestFit="1" customWidth="1"/>
    <col min="16143" max="16143" width="16" style="483" bestFit="1" customWidth="1"/>
    <col min="16144" max="16144" width="14.85546875" style="483" bestFit="1" customWidth="1"/>
    <col min="16145" max="16145" width="16" style="483" bestFit="1" customWidth="1"/>
    <col min="16146" max="16146" width="12.7109375" style="483" bestFit="1" customWidth="1"/>
    <col min="16147" max="16147" width="14.85546875" style="483" bestFit="1" customWidth="1"/>
    <col min="16148" max="16384" width="9.140625" style="483"/>
  </cols>
  <sheetData>
    <row r="1" spans="1:15" ht="20.25">
      <c r="G1" s="484" t="s">
        <v>945</v>
      </c>
      <c r="H1" s="484"/>
      <c r="I1" s="484"/>
    </row>
    <row r="4" spans="1:15" ht="38.25">
      <c r="A4" s="485"/>
      <c r="B4" s="486" t="s">
        <v>181</v>
      </c>
      <c r="C4" s="487"/>
      <c r="D4" s="488"/>
      <c r="E4" s="485"/>
      <c r="F4" s="485"/>
      <c r="G4" s="489" t="s">
        <v>9</v>
      </c>
      <c r="H4" s="489" t="s">
        <v>37</v>
      </c>
      <c r="I4" s="489" t="s">
        <v>29</v>
      </c>
      <c r="J4" s="489" t="s">
        <v>30</v>
      </c>
      <c r="K4" s="489" t="s">
        <v>281</v>
      </c>
      <c r="L4" s="490" t="s">
        <v>913</v>
      </c>
      <c r="M4" s="489" t="s">
        <v>914</v>
      </c>
    </row>
    <row r="5" spans="1:15">
      <c r="A5" s="491" t="s">
        <v>184</v>
      </c>
      <c r="C5" s="492" t="s">
        <v>182</v>
      </c>
      <c r="L5" s="493"/>
    </row>
    <row r="6" spans="1:15">
      <c r="A6" s="491" t="s">
        <v>185</v>
      </c>
      <c r="C6" s="483" t="s">
        <v>183</v>
      </c>
      <c r="G6" s="494">
        <f>SUM('#1-Meritus:#5034-Mt. Washington Pediatric'!F18)</f>
        <v>0</v>
      </c>
      <c r="H6" s="494">
        <f>SUM('#1-Meritus:#5034-Mt. Washington Pediatric'!G18)</f>
        <v>0</v>
      </c>
      <c r="I6" s="534">
        <f>SUM('#1-Meritus:#5034-Mt. Washington Pediatric'!H18)</f>
        <v>373183714.40300345</v>
      </c>
      <c r="J6" s="534">
        <f>SUM('#1-Meritus:#5034-Mt. Washington Pediatric'!I18)</f>
        <v>1225750</v>
      </c>
      <c r="K6" s="534">
        <f>SUM('#1-Meritus:#5034-Mt. Washington Pediatric'!J18)</f>
        <v>315139013.07828051</v>
      </c>
      <c r="L6" s="534">
        <f>SUM('#1-Meritus:#5034-Mt. Washington Pediatric'!K18)</f>
        <v>59270451.324722975</v>
      </c>
      <c r="M6" s="534">
        <f>L6-J6</f>
        <v>58044701.324722975</v>
      </c>
      <c r="N6" s="493"/>
      <c r="O6" s="493"/>
    </row>
    <row r="7" spans="1:15" ht="38.25">
      <c r="A7" s="485" t="s">
        <v>8</v>
      </c>
      <c r="B7" s="485"/>
      <c r="C7" s="488"/>
      <c r="D7" s="488"/>
      <c r="E7" s="488"/>
      <c r="F7" s="488"/>
      <c r="G7" s="489" t="s">
        <v>9</v>
      </c>
      <c r="H7" s="489" t="s">
        <v>37</v>
      </c>
      <c r="I7" s="489" t="s">
        <v>915</v>
      </c>
      <c r="J7" s="489" t="s">
        <v>916</v>
      </c>
      <c r="K7" s="490" t="s">
        <v>281</v>
      </c>
      <c r="L7" s="495" t="s">
        <v>913</v>
      </c>
      <c r="M7" s="489" t="s">
        <v>914</v>
      </c>
      <c r="N7" s="493"/>
      <c r="O7" s="493"/>
    </row>
    <row r="8" spans="1:15">
      <c r="A8" s="486" t="s">
        <v>74</v>
      </c>
      <c r="B8" s="492" t="s">
        <v>41</v>
      </c>
      <c r="K8" s="496"/>
      <c r="L8" s="497"/>
      <c r="N8" s="493"/>
      <c r="O8" s="493"/>
    </row>
    <row r="9" spans="1:15">
      <c r="A9" s="498" t="s">
        <v>75</v>
      </c>
      <c r="B9" s="483" t="s">
        <v>42</v>
      </c>
      <c r="G9" s="494">
        <f>SUM('#1-Meritus:#5034-Mt. Washington Pediatric'!F21)</f>
        <v>275494.72159622365</v>
      </c>
      <c r="H9" s="494">
        <f>SUM('#1-Meritus:#5034-Mt. Washington Pediatric'!G21)</f>
        <v>12608953.491685797</v>
      </c>
      <c r="I9" s="534">
        <f>SUM('#1-Meritus:#5034-Mt. Washington Pediatric'!H21)</f>
        <v>16009919.509397564</v>
      </c>
      <c r="J9" s="534">
        <f>SUM('#1-Meritus:#5034-Mt. Washington Pediatric'!I21)</f>
        <v>8928580.4055015016</v>
      </c>
      <c r="K9" s="534">
        <f>SUM('#1-Meritus:#5034-Mt. Washington Pediatric'!J21)</f>
        <v>1854614.8414999999</v>
      </c>
      <c r="L9" s="534">
        <f>SUM('#1-Meritus:#5034-Mt. Washington Pediatric'!K21)</f>
        <v>23083885.073399067</v>
      </c>
      <c r="M9" s="534">
        <f>L9-J9</f>
        <v>14155304.667897565</v>
      </c>
      <c r="N9" s="493"/>
      <c r="O9" s="493"/>
    </row>
    <row r="10" spans="1:15">
      <c r="A10" s="498" t="s">
        <v>76</v>
      </c>
      <c r="B10" s="483" t="s">
        <v>6</v>
      </c>
      <c r="G10" s="494">
        <f>SUM('#1-Meritus:#5034-Mt. Washington Pediatric'!F22)</f>
        <v>12852.430394492454</v>
      </c>
      <c r="H10" s="494">
        <f>SUM('#1-Meritus:#5034-Mt. Washington Pediatric'!G22)</f>
        <v>30068</v>
      </c>
      <c r="I10" s="534">
        <f>SUM('#1-Meritus:#5034-Mt. Washington Pediatric'!H22)</f>
        <v>697438.02136126708</v>
      </c>
      <c r="J10" s="534">
        <f>SUM('#1-Meritus:#5034-Mt. Washington Pediatric'!I22)</f>
        <v>357666.63390702481</v>
      </c>
      <c r="K10" s="534">
        <f>SUM('#1-Meritus:#5034-Mt. Washington Pediatric'!J22)</f>
        <v>11607.0645</v>
      </c>
      <c r="L10" s="534">
        <f>SUM('#1-Meritus:#5034-Mt. Washington Pediatric'!K22)</f>
        <v>1043497.5907682923</v>
      </c>
      <c r="M10" s="534">
        <f t="shared" ref="M10:M22" si="0">L10-J10</f>
        <v>685830.95686126756</v>
      </c>
      <c r="N10" s="493"/>
      <c r="O10" s="493"/>
    </row>
    <row r="11" spans="1:15">
      <c r="A11" s="498" t="s">
        <v>77</v>
      </c>
      <c r="B11" s="483" t="s">
        <v>43</v>
      </c>
      <c r="G11" s="494">
        <f>SUM('#1-Meritus:#5034-Mt. Washington Pediatric'!F23)</f>
        <v>25128.5</v>
      </c>
      <c r="H11" s="494">
        <f>SUM('#1-Meritus:#5034-Mt. Washington Pediatric'!G23)</f>
        <v>68568</v>
      </c>
      <c r="I11" s="534">
        <f>SUM('#1-Meritus:#5034-Mt. Washington Pediatric'!H23)</f>
        <v>1560401.4418341552</v>
      </c>
      <c r="J11" s="534">
        <f>SUM('#1-Meritus:#5034-Mt. Washington Pediatric'!I23)</f>
        <v>843538.42910019204</v>
      </c>
      <c r="K11" s="534">
        <f>SUM('#1-Meritus:#5034-Mt. Washington Pediatric'!J23)</f>
        <v>778726</v>
      </c>
      <c r="L11" s="534">
        <f>SUM('#1-Meritus:#5034-Mt. Washington Pediatric'!K23)</f>
        <v>1625213.8709343474</v>
      </c>
      <c r="M11" s="534">
        <f t="shared" si="0"/>
        <v>781675.44183415535</v>
      </c>
      <c r="N11" s="493"/>
      <c r="O11" s="493"/>
    </row>
    <row r="12" spans="1:15">
      <c r="A12" s="498" t="s">
        <v>78</v>
      </c>
      <c r="B12" s="483" t="s">
        <v>44</v>
      </c>
      <c r="G12" s="494">
        <f>SUM('#1-Meritus:#5034-Mt. Washington Pediatric'!F24)</f>
        <v>294223.69910927262</v>
      </c>
      <c r="H12" s="494">
        <f>SUM('#1-Meritus:#5034-Mt. Washington Pediatric'!G24)</f>
        <v>367537.0084052746</v>
      </c>
      <c r="I12" s="534">
        <f>SUM('#1-Meritus:#5034-Mt. Washington Pediatric'!H24)</f>
        <v>13456135.647529943</v>
      </c>
      <c r="J12" s="534">
        <f>SUM('#1-Meritus:#5034-Mt. Washington Pediatric'!I24)</f>
        <v>4105501.522914533</v>
      </c>
      <c r="K12" s="534">
        <f>SUM('#1-Meritus:#5034-Mt. Washington Pediatric'!J24)</f>
        <v>7024463.7399999993</v>
      </c>
      <c r="L12" s="534">
        <f>SUM('#1-Meritus:#5034-Mt. Washington Pediatric'!K24)</f>
        <v>10537173.430444481</v>
      </c>
      <c r="M12" s="534">
        <f t="shared" si="0"/>
        <v>6431671.9075299483</v>
      </c>
      <c r="N12" s="493"/>
      <c r="O12" s="493"/>
    </row>
    <row r="13" spans="1:15">
      <c r="A13" s="498" t="s">
        <v>79</v>
      </c>
      <c r="B13" s="483" t="s">
        <v>5</v>
      </c>
      <c r="G13" s="494">
        <f>SUM('#1-Meritus:#5034-Mt. Washington Pediatric'!F25)</f>
        <v>32692.258227008286</v>
      </c>
      <c r="H13" s="494">
        <f>SUM('#1-Meritus:#5034-Mt. Washington Pediatric'!G25)</f>
        <v>80129</v>
      </c>
      <c r="I13" s="534">
        <f>SUM('#1-Meritus:#5034-Mt. Washington Pediatric'!H25)</f>
        <v>1604902.8273658559</v>
      </c>
      <c r="J13" s="534">
        <f>SUM('#1-Meritus:#5034-Mt. Washington Pediatric'!I25)</f>
        <v>897952.24773603538</v>
      </c>
      <c r="K13" s="534">
        <f>SUM('#1-Meritus:#5034-Mt. Washington Pediatric'!J25)</f>
        <v>209692.12900000002</v>
      </c>
      <c r="L13" s="534">
        <f>SUM('#1-Meritus:#5034-Mt. Washington Pediatric'!K25)</f>
        <v>2293162.9461018918</v>
      </c>
      <c r="M13" s="534">
        <f t="shared" si="0"/>
        <v>1395210.6983658564</v>
      </c>
      <c r="N13" s="493"/>
      <c r="O13" s="493"/>
    </row>
    <row r="14" spans="1:15">
      <c r="A14" s="498" t="s">
        <v>80</v>
      </c>
      <c r="B14" s="483" t="s">
        <v>45</v>
      </c>
      <c r="G14" s="494">
        <f>SUM('#1-Meritus:#5034-Mt. Washington Pediatric'!F26)</f>
        <v>3493.6022741764082</v>
      </c>
      <c r="H14" s="494">
        <f>SUM('#1-Meritus:#5034-Mt. Washington Pediatric'!G26)</f>
        <v>19484</v>
      </c>
      <c r="I14" s="534">
        <f>SUM('#1-Meritus:#5034-Mt. Washington Pediatric'!H26)</f>
        <v>338808.65183746559</v>
      </c>
      <c r="J14" s="534">
        <f>SUM('#1-Meritus:#5034-Mt. Washington Pediatric'!I26)</f>
        <v>101123.59957480087</v>
      </c>
      <c r="K14" s="534">
        <f>SUM('#1-Meritus:#5034-Mt. Washington Pediatric'!J26)</f>
        <v>61067</v>
      </c>
      <c r="L14" s="534">
        <f>SUM('#1-Meritus:#5034-Mt. Washington Pediatric'!K26)</f>
        <v>378865.25141226652</v>
      </c>
      <c r="M14" s="534">
        <f t="shared" si="0"/>
        <v>277741.65183746564</v>
      </c>
      <c r="N14" s="493"/>
      <c r="O14" s="493"/>
    </row>
    <row r="15" spans="1:15">
      <c r="A15" s="498" t="s">
        <v>81</v>
      </c>
      <c r="B15" s="483" t="s">
        <v>46</v>
      </c>
      <c r="G15" s="494">
        <f>SUM('#1-Meritus:#5034-Mt. Washington Pediatric'!F27)</f>
        <v>33732.5</v>
      </c>
      <c r="H15" s="494">
        <f>SUM('#1-Meritus:#5034-Mt. Washington Pediatric'!G27)</f>
        <v>58062</v>
      </c>
      <c r="I15" s="534">
        <f>SUM('#1-Meritus:#5034-Mt. Washington Pediatric'!H27)</f>
        <v>4419729.2399999993</v>
      </c>
      <c r="J15" s="534">
        <f>SUM('#1-Meritus:#5034-Mt. Washington Pediatric'!I27)</f>
        <v>2191789.4687442272</v>
      </c>
      <c r="K15" s="534">
        <f>SUM('#1-Meritus:#5034-Mt. Washington Pediatric'!J27)</f>
        <v>1469694.2200000007</v>
      </c>
      <c r="L15" s="534">
        <f>SUM('#1-Meritus:#5034-Mt. Washington Pediatric'!K27)</f>
        <v>5141824.4887442254</v>
      </c>
      <c r="M15" s="534">
        <f t="shared" si="0"/>
        <v>2950035.0199999982</v>
      </c>
      <c r="N15" s="493"/>
      <c r="O15" s="493"/>
    </row>
    <row r="16" spans="1:15">
      <c r="A16" s="498" t="s">
        <v>82</v>
      </c>
      <c r="B16" s="483" t="s">
        <v>47</v>
      </c>
      <c r="G16" s="494">
        <f>SUM('#1-Meritus:#5034-Mt. Washington Pediatric'!F28)</f>
        <v>28261.5</v>
      </c>
      <c r="H16" s="494">
        <f>SUM('#1-Meritus:#5034-Mt. Washington Pediatric'!G28)</f>
        <v>10104</v>
      </c>
      <c r="I16" s="534">
        <f>SUM('#1-Meritus:#5034-Mt. Washington Pediatric'!H28)</f>
        <v>1298417.0200002228</v>
      </c>
      <c r="J16" s="534">
        <f>SUM('#1-Meritus:#5034-Mt. Washington Pediatric'!I28)</f>
        <v>498560.90161190816</v>
      </c>
      <c r="K16" s="534">
        <f>SUM('#1-Meritus:#5034-Mt. Washington Pediatric'!J28)</f>
        <v>923458</v>
      </c>
      <c r="L16" s="534">
        <f>SUM('#1-Meritus:#5034-Mt. Washington Pediatric'!K28)</f>
        <v>873519.92161213106</v>
      </c>
      <c r="M16" s="534">
        <f t="shared" si="0"/>
        <v>374959.0200002229</v>
      </c>
      <c r="N16" s="493"/>
      <c r="O16" s="493"/>
    </row>
    <row r="17" spans="1:15">
      <c r="A17" s="498" t="s">
        <v>83</v>
      </c>
      <c r="B17" s="483" t="s">
        <v>48</v>
      </c>
      <c r="G17" s="494">
        <f>SUM('#1-Meritus:#5034-Mt. Washington Pediatric'!F29)</f>
        <v>233587.46472438177</v>
      </c>
      <c r="H17" s="494">
        <f>SUM('#1-Meritus:#5034-Mt. Washington Pediatric'!G29)</f>
        <v>193063.0012007535</v>
      </c>
      <c r="I17" s="534">
        <f>SUM('#1-Meritus:#5034-Mt. Washington Pediatric'!H29)</f>
        <v>23848130.769104913</v>
      </c>
      <c r="J17" s="534">
        <f>SUM('#1-Meritus:#5034-Mt. Washington Pediatric'!I29)</f>
        <v>11398248.877967387</v>
      </c>
      <c r="K17" s="534">
        <f>SUM('#1-Meritus:#5034-Mt. Washington Pediatric'!J29)</f>
        <v>1947798.2025000001</v>
      </c>
      <c r="L17" s="534">
        <f>SUM('#1-Meritus:#5034-Mt. Washington Pediatric'!K29)</f>
        <v>33298581.444572296</v>
      </c>
      <c r="M17" s="534">
        <f t="shared" si="0"/>
        <v>21900332.566604909</v>
      </c>
      <c r="N17" s="493"/>
      <c r="O17" s="493"/>
    </row>
    <row r="18" spans="1:15">
      <c r="A18" s="5" t="s">
        <v>84</v>
      </c>
      <c r="B18" s="636" t="s">
        <v>367</v>
      </c>
      <c r="C18" s="637"/>
      <c r="D18" s="638"/>
      <c r="E18"/>
      <c r="F18" s="536"/>
      <c r="G18" s="494">
        <f>SUM('#1-Meritus:#5034-Mt. Washington Pediatric'!F30)</f>
        <v>27190.949998437696</v>
      </c>
      <c r="H18" s="494">
        <f>SUM('#1-Meritus:#5034-Mt. Washington Pediatric'!G30)</f>
        <v>47461.513508477059</v>
      </c>
      <c r="I18" s="534">
        <f>SUM('#1-Meritus:#5034-Mt. Washington Pediatric'!H30)</f>
        <v>3367342.5976311946</v>
      </c>
      <c r="J18" s="534">
        <f>SUM('#1-Meritus:#5034-Mt. Washington Pediatric'!I30)</f>
        <v>1422320.2995134275</v>
      </c>
      <c r="K18" s="534">
        <f>SUM('#1-Meritus:#5034-Mt. Washington Pediatric'!J30)</f>
        <v>62630.867000000006</v>
      </c>
      <c r="L18" s="534">
        <f>SUM('#1-Meritus:#5034-Mt. Washington Pediatric'!K30)</f>
        <v>4727032.0301446216</v>
      </c>
      <c r="M18" s="534">
        <f t="shared" si="0"/>
        <v>3304711.7306311941</v>
      </c>
      <c r="N18" s="493"/>
      <c r="O18" s="493"/>
    </row>
    <row r="19" spans="1:15">
      <c r="A19" s="5" t="s">
        <v>133</v>
      </c>
      <c r="B19" s="636" t="s">
        <v>367</v>
      </c>
      <c r="C19" s="637"/>
      <c r="D19" s="638"/>
      <c r="E19"/>
      <c r="F19" s="536"/>
      <c r="G19" s="494">
        <f>SUM('#1-Meritus:#5034-Mt. Washington Pediatric'!F31)</f>
        <v>43752</v>
      </c>
      <c r="H19" s="494">
        <f>SUM('#1-Meritus:#5034-Mt. Washington Pediatric'!G31)</f>
        <v>8045</v>
      </c>
      <c r="I19" s="534">
        <f>SUM('#1-Meritus:#5034-Mt. Washington Pediatric'!H31)</f>
        <v>2985269.2</v>
      </c>
      <c r="J19" s="534">
        <f>SUM('#1-Meritus:#5034-Mt. Washington Pediatric'!I31)</f>
        <v>81657.267680000004</v>
      </c>
      <c r="K19" s="534">
        <f>SUM('#1-Meritus:#5034-Mt. Washington Pediatric'!J31)</f>
        <v>0</v>
      </c>
      <c r="L19" s="534">
        <f>SUM('#1-Meritus:#5034-Mt. Washington Pediatric'!K31)</f>
        <v>3066926.4676800002</v>
      </c>
      <c r="M19" s="534">
        <f t="shared" si="0"/>
        <v>2985269.2</v>
      </c>
      <c r="N19" s="493"/>
      <c r="O19" s="493"/>
    </row>
    <row r="20" spans="1:15">
      <c r="A20" s="5" t="s">
        <v>134</v>
      </c>
      <c r="B20" s="363" t="s">
        <v>367</v>
      </c>
      <c r="C20" s="364"/>
      <c r="D20" s="365"/>
      <c r="E20"/>
      <c r="F20" s="536"/>
      <c r="G20" s="494">
        <f>SUM('#1-Meritus:#5034-Mt. Washington Pediatric'!F32)</f>
        <v>2080</v>
      </c>
      <c r="H20" s="494">
        <f>SUM('#1-Meritus:#5034-Mt. Washington Pediatric'!G32)</f>
        <v>2909</v>
      </c>
      <c r="I20" s="534">
        <f>SUM('#1-Meritus:#5034-Mt. Washington Pediatric'!H32)</f>
        <v>133479</v>
      </c>
      <c r="J20" s="534">
        <f>SUM('#1-Meritus:#5034-Mt. Washington Pediatric'!I32)</f>
        <v>83958</v>
      </c>
      <c r="K20" s="534">
        <f>SUM('#1-Meritus:#5034-Mt. Washington Pediatric'!J32)</f>
        <v>0</v>
      </c>
      <c r="L20" s="534">
        <f>SUM('#1-Meritus:#5034-Mt. Washington Pediatric'!K32)</f>
        <v>217437</v>
      </c>
      <c r="M20" s="534">
        <f t="shared" si="0"/>
        <v>133479</v>
      </c>
      <c r="N20" s="493"/>
      <c r="O20" s="493"/>
    </row>
    <row r="21" spans="1:15">
      <c r="A21" s="5" t="s">
        <v>135</v>
      </c>
      <c r="B21" s="363" t="s">
        <v>367</v>
      </c>
      <c r="C21" s="364"/>
      <c r="D21" s="365"/>
      <c r="E21"/>
      <c r="F21" s="536"/>
      <c r="G21" s="494">
        <f>SUM('#1-Meritus:#5034-Mt. Washington Pediatric'!F33)</f>
        <v>0</v>
      </c>
      <c r="H21" s="494">
        <f>SUM('#1-Meritus:#5034-Mt. Washington Pediatric'!G33)</f>
        <v>0</v>
      </c>
      <c r="I21" s="534">
        <f>SUM('#1-Meritus:#5034-Mt. Washington Pediatric'!H33)</f>
        <v>0</v>
      </c>
      <c r="J21" s="534">
        <f>SUM('#1-Meritus:#5034-Mt. Washington Pediatric'!I33)</f>
        <v>0</v>
      </c>
      <c r="K21" s="534">
        <f>SUM('#1-Meritus:#5034-Mt. Washington Pediatric'!J33)</f>
        <v>0</v>
      </c>
      <c r="L21" s="534">
        <f>SUM('#1-Meritus:#5034-Mt. Washington Pediatric'!K33)</f>
        <v>0</v>
      </c>
      <c r="M21" s="534">
        <f t="shared" si="0"/>
        <v>0</v>
      </c>
      <c r="N21" s="493"/>
      <c r="O21" s="493"/>
    </row>
    <row r="22" spans="1:15">
      <c r="A22" s="5" t="s">
        <v>136</v>
      </c>
      <c r="B22" s="636" t="s">
        <v>367</v>
      </c>
      <c r="C22" s="637"/>
      <c r="D22" s="638"/>
      <c r="E22"/>
      <c r="F22" s="536"/>
      <c r="G22" s="494">
        <f>SUM('#1-Meritus:#5034-Mt. Washington Pediatric'!F34)</f>
        <v>0</v>
      </c>
      <c r="H22" s="494">
        <f>SUM('#1-Meritus:#5034-Mt. Washington Pediatric'!G34)</f>
        <v>0</v>
      </c>
      <c r="I22" s="534">
        <f>SUM('#1-Meritus:#5034-Mt. Washington Pediatric'!H34)</f>
        <v>0</v>
      </c>
      <c r="J22" s="534">
        <f>SUM('#1-Meritus:#5034-Mt. Washington Pediatric'!I34)</f>
        <v>0</v>
      </c>
      <c r="K22" s="534">
        <f>SUM('#1-Meritus:#5034-Mt. Washington Pediatric'!J34)</f>
        <v>0</v>
      </c>
      <c r="L22" s="534">
        <f>SUM('#1-Meritus:#5034-Mt. Washington Pediatric'!K34)</f>
        <v>0</v>
      </c>
      <c r="M22" s="534">
        <f t="shared" si="0"/>
        <v>0</v>
      </c>
      <c r="N22" s="493"/>
      <c r="O22" s="493"/>
    </row>
    <row r="23" spans="1:15">
      <c r="D23" s="492"/>
      <c r="E23" s="492"/>
      <c r="F23" s="492"/>
      <c r="G23" s="499"/>
      <c r="H23" s="499"/>
      <c r="I23" s="499"/>
      <c r="J23" s="499"/>
      <c r="K23" s="499"/>
      <c r="L23" s="499"/>
      <c r="M23" s="500"/>
      <c r="N23" s="493"/>
      <c r="O23" s="493"/>
    </row>
    <row r="24" spans="1:15">
      <c r="A24" s="486" t="s">
        <v>137</v>
      </c>
      <c r="B24" s="492" t="s">
        <v>138</v>
      </c>
      <c r="G24" s="494">
        <f>SUM(G9:G22)</f>
        <v>1012489.6263239929</v>
      </c>
      <c r="H24" s="494">
        <f t="shared" ref="H24:L24" si="1">SUM(H9:H22)</f>
        <v>13494384.014800301</v>
      </c>
      <c r="I24" s="534">
        <f t="shared" si="1"/>
        <v>69719973.926062584</v>
      </c>
      <c r="J24" s="534">
        <f t="shared" si="1"/>
        <v>30910897.654251035</v>
      </c>
      <c r="K24" s="534">
        <f t="shared" si="1"/>
        <v>14343752.064500002</v>
      </c>
      <c r="L24" s="534">
        <f t="shared" si="1"/>
        <v>86287119.515813619</v>
      </c>
      <c r="M24" s="534">
        <f>L24-J24</f>
        <v>55376221.86156258</v>
      </c>
      <c r="N24" s="493"/>
      <c r="O24" s="493"/>
    </row>
    <row r="25" spans="1:15">
      <c r="A25" s="486"/>
      <c r="B25" s="492"/>
      <c r="G25" s="502"/>
      <c r="H25" s="502"/>
      <c r="I25" s="502"/>
      <c r="J25" s="502"/>
      <c r="K25" s="502"/>
      <c r="L25" s="502"/>
      <c r="M25" s="502"/>
      <c r="N25" s="493"/>
      <c r="O25" s="493"/>
    </row>
    <row r="26" spans="1:15">
      <c r="A26" s="486"/>
      <c r="B26" s="492"/>
      <c r="G26" s="493"/>
      <c r="H26" s="493"/>
      <c r="I26" s="493"/>
      <c r="J26" s="493"/>
      <c r="K26" s="504"/>
      <c r="L26" s="504"/>
      <c r="M26" s="505"/>
      <c r="N26" s="493"/>
      <c r="O26" s="493"/>
    </row>
    <row r="27" spans="1:15" ht="42.75" customHeight="1">
      <c r="A27" s="487"/>
      <c r="B27" s="487"/>
      <c r="G27" s="489" t="s">
        <v>9</v>
      </c>
      <c r="H27" s="489" t="s">
        <v>37</v>
      </c>
      <c r="I27" s="489" t="s">
        <v>915</v>
      </c>
      <c r="J27" s="489" t="s">
        <v>916</v>
      </c>
      <c r="K27" s="490" t="s">
        <v>281</v>
      </c>
      <c r="L27" s="495" t="s">
        <v>913</v>
      </c>
      <c r="M27" s="489" t="s">
        <v>914</v>
      </c>
      <c r="N27" s="493"/>
      <c r="O27" s="493"/>
    </row>
    <row r="28" spans="1:15">
      <c r="A28" s="486" t="s">
        <v>917</v>
      </c>
      <c r="B28" s="486"/>
      <c r="C28" s="492" t="s">
        <v>49</v>
      </c>
      <c r="K28" s="496"/>
      <c r="L28" s="497"/>
      <c r="N28" s="493"/>
      <c r="O28" s="493"/>
    </row>
    <row r="29" spans="1:15">
      <c r="A29" s="498" t="s">
        <v>421</v>
      </c>
      <c r="B29" s="498"/>
      <c r="C29" s="492" t="s">
        <v>31</v>
      </c>
      <c r="D29" s="492"/>
      <c r="E29" s="492"/>
      <c r="F29" s="492"/>
      <c r="G29" s="494">
        <f>SUM('#1-Meritus:#5034-Mt. Washington Pediatric'!F40)</f>
        <v>5597735.8821633812</v>
      </c>
      <c r="H29" s="494">
        <f>SUM('#1-Meritus:#5034-Mt. Washington Pediatric'!G40)</f>
        <v>32558.125</v>
      </c>
      <c r="I29" s="534">
        <f>SUM('#1-Meritus:#5034-Mt. Washington Pediatric'!H40)</f>
        <v>292186105.21314716</v>
      </c>
      <c r="J29" s="534">
        <f>SUM('#1-Meritus:#5034-Mt. Washington Pediatric'!I40)</f>
        <v>70211837.01662387</v>
      </c>
      <c r="K29" s="534">
        <f>SUM('#1-Meritus:#5034-Mt. Washington Pediatric'!J40)</f>
        <v>0</v>
      </c>
      <c r="L29" s="534">
        <f>SUM('#1-Meritus:#5034-Mt. Washington Pediatric'!K40)</f>
        <v>362397942.22977114</v>
      </c>
      <c r="M29" s="534">
        <f>L29-J29</f>
        <v>292186105.21314728</v>
      </c>
      <c r="N29" s="493"/>
      <c r="O29" s="493"/>
    </row>
    <row r="30" spans="1:15">
      <c r="A30" s="498" t="s">
        <v>422</v>
      </c>
      <c r="B30" s="498"/>
      <c r="C30" s="506" t="s">
        <v>50</v>
      </c>
      <c r="G30" s="494">
        <f>SUM('#1-Meritus:#5034-Mt. Washington Pediatric'!F41)</f>
        <v>552128.76813929668</v>
      </c>
      <c r="H30" s="494">
        <f>SUM('#1-Meritus:#5034-Mt. Washington Pediatric'!G41)</f>
        <v>99057.825180113025</v>
      </c>
      <c r="I30" s="534">
        <f>SUM('#1-Meritus:#5034-Mt. Washington Pediatric'!H41)</f>
        <v>25911055.988250408</v>
      </c>
      <c r="J30" s="534">
        <f>SUM('#1-Meritus:#5034-Mt. Washington Pediatric'!I41)</f>
        <v>6226543.3567987112</v>
      </c>
      <c r="K30" s="534">
        <f>SUM('#1-Meritus:#5034-Mt. Washington Pediatric'!J41)</f>
        <v>311515</v>
      </c>
      <c r="L30" s="534">
        <f>SUM('#1-Meritus:#5034-Mt. Washington Pediatric'!K41)</f>
        <v>31826084.345049113</v>
      </c>
      <c r="M30" s="534">
        <f t="shared" ref="M30:M38" si="2">L30-J30</f>
        <v>25599540.988250401</v>
      </c>
      <c r="N30" s="493"/>
      <c r="O30" s="493"/>
    </row>
    <row r="31" spans="1:15">
      <c r="A31" s="498" t="s">
        <v>423</v>
      </c>
      <c r="B31" s="498"/>
      <c r="C31" s="483" t="s">
        <v>11</v>
      </c>
      <c r="D31" s="507"/>
      <c r="E31" s="507"/>
      <c r="F31" s="507"/>
      <c r="G31" s="494">
        <f>SUM('#1-Meritus:#5034-Mt. Washington Pediatric'!F42)</f>
        <v>337606.02664016961</v>
      </c>
      <c r="H31" s="494">
        <f>SUM('#1-Meritus:#5034-Mt. Washington Pediatric'!G42)</f>
        <v>63912.642266523784</v>
      </c>
      <c r="I31" s="534">
        <f>SUM('#1-Meritus:#5034-Mt. Washington Pediatric'!H42)</f>
        <v>16015672.143406361</v>
      </c>
      <c r="J31" s="534">
        <f>SUM('#1-Meritus:#5034-Mt. Washington Pediatric'!I42)</f>
        <v>3990109.0740908906</v>
      </c>
      <c r="K31" s="534">
        <f>SUM('#1-Meritus:#5034-Mt. Washington Pediatric'!J42)</f>
        <v>343295.37750000006</v>
      </c>
      <c r="L31" s="534">
        <f>SUM('#1-Meritus:#5034-Mt. Washington Pediatric'!K42)</f>
        <v>19662485.839997254</v>
      </c>
      <c r="M31" s="534">
        <f t="shared" si="2"/>
        <v>15672376.765906364</v>
      </c>
      <c r="N31" s="493"/>
      <c r="O31" s="493"/>
    </row>
    <row r="32" spans="1:15">
      <c r="A32" s="498" t="s">
        <v>424</v>
      </c>
      <c r="B32" s="498"/>
      <c r="C32" s="483" t="s">
        <v>10</v>
      </c>
      <c r="G32" s="494">
        <f>SUM('#1-Meritus:#5034-Mt. Washington Pediatric'!F43)</f>
        <v>11110</v>
      </c>
      <c r="H32" s="494">
        <f>SUM('#1-Meritus:#5034-Mt. Washington Pediatric'!G43)</f>
        <v>947</v>
      </c>
      <c r="I32" s="534">
        <f>SUM('#1-Meritus:#5034-Mt. Washington Pediatric'!H43)</f>
        <v>2700403.2829483137</v>
      </c>
      <c r="J32" s="534">
        <f>SUM('#1-Meritus:#5034-Mt. Washington Pediatric'!I43)</f>
        <v>61103</v>
      </c>
      <c r="K32" s="534">
        <f>SUM('#1-Meritus:#5034-Mt. Washington Pediatric'!J43)</f>
        <v>0</v>
      </c>
      <c r="L32" s="534">
        <f>SUM('#1-Meritus:#5034-Mt. Washington Pediatric'!K43)</f>
        <v>2761506.2829483137</v>
      </c>
      <c r="M32" s="534">
        <f t="shared" si="2"/>
        <v>2700403.2829483137</v>
      </c>
      <c r="N32" s="493"/>
      <c r="O32" s="493"/>
    </row>
    <row r="33" spans="1:15">
      <c r="A33" s="5" t="s">
        <v>91</v>
      </c>
      <c r="B33" s="498"/>
      <c r="C33" s="636" t="s">
        <v>367</v>
      </c>
      <c r="D33" s="637"/>
      <c r="E33" s="638"/>
      <c r="F33"/>
      <c r="G33" s="494">
        <f>SUM('#1-Meritus:#5034-Mt. Washington Pediatric'!F44)</f>
        <v>90290.5</v>
      </c>
      <c r="H33" s="494">
        <f>SUM('#1-Meritus:#5034-Mt. Washington Pediatric'!G44)</f>
        <v>25219</v>
      </c>
      <c r="I33" s="534">
        <f>SUM('#1-Meritus:#5034-Mt. Washington Pediatric'!H44)</f>
        <v>3193462.9941081419</v>
      </c>
      <c r="J33" s="534">
        <f>SUM('#1-Meritus:#5034-Mt. Washington Pediatric'!I44)</f>
        <v>324381.26326304156</v>
      </c>
      <c r="K33" s="534">
        <f>SUM('#1-Meritus:#5034-Mt. Washington Pediatric'!J44)</f>
        <v>11938</v>
      </c>
      <c r="L33" s="534">
        <f>SUM('#1-Meritus:#5034-Mt. Washington Pediatric'!K44)</f>
        <v>3505906.2573711835</v>
      </c>
      <c r="M33" s="534">
        <f t="shared" si="2"/>
        <v>3181524.9941081419</v>
      </c>
      <c r="N33" s="493"/>
      <c r="O33" s="493"/>
    </row>
    <row r="34" spans="1:15">
      <c r="A34" s="5" t="s">
        <v>139</v>
      </c>
      <c r="C34" s="636" t="s">
        <v>367</v>
      </c>
      <c r="D34" s="637"/>
      <c r="E34" s="638"/>
      <c r="F34"/>
      <c r="G34" s="494">
        <f>SUM('#1-Meritus:#5034-Mt. Washington Pediatric'!F45)</f>
        <v>1089</v>
      </c>
      <c r="H34" s="494">
        <f>SUM('#1-Meritus:#5034-Mt. Washington Pediatric'!G45)</f>
        <v>483</v>
      </c>
      <c r="I34" s="534">
        <f>SUM('#1-Meritus:#5034-Mt. Washington Pediatric'!H45)</f>
        <v>1835855</v>
      </c>
      <c r="J34" s="534">
        <f>SUM('#1-Meritus:#5034-Mt. Washington Pediatric'!I45)</f>
        <v>242031.6</v>
      </c>
      <c r="K34" s="534">
        <f>SUM('#1-Meritus:#5034-Mt. Washington Pediatric'!J45)</f>
        <v>2029982</v>
      </c>
      <c r="L34" s="534">
        <f>SUM('#1-Meritus:#5034-Mt. Washington Pediatric'!K45)</f>
        <v>47904.6</v>
      </c>
      <c r="M34" s="534">
        <f t="shared" si="2"/>
        <v>-194127</v>
      </c>
      <c r="N34" s="493"/>
      <c r="O34" s="493"/>
    </row>
    <row r="35" spans="1:15">
      <c r="A35" s="5" t="s">
        <v>140</v>
      </c>
      <c r="C35" s="636" t="s">
        <v>367</v>
      </c>
      <c r="D35" s="637"/>
      <c r="E35" s="638"/>
      <c r="F35"/>
      <c r="G35" s="494">
        <f>SUM('#1-Meritus:#5034-Mt. Washington Pediatric'!F46)</f>
        <v>2384</v>
      </c>
      <c r="H35" s="494">
        <f>SUM('#1-Meritus:#5034-Mt. Washington Pediatric'!G46)</f>
        <v>3016</v>
      </c>
      <c r="I35" s="534">
        <f>SUM('#1-Meritus:#5034-Mt. Washington Pediatric'!H46)</f>
        <v>158636.95000000001</v>
      </c>
      <c r="J35" s="534">
        <f>SUM('#1-Meritus:#5034-Mt. Washington Pediatric'!I46)</f>
        <v>43289</v>
      </c>
      <c r="K35" s="534">
        <f>SUM('#1-Meritus:#5034-Mt. Washington Pediatric'!J46)</f>
        <v>96984</v>
      </c>
      <c r="L35" s="534">
        <f>SUM('#1-Meritus:#5034-Mt. Washington Pediatric'!K46)</f>
        <v>104941.95</v>
      </c>
      <c r="M35" s="534">
        <f t="shared" si="2"/>
        <v>61652.95</v>
      </c>
      <c r="N35" s="493"/>
      <c r="O35" s="493"/>
    </row>
    <row r="36" spans="1:15">
      <c r="A36" s="5" t="s">
        <v>141</v>
      </c>
      <c r="C36" s="636" t="s">
        <v>367</v>
      </c>
      <c r="D36" s="637"/>
      <c r="E36" s="638"/>
      <c r="F36"/>
      <c r="G36" s="494">
        <f>SUM('#1-Meritus:#5034-Mt. Washington Pediatric'!F47)</f>
        <v>2640</v>
      </c>
      <c r="H36" s="494">
        <f>SUM('#1-Meritus:#5034-Mt. Washington Pediatric'!G47)</f>
        <v>66</v>
      </c>
      <c r="I36" s="534">
        <f>SUM('#1-Meritus:#5034-Mt. Washington Pediatric'!H47)</f>
        <v>111068.66</v>
      </c>
      <c r="J36" s="534">
        <f>SUM('#1-Meritus:#5034-Mt. Washington Pediatric'!I47)</f>
        <v>68240.94</v>
      </c>
      <c r="K36" s="534">
        <f>SUM('#1-Meritus:#5034-Mt. Washington Pediatric'!J47)</f>
        <v>0</v>
      </c>
      <c r="L36" s="534">
        <f>SUM('#1-Meritus:#5034-Mt. Washington Pediatric'!K47)</f>
        <v>179309.6</v>
      </c>
      <c r="M36" s="534">
        <f t="shared" si="2"/>
        <v>111068.66</v>
      </c>
      <c r="N36" s="493"/>
      <c r="O36" s="493"/>
    </row>
    <row r="37" spans="1:15">
      <c r="A37" s="545"/>
      <c r="C37" s="546"/>
      <c r="D37" s="546"/>
      <c r="E37" s="546"/>
      <c r="F37" s="547"/>
      <c r="G37" s="544"/>
      <c r="H37" s="544"/>
      <c r="I37" s="548"/>
      <c r="J37" s="548"/>
      <c r="K37" s="548"/>
      <c r="L37" s="548"/>
      <c r="M37" s="548"/>
      <c r="N37" s="493"/>
      <c r="O37" s="493"/>
    </row>
    <row r="38" spans="1:15">
      <c r="A38" s="487" t="s">
        <v>142</v>
      </c>
      <c r="B38" s="487"/>
      <c r="C38" s="492" t="s">
        <v>295</v>
      </c>
      <c r="G38" s="494">
        <f>SUM(G29:G36)</f>
        <v>6594984.1769428477</v>
      </c>
      <c r="H38" s="494">
        <f t="shared" ref="H38:L38" si="3">SUM(H29:H36)</f>
        <v>225259.59244663682</v>
      </c>
      <c r="I38" s="534">
        <f t="shared" si="3"/>
        <v>342112260.2318604</v>
      </c>
      <c r="J38" s="534">
        <f t="shared" si="3"/>
        <v>81167535.2507765</v>
      </c>
      <c r="K38" s="534">
        <f t="shared" si="3"/>
        <v>2793714.3774999999</v>
      </c>
      <c r="L38" s="534">
        <f t="shared" si="3"/>
        <v>420486081.10513705</v>
      </c>
      <c r="M38" s="534">
        <f t="shared" si="2"/>
        <v>339318545.85436058</v>
      </c>
      <c r="N38" s="493"/>
      <c r="O38" s="493"/>
    </row>
    <row r="39" spans="1:15">
      <c r="A39" s="487"/>
      <c r="B39" s="487"/>
      <c r="G39" s="493"/>
      <c r="H39" s="493"/>
      <c r="I39" s="493"/>
      <c r="J39" s="493"/>
      <c r="K39" s="493"/>
      <c r="L39" s="493"/>
      <c r="M39" s="493"/>
      <c r="N39" s="493"/>
      <c r="O39" s="493"/>
    </row>
    <row r="40" spans="1:15">
      <c r="A40" s="487"/>
      <c r="B40" s="487"/>
      <c r="G40" s="493"/>
      <c r="H40" s="493"/>
      <c r="I40" s="493"/>
      <c r="J40" s="493"/>
      <c r="K40" s="493"/>
      <c r="L40" s="493"/>
      <c r="M40" s="493"/>
      <c r="N40" s="493"/>
      <c r="O40" s="493"/>
    </row>
    <row r="41" spans="1:15" ht="38.25">
      <c r="A41" s="487"/>
      <c r="B41" s="487"/>
      <c r="G41" s="489" t="s">
        <v>9</v>
      </c>
      <c r="H41" s="489" t="s">
        <v>37</v>
      </c>
      <c r="I41" s="489" t="s">
        <v>915</v>
      </c>
      <c r="J41" s="489" t="s">
        <v>916</v>
      </c>
      <c r="K41" s="490" t="s">
        <v>281</v>
      </c>
      <c r="L41" s="495" t="s">
        <v>913</v>
      </c>
      <c r="M41" s="489" t="s">
        <v>914</v>
      </c>
      <c r="N41" s="493"/>
      <c r="O41" s="493"/>
    </row>
    <row r="42" spans="1:15">
      <c r="A42" s="486" t="s">
        <v>918</v>
      </c>
      <c r="B42" s="487"/>
      <c r="C42" s="508" t="s">
        <v>919</v>
      </c>
      <c r="K42" s="496"/>
      <c r="L42" s="497"/>
      <c r="N42" s="493"/>
      <c r="O42" s="493"/>
    </row>
    <row r="43" spans="1:15">
      <c r="B43" s="486"/>
      <c r="C43" s="492" t="s">
        <v>295</v>
      </c>
      <c r="D43" s="508"/>
      <c r="E43" s="508"/>
      <c r="F43" s="508"/>
      <c r="G43" s="494">
        <f>SUM('#1-Meritus:#5034-Mt. Washington Pediatric'!F64)</f>
        <v>2553468.9455105043</v>
      </c>
      <c r="H43" s="494">
        <f>SUM('#1-Meritus:#5034-Mt. Washington Pediatric'!G64)</f>
        <v>858131.38685491262</v>
      </c>
      <c r="I43" s="534">
        <f>SUM('#1-Meritus:#5034-Mt. Washington Pediatric'!H64)</f>
        <v>465107383.2134912</v>
      </c>
      <c r="J43" s="534">
        <f>SUM('#1-Meritus:#5034-Mt. Washington Pediatric'!I64)</f>
        <v>105386288.91938561</v>
      </c>
      <c r="K43" s="534">
        <f>SUM('#1-Meritus:#5034-Mt. Washington Pediatric'!J64)</f>
        <v>176879576.17943934</v>
      </c>
      <c r="L43" s="534">
        <f>SUM('#1-Meritus:#5034-Mt. Washington Pediatric'!K64)</f>
        <v>393614095.95343739</v>
      </c>
      <c r="M43" s="534">
        <f>L43-J43</f>
        <v>288227807.03405178</v>
      </c>
      <c r="N43" s="493"/>
      <c r="O43" s="493"/>
    </row>
    <row r="44" spans="1:15">
      <c r="A44" s="498"/>
      <c r="B44" s="498"/>
      <c r="G44" s="509"/>
      <c r="H44" s="509"/>
      <c r="I44" s="509"/>
      <c r="J44" s="509"/>
      <c r="K44" s="509"/>
      <c r="L44" s="509"/>
      <c r="M44" s="510"/>
      <c r="N44" s="493"/>
      <c r="O44" s="493"/>
    </row>
    <row r="45" spans="1:15">
      <c r="A45" s="498"/>
      <c r="B45" s="498"/>
      <c r="K45" s="496"/>
      <c r="L45" s="497"/>
      <c r="M45" s="493"/>
      <c r="N45" s="493"/>
      <c r="O45" s="493"/>
    </row>
    <row r="46" spans="1:15" ht="45.75" customHeight="1">
      <c r="A46" s="486" t="s">
        <v>920</v>
      </c>
      <c r="B46" s="487"/>
      <c r="C46" s="492" t="s">
        <v>12</v>
      </c>
      <c r="G46" s="489" t="s">
        <v>9</v>
      </c>
      <c r="H46" s="489" t="s">
        <v>37</v>
      </c>
      <c r="I46" s="489" t="s">
        <v>915</v>
      </c>
      <c r="J46" s="489" t="s">
        <v>916</v>
      </c>
      <c r="K46" s="490" t="s">
        <v>281</v>
      </c>
      <c r="L46" s="495" t="s">
        <v>913</v>
      </c>
      <c r="M46" s="489" t="s">
        <v>914</v>
      </c>
      <c r="N46" s="493"/>
      <c r="O46" s="493"/>
    </row>
    <row r="47" spans="1:15">
      <c r="A47" s="498" t="s">
        <v>429</v>
      </c>
      <c r="B47" s="487"/>
      <c r="C47" s="492" t="s">
        <v>52</v>
      </c>
      <c r="G47" s="494">
        <f>SUM('#1-Meritus:#5034-Mt. Washington Pediatric'!F68)</f>
        <v>85220.13150094189</v>
      </c>
      <c r="H47" s="494">
        <f>SUM('#1-Meritus:#5034-Mt. Washington Pediatric'!G68)</f>
        <v>4423</v>
      </c>
      <c r="I47" s="534">
        <f>SUM('#1-Meritus:#5034-Mt. Washington Pediatric'!H68)</f>
        <v>10853504.64000003</v>
      </c>
      <c r="J47" s="534">
        <f>SUM('#1-Meritus:#5034-Mt. Washington Pediatric'!I68)</f>
        <v>2741850.3423000118</v>
      </c>
      <c r="K47" s="534">
        <f>SUM('#1-Meritus:#5034-Mt. Washington Pediatric'!J68)</f>
        <v>6694352.6899999995</v>
      </c>
      <c r="L47" s="534">
        <f>SUM('#1-Meritus:#5034-Mt. Washington Pediatric'!K68)</f>
        <v>6901002.2923000436</v>
      </c>
      <c r="M47" s="534">
        <f>L47-J47</f>
        <v>4159151.9500000319</v>
      </c>
      <c r="N47" s="493"/>
      <c r="O47" s="493"/>
    </row>
    <row r="48" spans="1:15">
      <c r="A48" s="498" t="s">
        <v>430</v>
      </c>
      <c r="B48" s="486"/>
      <c r="C48" s="492" t="s">
        <v>53</v>
      </c>
      <c r="G48" s="494">
        <f>SUM('#1-Meritus:#5034-Mt. Washington Pediatric'!F69)</f>
        <v>8081.7</v>
      </c>
      <c r="H48" s="494">
        <f>SUM('#1-Meritus:#5034-Mt. Washington Pediatric'!G69)</f>
        <v>17</v>
      </c>
      <c r="I48" s="534">
        <f>SUM('#1-Meritus:#5034-Mt. Washington Pediatric'!H69)</f>
        <v>644355.77999999991</v>
      </c>
      <c r="J48" s="534">
        <f>SUM('#1-Meritus:#5034-Mt. Washington Pediatric'!I69)</f>
        <v>301510.484</v>
      </c>
      <c r="K48" s="534">
        <f>SUM('#1-Meritus:#5034-Mt. Washington Pediatric'!J69)</f>
        <v>14000</v>
      </c>
      <c r="L48" s="534">
        <f>SUM('#1-Meritus:#5034-Mt. Washington Pediatric'!K69)</f>
        <v>931866.26399999985</v>
      </c>
      <c r="M48" s="534">
        <f t="shared" ref="M48:M49" si="4">L48-J48</f>
        <v>630355.7799999998</v>
      </c>
      <c r="N48" s="493"/>
      <c r="O48" s="493"/>
    </row>
    <row r="49" spans="1:15">
      <c r="A49" s="498" t="s">
        <v>653</v>
      </c>
      <c r="B49" s="498"/>
      <c r="C49" s="492" t="s">
        <v>367</v>
      </c>
      <c r="D49" s="492"/>
      <c r="E49" s="492"/>
      <c r="F49" s="492"/>
      <c r="G49" s="494">
        <f>SUM('#1-Meritus:#5034-Mt. Washington Pediatric'!F70)</f>
        <v>35402.49202975558</v>
      </c>
      <c r="H49" s="494">
        <f>SUM('#1-Meritus:#5034-Mt. Washington Pediatric'!G70)</f>
        <v>0</v>
      </c>
      <c r="I49" s="534">
        <f>SUM('#1-Meritus:#5034-Mt. Washington Pediatric'!H70)</f>
        <v>1754352.119821935</v>
      </c>
      <c r="J49" s="534">
        <f>SUM('#1-Meritus:#5034-Mt. Washington Pediatric'!I70)</f>
        <v>411611.86117790476</v>
      </c>
      <c r="K49" s="534">
        <f>SUM('#1-Meritus:#5034-Mt. Washington Pediatric'!J70)</f>
        <v>0</v>
      </c>
      <c r="L49" s="534">
        <f>SUM('#1-Meritus:#5034-Mt. Washington Pediatric'!K70)</f>
        <v>2165963.9809998395</v>
      </c>
      <c r="M49" s="534">
        <f t="shared" si="4"/>
        <v>1754352.1198219347</v>
      </c>
      <c r="N49" s="493"/>
      <c r="O49" s="493"/>
    </row>
    <row r="50" spans="1:15">
      <c r="D50" s="492"/>
      <c r="E50" s="492"/>
      <c r="F50" s="492"/>
      <c r="G50" s="499"/>
      <c r="H50" s="499"/>
      <c r="I50" s="499"/>
      <c r="J50" s="499"/>
      <c r="K50" s="499"/>
      <c r="L50" s="499"/>
      <c r="M50" s="500"/>
      <c r="N50" s="493"/>
      <c r="O50" s="493"/>
    </row>
    <row r="51" spans="1:15">
      <c r="A51" s="498" t="s">
        <v>146</v>
      </c>
      <c r="B51" s="498"/>
      <c r="C51" s="492" t="s">
        <v>295</v>
      </c>
      <c r="G51" s="511">
        <f>SUM(G47:G49)</f>
        <v>128704.32353069747</v>
      </c>
      <c r="H51" s="511">
        <f t="shared" ref="H51:M51" si="5">SUM(H47:H49)</f>
        <v>4440</v>
      </c>
      <c r="I51" s="542">
        <f t="shared" si="5"/>
        <v>13252212.539821964</v>
      </c>
      <c r="J51" s="542">
        <f t="shared" si="5"/>
        <v>3454972.6874779165</v>
      </c>
      <c r="K51" s="542">
        <f t="shared" si="5"/>
        <v>6708352.6899999995</v>
      </c>
      <c r="L51" s="542">
        <f t="shared" si="5"/>
        <v>9998832.5372998826</v>
      </c>
      <c r="M51" s="542">
        <f t="shared" si="5"/>
        <v>6543859.8498219671</v>
      </c>
      <c r="N51" s="493"/>
      <c r="O51" s="493"/>
    </row>
    <row r="52" spans="1:15">
      <c r="A52" s="498"/>
      <c r="B52" s="498"/>
      <c r="G52" s="512"/>
      <c r="H52" s="512"/>
      <c r="I52" s="512"/>
      <c r="J52" s="512"/>
      <c r="K52" s="512"/>
      <c r="L52" s="512"/>
      <c r="M52" s="505"/>
      <c r="N52" s="493"/>
      <c r="O52" s="493"/>
    </row>
    <row r="53" spans="1:15" ht="46.5" customHeight="1">
      <c r="A53" s="487" t="s">
        <v>921</v>
      </c>
      <c r="B53" s="487"/>
      <c r="C53" s="513" t="s">
        <v>68</v>
      </c>
      <c r="G53" s="489" t="s">
        <v>9</v>
      </c>
      <c r="H53" s="489" t="s">
        <v>37</v>
      </c>
      <c r="I53" s="514" t="s">
        <v>915</v>
      </c>
      <c r="J53" s="514" t="s">
        <v>916</v>
      </c>
      <c r="K53" s="490" t="s">
        <v>281</v>
      </c>
      <c r="L53" s="495" t="s">
        <v>913</v>
      </c>
      <c r="M53" s="489" t="s">
        <v>914</v>
      </c>
      <c r="N53" s="493"/>
      <c r="O53" s="493"/>
    </row>
    <row r="54" spans="1:15" ht="15.75">
      <c r="A54" s="487"/>
      <c r="B54" s="487"/>
      <c r="C54" s="513"/>
      <c r="K54" s="496"/>
      <c r="L54" s="497"/>
      <c r="N54" s="493"/>
      <c r="O54" s="493"/>
    </row>
    <row r="55" spans="1:15">
      <c r="A55" s="498" t="s">
        <v>432</v>
      </c>
      <c r="B55" s="487"/>
      <c r="C55" s="486" t="s">
        <v>54</v>
      </c>
      <c r="G55" s="494">
        <f>SUM('#1-Meritus:#5034-Mt. Washington Pediatric'!F77)</f>
        <v>1558.0475886990541</v>
      </c>
      <c r="H55" s="494">
        <f>SUM('#1-Meritus:#5034-Mt. Washington Pediatric'!G77)</f>
        <v>30176.009906216514</v>
      </c>
      <c r="I55" s="534">
        <f>SUM('#1-Meritus:#5034-Mt. Washington Pediatric'!H77)</f>
        <v>9789828.3973925766</v>
      </c>
      <c r="J55" s="534">
        <f>SUM('#1-Meritus:#5034-Mt. Washington Pediatric'!I77)</f>
        <v>31010.820256346069</v>
      </c>
      <c r="K55" s="534">
        <f>SUM('#1-Meritus:#5034-Mt. Washington Pediatric'!J77)</f>
        <v>7996</v>
      </c>
      <c r="L55" s="534">
        <f>SUM('#1-Meritus:#5034-Mt. Washington Pediatric'!K77)</f>
        <v>9812843.2176489215</v>
      </c>
      <c r="M55" s="534">
        <f>L55-J55</f>
        <v>9781832.3973925747</v>
      </c>
      <c r="N55" s="493"/>
      <c r="O55" s="493"/>
    </row>
    <row r="56" spans="1:15">
      <c r="A56" s="498" t="s">
        <v>433</v>
      </c>
      <c r="B56" s="486"/>
      <c r="C56" s="486" t="s">
        <v>55</v>
      </c>
      <c r="G56" s="494">
        <f>SUM('#1-Meritus:#5034-Mt. Washington Pediatric'!F78)</f>
        <v>44.621853714003521</v>
      </c>
      <c r="H56" s="494">
        <f>SUM('#1-Meritus:#5034-Mt. Washington Pediatric'!G78)</f>
        <v>53</v>
      </c>
      <c r="I56" s="534">
        <f>SUM('#1-Meritus:#5034-Mt. Washington Pediatric'!H78)</f>
        <v>580060.0000000943</v>
      </c>
      <c r="J56" s="534">
        <f>SUM('#1-Meritus:#5034-Mt. Washington Pediatric'!I78)</f>
        <v>68105</v>
      </c>
      <c r="K56" s="534">
        <f>SUM('#1-Meritus:#5034-Mt. Washington Pediatric'!J78)</f>
        <v>259435</v>
      </c>
      <c r="L56" s="534">
        <f>SUM('#1-Meritus:#5034-Mt. Washington Pediatric'!K78)</f>
        <v>388730.0000000943</v>
      </c>
      <c r="M56" s="534">
        <f t="shared" ref="M56:M58" si="6">L56-J56</f>
        <v>320625.0000000943</v>
      </c>
      <c r="N56" s="493"/>
      <c r="O56" s="493"/>
    </row>
    <row r="57" spans="1:15">
      <c r="A57" s="498" t="s">
        <v>434</v>
      </c>
      <c r="B57" s="498"/>
      <c r="C57" s="486" t="s">
        <v>13</v>
      </c>
      <c r="G57" s="494">
        <f>SUM('#1-Meritus:#5034-Mt. Washington Pediatric'!F79)</f>
        <v>39573.837003188099</v>
      </c>
      <c r="H57" s="494">
        <f>SUM('#1-Meritus:#5034-Mt. Washington Pediatric'!G79)</f>
        <v>143639</v>
      </c>
      <c r="I57" s="534">
        <f>SUM('#1-Meritus:#5034-Mt. Washington Pediatric'!H79)</f>
        <v>5515496.4748682333</v>
      </c>
      <c r="J57" s="534">
        <f>SUM('#1-Meritus:#5034-Mt. Washington Pediatric'!I79)</f>
        <v>323565.59657451842</v>
      </c>
      <c r="K57" s="534">
        <f>SUM('#1-Meritus:#5034-Mt. Washington Pediatric'!J79)</f>
        <v>211206</v>
      </c>
      <c r="L57" s="534">
        <f>SUM('#1-Meritus:#5034-Mt. Washington Pediatric'!K79)</f>
        <v>5627856.0714427521</v>
      </c>
      <c r="M57" s="534">
        <f t="shared" si="6"/>
        <v>5304290.4748682333</v>
      </c>
      <c r="N57" s="493"/>
      <c r="O57" s="493"/>
    </row>
    <row r="58" spans="1:15">
      <c r="A58" s="498" t="s">
        <v>435</v>
      </c>
      <c r="B58" s="498"/>
      <c r="C58" s="486" t="s">
        <v>56</v>
      </c>
      <c r="G58" s="494">
        <f>SUM('#1-Meritus:#5034-Mt. Washington Pediatric'!F80)</f>
        <v>5371.5</v>
      </c>
      <c r="H58" s="494">
        <f>SUM('#1-Meritus:#5034-Mt. Washington Pediatric'!G80)</f>
        <v>5110</v>
      </c>
      <c r="I58" s="534">
        <f>SUM('#1-Meritus:#5034-Mt. Washington Pediatric'!H80)</f>
        <v>520722.90666666668</v>
      </c>
      <c r="J58" s="534">
        <f>SUM('#1-Meritus:#5034-Mt. Washington Pediatric'!I80)</f>
        <v>134491.19831498156</v>
      </c>
      <c r="K58" s="534">
        <f>SUM('#1-Meritus:#5034-Mt. Washington Pediatric'!J80)</f>
        <v>0</v>
      </c>
      <c r="L58" s="534">
        <f>SUM('#1-Meritus:#5034-Mt. Washington Pediatric'!K80)</f>
        <v>655214.10498164827</v>
      </c>
      <c r="M58" s="534">
        <f t="shared" si="6"/>
        <v>520722.90666666673</v>
      </c>
      <c r="N58" s="493"/>
      <c r="O58" s="493"/>
    </row>
    <row r="59" spans="1:15">
      <c r="A59" s="498"/>
      <c r="B59" s="498"/>
      <c r="C59" s="515"/>
      <c r="G59" s="516"/>
      <c r="H59" s="516"/>
      <c r="I59" s="516"/>
      <c r="J59" s="516"/>
      <c r="K59" s="516"/>
      <c r="L59" s="516"/>
      <c r="M59" s="500"/>
      <c r="N59" s="493"/>
      <c r="O59" s="493"/>
    </row>
    <row r="60" spans="1:15">
      <c r="A60" s="498" t="s">
        <v>148</v>
      </c>
      <c r="B60" s="498"/>
      <c r="C60" s="486" t="s">
        <v>295</v>
      </c>
      <c r="D60" s="515"/>
      <c r="E60" s="515"/>
      <c r="F60" s="515"/>
      <c r="G60" s="511">
        <f>SUM(G55:G59)</f>
        <v>46548.006445601153</v>
      </c>
      <c r="H60" s="511">
        <f t="shared" ref="H60:M60" si="7">SUM(H55:H59)</f>
        <v>178978.00990621652</v>
      </c>
      <c r="I60" s="542">
        <f t="shared" si="7"/>
        <v>16406107.778927572</v>
      </c>
      <c r="J60" s="542">
        <f t="shared" si="7"/>
        <v>557172.61514584604</v>
      </c>
      <c r="K60" s="542">
        <f t="shared" si="7"/>
        <v>478637</v>
      </c>
      <c r="L60" s="542">
        <f t="shared" si="7"/>
        <v>16484643.394073417</v>
      </c>
      <c r="M60" s="542">
        <f t="shared" si="7"/>
        <v>15927470.778927568</v>
      </c>
      <c r="N60" s="493"/>
      <c r="O60" s="493"/>
    </row>
    <row r="61" spans="1:15">
      <c r="A61" s="498"/>
      <c r="B61" s="498"/>
      <c r="C61" s="486"/>
      <c r="D61" s="515"/>
      <c r="E61" s="515"/>
      <c r="F61" s="515"/>
      <c r="G61" s="517"/>
      <c r="H61" s="517"/>
      <c r="I61" s="517"/>
      <c r="J61" s="517"/>
      <c r="K61" s="517"/>
      <c r="L61" s="517"/>
      <c r="M61" s="517"/>
      <c r="N61" s="493"/>
      <c r="O61" s="493"/>
    </row>
    <row r="62" spans="1:15">
      <c r="A62" s="498"/>
      <c r="G62" s="502"/>
      <c r="H62" s="502"/>
      <c r="I62" s="503"/>
      <c r="J62" s="503"/>
      <c r="K62" s="503"/>
      <c r="L62" s="503"/>
      <c r="M62" s="503"/>
      <c r="N62" s="493"/>
      <c r="O62" s="493"/>
    </row>
    <row r="63" spans="1:15">
      <c r="A63" s="498"/>
      <c r="B63" s="498"/>
      <c r="C63" s="486"/>
      <c r="K63" s="496"/>
      <c r="L63" s="497"/>
      <c r="N63" s="493"/>
      <c r="O63" s="493"/>
    </row>
    <row r="64" spans="1:15" ht="41.25" customHeight="1">
      <c r="A64" s="486" t="s">
        <v>922</v>
      </c>
      <c r="B64" s="498"/>
      <c r="C64" s="492" t="s">
        <v>57</v>
      </c>
      <c r="G64" s="489" t="s">
        <v>9</v>
      </c>
      <c r="H64" s="489" t="s">
        <v>37</v>
      </c>
      <c r="I64" s="489" t="s">
        <v>915</v>
      </c>
      <c r="J64" s="489" t="s">
        <v>916</v>
      </c>
      <c r="K64" s="490" t="s">
        <v>281</v>
      </c>
      <c r="L64" s="495" t="s">
        <v>913</v>
      </c>
      <c r="M64" s="489" t="s">
        <v>914</v>
      </c>
      <c r="N64" s="493"/>
      <c r="O64" s="493"/>
    </row>
    <row r="65" spans="1:15">
      <c r="K65" s="496"/>
      <c r="L65" s="497"/>
      <c r="N65" s="493"/>
      <c r="O65" s="493"/>
    </row>
    <row r="66" spans="1:15">
      <c r="A66" s="498" t="s">
        <v>438</v>
      </c>
      <c r="B66" s="487"/>
      <c r="C66" s="492" t="s">
        <v>923</v>
      </c>
      <c r="G66" s="518">
        <f>SUM('#1-Meritus:#5034-Mt. Washington Pediatric'!F86)</f>
        <v>7917</v>
      </c>
      <c r="H66" s="518">
        <f>SUM('#1-Meritus:#5034-Mt. Washington Pediatric'!G86)</f>
        <v>307927</v>
      </c>
      <c r="I66" s="541">
        <f>SUM('#1-Meritus:#5034-Mt. Washington Pediatric'!H86)</f>
        <v>3584406.6009212551</v>
      </c>
      <c r="J66" s="541">
        <f>SUM('#1-Meritus:#5034-Mt. Washington Pediatric'!I86)</f>
        <v>199301.84462907282</v>
      </c>
      <c r="K66" s="541">
        <f>SUM('#1-Meritus:#5034-Mt. Washington Pediatric'!J86)</f>
        <v>2690625</v>
      </c>
      <c r="L66" s="541">
        <f>SUM('#1-Meritus:#5034-Mt. Washington Pediatric'!K86)</f>
        <v>1093083.4455503279</v>
      </c>
      <c r="M66" s="534">
        <f>L66-J66</f>
        <v>893781.60092125507</v>
      </c>
      <c r="N66" s="493"/>
      <c r="O66" s="493"/>
    </row>
    <row r="67" spans="1:15">
      <c r="A67" s="498" t="s">
        <v>439</v>
      </c>
      <c r="B67" s="486"/>
      <c r="C67" s="492" t="s">
        <v>14</v>
      </c>
      <c r="D67" s="492"/>
      <c r="E67" s="492"/>
      <c r="F67" s="492"/>
      <c r="G67" s="518">
        <f>SUM('#1-Meritus:#5034-Mt. Washington Pediatric'!F87)</f>
        <v>2098.600240150703</v>
      </c>
      <c r="H67" s="518">
        <f>SUM('#1-Meritus:#5034-Mt. Washington Pediatric'!G87)</f>
        <v>4824.013208288683</v>
      </c>
      <c r="I67" s="541">
        <f>SUM('#1-Meritus:#5034-Mt. Washington Pediatric'!H87)</f>
        <v>690819.43069903553</v>
      </c>
      <c r="J67" s="541">
        <f>SUM('#1-Meritus:#5034-Mt. Washington Pediatric'!I87)</f>
        <v>411176.54618826444</v>
      </c>
      <c r="K67" s="541">
        <f>SUM('#1-Meritus:#5034-Mt. Washington Pediatric'!J87)</f>
        <v>361691</v>
      </c>
      <c r="L67" s="541">
        <f>SUM('#1-Meritus:#5034-Mt. Washington Pediatric'!K87)</f>
        <v>740304.97688729968</v>
      </c>
      <c r="M67" s="534">
        <f t="shared" ref="M67:M76" si="8">L67-J67</f>
        <v>329128.43069903523</v>
      </c>
      <c r="N67" s="493"/>
      <c r="O67" s="493"/>
    </row>
    <row r="68" spans="1:15">
      <c r="A68" s="498" t="s">
        <v>440</v>
      </c>
      <c r="B68" s="498"/>
      <c r="C68" s="492" t="s">
        <v>924</v>
      </c>
      <c r="D68" s="492"/>
      <c r="E68" s="492"/>
      <c r="F68" s="492"/>
      <c r="G68" s="518">
        <f>SUM('#1-Meritus:#5034-Mt. Washington Pediatric'!F88)</f>
        <v>66858.758615406477</v>
      </c>
      <c r="H68" s="518">
        <f>SUM('#1-Meritus:#5034-Mt. Washington Pediatric'!G88)</f>
        <v>23704.233501023115</v>
      </c>
      <c r="I68" s="541">
        <f>SUM('#1-Meritus:#5034-Mt. Washington Pediatric'!H88)</f>
        <v>3628700.8201502231</v>
      </c>
      <c r="J68" s="541">
        <f>SUM('#1-Meritus:#5034-Mt. Washington Pediatric'!I88)</f>
        <v>1787213.051294236</v>
      </c>
      <c r="K68" s="541">
        <f>SUM('#1-Meritus:#5034-Mt. Washington Pediatric'!J88)</f>
        <v>648463</v>
      </c>
      <c r="L68" s="541">
        <f>SUM('#1-Meritus:#5034-Mt. Washington Pediatric'!K88)</f>
        <v>4767450.8714444591</v>
      </c>
      <c r="M68" s="534">
        <f t="shared" si="8"/>
        <v>2980237.8201502231</v>
      </c>
      <c r="N68" s="493"/>
      <c r="O68" s="493"/>
    </row>
    <row r="69" spans="1:15">
      <c r="A69" s="498" t="s">
        <v>441</v>
      </c>
      <c r="B69" s="498"/>
      <c r="C69" s="492" t="s">
        <v>58</v>
      </c>
      <c r="D69" s="492"/>
      <c r="E69" s="492"/>
      <c r="F69" s="492"/>
      <c r="G69" s="518">
        <f>SUM('#1-Meritus:#5034-Mt. Washington Pediatric'!F89)</f>
        <v>6176.3500900565141</v>
      </c>
      <c r="H69" s="518">
        <f>SUM('#1-Meritus:#5034-Mt. Washington Pediatric'!G89)</f>
        <v>600.90066041443413</v>
      </c>
      <c r="I69" s="541">
        <f>SUM('#1-Meritus:#5034-Mt. Washington Pediatric'!H89)</f>
        <v>913922.35280001059</v>
      </c>
      <c r="J69" s="541">
        <f>SUM('#1-Meritus:#5034-Mt. Washington Pediatric'!I89)</f>
        <v>535969.25131419534</v>
      </c>
      <c r="K69" s="541">
        <f>SUM('#1-Meritus:#5034-Mt. Washington Pediatric'!J89)</f>
        <v>1500</v>
      </c>
      <c r="L69" s="541">
        <f>SUM('#1-Meritus:#5034-Mt. Washington Pediatric'!K89)</f>
        <v>1448391.604114206</v>
      </c>
      <c r="M69" s="534">
        <f t="shared" si="8"/>
        <v>912422.3528000107</v>
      </c>
      <c r="N69" s="493"/>
      <c r="O69" s="493"/>
    </row>
    <row r="70" spans="1:15">
      <c r="A70" s="498" t="s">
        <v>442</v>
      </c>
      <c r="B70" s="498"/>
      <c r="C70" s="491" t="s">
        <v>59</v>
      </c>
      <c r="D70" s="492"/>
      <c r="E70" s="492"/>
      <c r="F70" s="492"/>
      <c r="G70" s="518">
        <f>SUM('#1-Meritus:#5034-Mt. Washington Pediatric'!F90)</f>
        <v>5979.3521913751674</v>
      </c>
      <c r="H70" s="518">
        <f>SUM('#1-Meritus:#5034-Mt. Washington Pediatric'!G90)</f>
        <v>2868.1065441066658</v>
      </c>
      <c r="I70" s="541">
        <f>SUM('#1-Meritus:#5034-Mt. Washington Pediatric'!H90)</f>
        <v>234183.88000000897</v>
      </c>
      <c r="J70" s="541">
        <f>SUM('#1-Meritus:#5034-Mt. Washington Pediatric'!I90)</f>
        <v>139433.72224226891</v>
      </c>
      <c r="K70" s="541">
        <f>SUM('#1-Meritus:#5034-Mt. Washington Pediatric'!J90)</f>
        <v>0</v>
      </c>
      <c r="L70" s="541">
        <f>SUM('#1-Meritus:#5034-Mt. Washington Pediatric'!K90)</f>
        <v>373617.60224227788</v>
      </c>
      <c r="M70" s="534">
        <f t="shared" si="8"/>
        <v>234183.88000000897</v>
      </c>
      <c r="N70" s="493"/>
      <c r="O70" s="493"/>
    </row>
    <row r="71" spans="1:15">
      <c r="A71" s="498" t="s">
        <v>443</v>
      </c>
      <c r="B71" s="498"/>
      <c r="C71" s="492" t="s">
        <v>60</v>
      </c>
      <c r="D71" s="519"/>
      <c r="E71" s="519"/>
      <c r="F71" s="519"/>
      <c r="G71" s="518">
        <f>SUM('#1-Meritus:#5034-Mt. Washington Pediatric'!F91)</f>
        <v>18054.604883908381</v>
      </c>
      <c r="H71" s="518">
        <f>SUM('#1-Meritus:#5034-Mt. Washington Pediatric'!G91)</f>
        <v>16840.940931193119</v>
      </c>
      <c r="I71" s="541">
        <f>SUM('#1-Meritus:#5034-Mt. Washington Pediatric'!H91)</f>
        <v>1341048.3579254397</v>
      </c>
      <c r="J71" s="541">
        <f>SUM('#1-Meritus:#5034-Mt. Washington Pediatric'!I91)</f>
        <v>749248.68074554217</v>
      </c>
      <c r="K71" s="541">
        <f>SUM('#1-Meritus:#5034-Mt. Washington Pediatric'!J91)</f>
        <v>19065</v>
      </c>
      <c r="L71" s="541">
        <f>SUM('#1-Meritus:#5034-Mt. Washington Pediatric'!K91)</f>
        <v>2071232.0386709815</v>
      </c>
      <c r="M71" s="534">
        <f t="shared" si="8"/>
        <v>1321983.3579254393</v>
      </c>
      <c r="N71" s="493"/>
      <c r="O71" s="493"/>
    </row>
    <row r="72" spans="1:15">
      <c r="A72" s="498" t="s">
        <v>444</v>
      </c>
      <c r="B72" s="498"/>
      <c r="C72" s="492" t="s">
        <v>925</v>
      </c>
      <c r="D72" s="492"/>
      <c r="E72" s="492"/>
      <c r="F72" s="492"/>
      <c r="G72" s="518">
        <f>SUM('#1-Meritus:#5034-Mt. Washington Pediatric'!F92)</f>
        <v>11535.529228354493</v>
      </c>
      <c r="H72" s="518">
        <f>SUM('#1-Meritus:#5034-Mt. Washington Pediatric'!G92)</f>
        <v>4314.4000828056141</v>
      </c>
      <c r="I72" s="541">
        <f>SUM('#1-Meritus:#5034-Mt. Washington Pediatric'!H92)</f>
        <v>1352463.610304578</v>
      </c>
      <c r="J72" s="541">
        <f>SUM('#1-Meritus:#5034-Mt. Washington Pediatric'!I92)</f>
        <v>741594.34772606951</v>
      </c>
      <c r="K72" s="541">
        <f>SUM('#1-Meritus:#5034-Mt. Washington Pediatric'!J92)</f>
        <v>6356.42</v>
      </c>
      <c r="L72" s="541">
        <f>SUM('#1-Meritus:#5034-Mt. Washington Pediatric'!K92)</f>
        <v>2087701.538030647</v>
      </c>
      <c r="M72" s="534">
        <f t="shared" si="8"/>
        <v>1346107.1903045774</v>
      </c>
      <c r="N72" s="493"/>
      <c r="O72" s="493"/>
    </row>
    <row r="73" spans="1:15">
      <c r="A73" s="498" t="s">
        <v>445</v>
      </c>
      <c r="B73" s="498"/>
      <c r="C73" s="492" t="s">
        <v>926</v>
      </c>
      <c r="D73" s="492"/>
      <c r="E73" s="492"/>
      <c r="F73" s="492"/>
      <c r="G73" s="518">
        <f>SUM('#1-Meritus:#5034-Mt. Washington Pediatric'!F93)</f>
        <v>45936.425435273151</v>
      </c>
      <c r="H73" s="518">
        <f>SUM('#1-Meritus:#5034-Mt. Washington Pediatric'!G93)</f>
        <v>56556.203482185192</v>
      </c>
      <c r="I73" s="541">
        <f>SUM('#1-Meritus:#5034-Mt. Washington Pediatric'!H93)</f>
        <v>2490081.3941747346</v>
      </c>
      <c r="J73" s="541">
        <f>SUM('#1-Meritus:#5034-Mt. Washington Pediatric'!I93)</f>
        <v>1459469.0443284488</v>
      </c>
      <c r="K73" s="541">
        <f>SUM('#1-Meritus:#5034-Mt. Washington Pediatric'!J93)</f>
        <v>373262</v>
      </c>
      <c r="L73" s="541">
        <f>SUM('#1-Meritus:#5034-Mt. Washington Pediatric'!K93)</f>
        <v>3576288.4385031839</v>
      </c>
      <c r="M73" s="534">
        <f t="shared" si="8"/>
        <v>2116819.3941747351</v>
      </c>
      <c r="N73" s="493"/>
      <c r="O73" s="493"/>
    </row>
    <row r="74" spans="1:15">
      <c r="A74" s="498" t="s">
        <v>654</v>
      </c>
      <c r="B74" s="498"/>
      <c r="C74" s="492" t="s">
        <v>367</v>
      </c>
      <c r="D74" s="492"/>
      <c r="E74" s="492"/>
      <c r="F74" s="492"/>
      <c r="G74" s="518">
        <f>SUM('#1-Meritus:#5034-Mt. Washington Pediatric'!F94)</f>
        <v>11320</v>
      </c>
      <c r="H74" s="518">
        <f>SUM('#1-Meritus:#5034-Mt. Washington Pediatric'!G94)</f>
        <v>165763</v>
      </c>
      <c r="I74" s="541">
        <f>SUM('#1-Meritus:#5034-Mt. Washington Pediatric'!H94)</f>
        <v>876145.74800000002</v>
      </c>
      <c r="J74" s="541">
        <f>SUM('#1-Meritus:#5034-Mt. Washington Pediatric'!I94)</f>
        <v>417685.02707680012</v>
      </c>
      <c r="K74" s="541">
        <f>SUM('#1-Meritus:#5034-Mt. Washington Pediatric'!J94)</f>
        <v>4352</v>
      </c>
      <c r="L74" s="541">
        <f>SUM('#1-Meritus:#5034-Mt. Washington Pediatric'!K94)</f>
        <v>1289478.7750768</v>
      </c>
      <c r="M74" s="534">
        <f t="shared" si="8"/>
        <v>871793.74799999991</v>
      </c>
      <c r="N74" s="493"/>
      <c r="O74" s="493"/>
    </row>
    <row r="75" spans="1:15">
      <c r="A75" s="498" t="s">
        <v>112</v>
      </c>
      <c r="B75" s="498"/>
      <c r="C75" s="492" t="s">
        <v>367</v>
      </c>
      <c r="D75" s="492"/>
      <c r="E75" s="492"/>
      <c r="F75" s="492"/>
      <c r="G75" s="518">
        <f>SUM('#1-Meritus:#5034-Mt. Washington Pediatric'!F95)</f>
        <v>1200</v>
      </c>
      <c r="H75" s="518">
        <f>SUM('#1-Meritus:#5034-Mt. Washington Pediatric'!G95)</f>
        <v>48</v>
      </c>
      <c r="I75" s="541">
        <f>SUM('#1-Meritus:#5034-Mt. Washington Pediatric'!H95)</f>
        <v>54000</v>
      </c>
      <c r="J75" s="541">
        <f>SUM('#1-Meritus:#5034-Mt. Washington Pediatric'!I95)</f>
        <v>28798.2</v>
      </c>
      <c r="K75" s="541">
        <f>SUM('#1-Meritus:#5034-Mt. Washington Pediatric'!J95)</f>
        <v>0</v>
      </c>
      <c r="L75" s="541">
        <f>SUM('#1-Meritus:#5034-Mt. Washington Pediatric'!K95)</f>
        <v>82798.2</v>
      </c>
      <c r="M75" s="534">
        <f t="shared" si="8"/>
        <v>54000</v>
      </c>
      <c r="N75" s="493"/>
      <c r="O75" s="493"/>
    </row>
    <row r="76" spans="1:15">
      <c r="A76" s="498" t="s">
        <v>927</v>
      </c>
      <c r="B76" s="498"/>
      <c r="C76" s="639"/>
      <c r="D76" s="639"/>
      <c r="E76" s="640"/>
      <c r="F76" s="535"/>
      <c r="G76" s="518">
        <f>SUM('#1-Meritus:#5034-Mt. Washington Pediatric'!F96)</f>
        <v>0</v>
      </c>
      <c r="H76" s="518">
        <f>SUM('#1-Meritus:#5034-Mt. Washington Pediatric'!G96)</f>
        <v>0</v>
      </c>
      <c r="I76" s="541">
        <f>SUM('#1-Meritus:#5034-Mt. Washington Pediatric'!H96)</f>
        <v>0</v>
      </c>
      <c r="J76" s="541">
        <f>SUM('#1-Meritus:#5034-Mt. Washington Pediatric'!I96)</f>
        <v>0</v>
      </c>
      <c r="K76" s="541">
        <f>SUM('#1-Meritus:#5034-Mt. Washington Pediatric'!J96)</f>
        <v>0</v>
      </c>
      <c r="L76" s="541">
        <f>SUM('#1-Meritus:#5034-Mt. Washington Pediatric'!K96)</f>
        <v>0</v>
      </c>
      <c r="M76" s="534">
        <f t="shared" si="8"/>
        <v>0</v>
      </c>
      <c r="N76" s="493"/>
      <c r="O76" s="493"/>
    </row>
    <row r="77" spans="1:15">
      <c r="B77" s="498"/>
      <c r="D77" s="492"/>
      <c r="E77" s="492"/>
      <c r="F77" s="492"/>
      <c r="I77" s="505"/>
      <c r="J77" s="505"/>
      <c r="K77" s="505"/>
      <c r="L77" s="505"/>
      <c r="M77" s="493"/>
      <c r="N77" s="493"/>
      <c r="O77" s="493"/>
    </row>
    <row r="78" spans="1:15">
      <c r="A78" s="486" t="s">
        <v>150</v>
      </c>
      <c r="B78" s="498"/>
      <c r="C78" s="492" t="s">
        <v>295</v>
      </c>
      <c r="G78" s="518">
        <f>SUM(G66:G76)</f>
        <v>177076.62068452488</v>
      </c>
      <c r="H78" s="518">
        <f t="shared" ref="H78:M78" si="9">SUM(H66:H76)</f>
        <v>583446.79841001681</v>
      </c>
      <c r="I78" s="518">
        <f t="shared" si="9"/>
        <v>15165772.194975281</v>
      </c>
      <c r="J78" s="518">
        <f t="shared" si="9"/>
        <v>6469889.7155448981</v>
      </c>
      <c r="K78" s="518">
        <f t="shared" si="9"/>
        <v>4105314.42</v>
      </c>
      <c r="L78" s="518">
        <f t="shared" si="9"/>
        <v>17530347.490520183</v>
      </c>
      <c r="M78" s="518">
        <f t="shared" si="9"/>
        <v>11060457.774975285</v>
      </c>
      <c r="N78" s="493"/>
      <c r="O78" s="493"/>
    </row>
    <row r="79" spans="1:15">
      <c r="A79" s="498"/>
      <c r="B79" s="498"/>
      <c r="C79" s="492"/>
      <c r="G79" s="509"/>
      <c r="H79" s="509"/>
      <c r="I79" s="509"/>
      <c r="J79" s="509"/>
      <c r="K79" s="509"/>
      <c r="L79" s="509"/>
      <c r="M79" s="509"/>
      <c r="N79" s="493"/>
      <c r="O79" s="493"/>
    </row>
    <row r="80" spans="1:15">
      <c r="A80" s="487"/>
      <c r="B80" s="487"/>
      <c r="C80" s="492"/>
      <c r="K80" s="496"/>
      <c r="L80" s="497"/>
      <c r="N80" s="493"/>
      <c r="O80" s="493"/>
    </row>
    <row r="81" spans="1:15" ht="46.5" customHeight="1">
      <c r="A81" s="492" t="s">
        <v>928</v>
      </c>
      <c r="B81" s="492"/>
      <c r="C81" s="492" t="s">
        <v>63</v>
      </c>
      <c r="G81" s="489" t="s">
        <v>9</v>
      </c>
      <c r="H81" s="489" t="s">
        <v>37</v>
      </c>
      <c r="I81" s="489" t="s">
        <v>915</v>
      </c>
      <c r="J81" s="489" t="s">
        <v>916</v>
      </c>
      <c r="K81" s="490" t="s">
        <v>281</v>
      </c>
      <c r="L81" s="495" t="s">
        <v>913</v>
      </c>
      <c r="M81" s="489" t="s">
        <v>914</v>
      </c>
      <c r="N81" s="493"/>
      <c r="O81" s="493"/>
    </row>
    <row r="82" spans="1:15">
      <c r="A82" s="487"/>
      <c r="B82" s="487"/>
      <c r="C82" s="492"/>
      <c r="K82" s="496"/>
      <c r="L82" s="497"/>
      <c r="N82" s="493"/>
      <c r="O82" s="493"/>
    </row>
    <row r="83" spans="1:15">
      <c r="A83" s="498" t="s">
        <v>447</v>
      </c>
      <c r="B83" s="487"/>
      <c r="C83" s="483" t="s">
        <v>929</v>
      </c>
      <c r="G83" s="518">
        <f>SUM('#1-Meritus:#5034-Mt. Washington Pediatric'!F102)</f>
        <v>74156.6202107063</v>
      </c>
      <c r="H83" s="518">
        <f>SUM('#1-Meritus:#5034-Mt. Washington Pediatric'!G102)</f>
        <v>1165.5061339650072</v>
      </c>
      <c r="I83" s="541">
        <f>SUM('#1-Meritus:#5034-Mt. Washington Pediatric'!H102)</f>
        <v>4872178.2013501534</v>
      </c>
      <c r="J83" s="541">
        <f>SUM('#1-Meritus:#5034-Mt. Washington Pediatric'!I102)</f>
        <v>2366265.038737407</v>
      </c>
      <c r="K83" s="541">
        <f>SUM('#1-Meritus:#5034-Mt. Washington Pediatric'!J102)</f>
        <v>20811</v>
      </c>
      <c r="L83" s="541">
        <f>SUM('#1-Meritus:#5034-Mt. Washington Pediatric'!K102)</f>
        <v>7217632.2400875585</v>
      </c>
      <c r="M83" s="534">
        <f>L83-J83</f>
        <v>4851367.2013501516</v>
      </c>
      <c r="N83" s="493"/>
      <c r="O83" s="493"/>
    </row>
    <row r="84" spans="1:15">
      <c r="A84" s="498" t="s">
        <v>448</v>
      </c>
      <c r="B84" s="486"/>
      <c r="C84" s="506" t="s">
        <v>62</v>
      </c>
      <c r="G84" s="518">
        <f>SUM('#1-Meritus:#5034-Mt. Washington Pediatric'!F103)</f>
        <v>2810.9964559986734</v>
      </c>
      <c r="H84" s="518">
        <f>SUM('#1-Meritus:#5034-Mt. Washington Pediatric'!G103)</f>
        <v>202.10945049659574</v>
      </c>
      <c r="I84" s="541">
        <f>SUM('#1-Meritus:#5034-Mt. Washington Pediatric'!H103)</f>
        <v>223424.048685341</v>
      </c>
      <c r="J84" s="541">
        <f>SUM('#1-Meritus:#5034-Mt. Washington Pediatric'!I103)</f>
        <v>103979.32121938786</v>
      </c>
      <c r="K84" s="541">
        <f>SUM('#1-Meritus:#5034-Mt. Washington Pediatric'!J103)</f>
        <v>21406</v>
      </c>
      <c r="L84" s="541">
        <f>SUM('#1-Meritus:#5034-Mt. Washington Pediatric'!K103)</f>
        <v>305997.36990472884</v>
      </c>
      <c r="M84" s="534">
        <f t="shared" ref="M84:M87" si="10">L84-J84</f>
        <v>202018.04868534097</v>
      </c>
      <c r="N84" s="493"/>
      <c r="O84" s="493"/>
    </row>
    <row r="85" spans="1:15">
      <c r="A85" s="498" t="s">
        <v>642</v>
      </c>
      <c r="B85" s="498"/>
      <c r="C85" s="483" t="s">
        <v>630</v>
      </c>
      <c r="D85" s="507"/>
      <c r="E85" s="507"/>
      <c r="F85" s="507"/>
      <c r="G85" s="518">
        <f>SUM('#1-Meritus:#5034-Mt. Washington Pediatric'!F104)</f>
        <v>1747</v>
      </c>
      <c r="H85" s="518">
        <f>SUM('#1-Meritus:#5034-Mt. Washington Pediatric'!G104)</f>
        <v>193</v>
      </c>
      <c r="I85" s="541">
        <f>SUM('#1-Meritus:#5034-Mt. Washington Pediatric'!H104)</f>
        <v>623539.88400000008</v>
      </c>
      <c r="J85" s="541">
        <f>SUM('#1-Meritus:#5034-Mt. Washington Pediatric'!I104)</f>
        <v>243683.80331440002</v>
      </c>
      <c r="K85" s="541">
        <f>SUM('#1-Meritus:#5034-Mt. Washington Pediatric'!J104)</f>
        <v>44</v>
      </c>
      <c r="L85" s="541">
        <f>SUM('#1-Meritus:#5034-Mt. Washington Pediatric'!K104)</f>
        <v>867179.68731439998</v>
      </c>
      <c r="M85" s="534">
        <f t="shared" si="10"/>
        <v>623495.88399999996</v>
      </c>
      <c r="N85" s="493"/>
      <c r="O85" s="493"/>
    </row>
    <row r="86" spans="1:15">
      <c r="A86" s="498" t="s">
        <v>677</v>
      </c>
      <c r="B86" s="498"/>
      <c r="C86" s="492"/>
      <c r="G86" s="518">
        <f>SUM('#1-Meritus:#5034-Mt. Washington Pediatric'!F105)</f>
        <v>7</v>
      </c>
      <c r="H86" s="518">
        <f>SUM('#1-Meritus:#5034-Mt. Washington Pediatric'!G105)</f>
        <v>0</v>
      </c>
      <c r="I86" s="541">
        <f>SUM('#1-Meritus:#5034-Mt. Washington Pediatric'!H105)</f>
        <v>144</v>
      </c>
      <c r="J86" s="541">
        <f>SUM('#1-Meritus:#5034-Mt. Washington Pediatric'!I105)</f>
        <v>91</v>
      </c>
      <c r="K86" s="541">
        <f>SUM('#1-Meritus:#5034-Mt. Washington Pediatric'!J105)</f>
        <v>0</v>
      </c>
      <c r="L86" s="541">
        <f>SUM('#1-Meritus:#5034-Mt. Washington Pediatric'!K105)</f>
        <v>235</v>
      </c>
      <c r="M86" s="534">
        <f t="shared" si="10"/>
        <v>144</v>
      </c>
      <c r="N86" s="493"/>
      <c r="O86" s="493"/>
    </row>
    <row r="87" spans="1:15">
      <c r="A87" s="498" t="s">
        <v>679</v>
      </c>
      <c r="B87" s="498"/>
      <c r="C87" s="492"/>
      <c r="G87" s="518">
        <f>SUM('#1-Meritus:#5034-Mt. Washington Pediatric'!F106)</f>
        <v>0</v>
      </c>
      <c r="H87" s="518">
        <f>SUM('#1-Meritus:#5034-Mt. Washington Pediatric'!G106)</f>
        <v>0</v>
      </c>
      <c r="I87" s="541">
        <f>SUM('#1-Meritus:#5034-Mt. Washington Pediatric'!H106)</f>
        <v>85194</v>
      </c>
      <c r="J87" s="541">
        <f>SUM('#1-Meritus:#5034-Mt. Washington Pediatric'!I106)</f>
        <v>53587</v>
      </c>
      <c r="K87" s="541">
        <f>SUM('#1-Meritus:#5034-Mt. Washington Pediatric'!J106)</f>
        <v>0</v>
      </c>
      <c r="L87" s="541">
        <f>SUM('#1-Meritus:#5034-Mt. Washington Pediatric'!K106)</f>
        <v>138781</v>
      </c>
      <c r="M87" s="534">
        <f t="shared" si="10"/>
        <v>85194</v>
      </c>
      <c r="N87" s="493"/>
      <c r="O87" s="493"/>
    </row>
    <row r="88" spans="1:15">
      <c r="A88" s="498"/>
      <c r="B88" s="498"/>
      <c r="C88" s="492"/>
      <c r="G88" s="520"/>
      <c r="H88" s="521"/>
      <c r="I88" s="521"/>
      <c r="J88" s="521"/>
      <c r="K88" s="521"/>
      <c r="L88" s="521"/>
      <c r="N88" s="493"/>
      <c r="O88" s="493"/>
    </row>
    <row r="89" spans="1:15">
      <c r="A89" s="492" t="s">
        <v>153</v>
      </c>
      <c r="B89" s="487"/>
      <c r="C89" s="492" t="s">
        <v>295</v>
      </c>
      <c r="D89" s="493"/>
      <c r="E89" s="493"/>
      <c r="F89" s="493"/>
      <c r="G89" s="518">
        <f>SUM(G83:G87)</f>
        <v>78721.616666704969</v>
      </c>
      <c r="H89" s="518">
        <f t="shared" ref="H89:M89" si="11">SUM(H83:H87)</f>
        <v>1560.6155844616028</v>
      </c>
      <c r="I89" s="518">
        <f t="shared" si="11"/>
        <v>5804480.1340354942</v>
      </c>
      <c r="J89" s="518">
        <f t="shared" si="11"/>
        <v>2767606.1632711948</v>
      </c>
      <c r="K89" s="518">
        <f t="shared" si="11"/>
        <v>42261</v>
      </c>
      <c r="L89" s="518">
        <f t="shared" si="11"/>
        <v>8529825.2973066866</v>
      </c>
      <c r="M89" s="518">
        <f t="shared" si="11"/>
        <v>5762219.1340354923</v>
      </c>
      <c r="N89" s="493"/>
      <c r="O89" s="493"/>
    </row>
    <row r="90" spans="1:15">
      <c r="A90" s="487"/>
      <c r="B90" s="487"/>
      <c r="C90" s="492"/>
      <c r="D90" s="493"/>
      <c r="E90" s="493"/>
      <c r="F90" s="493"/>
      <c r="G90" s="522"/>
      <c r="H90" s="522"/>
      <c r="I90" s="522"/>
      <c r="J90" s="522"/>
      <c r="K90" s="522"/>
      <c r="L90" s="522"/>
      <c r="M90" s="493"/>
      <c r="N90" s="493"/>
      <c r="O90" s="493"/>
    </row>
    <row r="91" spans="1:15">
      <c r="A91" s="487"/>
      <c r="B91" s="487"/>
      <c r="C91" s="492"/>
      <c r="D91" s="493"/>
      <c r="E91" s="493"/>
      <c r="F91" s="493"/>
      <c r="K91" s="496"/>
      <c r="L91" s="497"/>
      <c r="M91" s="493"/>
      <c r="N91" s="493"/>
      <c r="O91" s="493"/>
    </row>
    <row r="92" spans="1:15">
      <c r="A92" s="486" t="s">
        <v>930</v>
      </c>
      <c r="B92" s="487"/>
      <c r="C92" s="492" t="s">
        <v>39</v>
      </c>
      <c r="K92" s="496"/>
      <c r="L92" s="497"/>
      <c r="N92" s="493"/>
      <c r="O92" s="493"/>
    </row>
    <row r="93" spans="1:15">
      <c r="B93" s="487"/>
      <c r="G93" s="501">
        <f>SUM('#1-Meritus:#5034-Mt. Washington Pediatric'!F111)</f>
        <v>483833108.27399999</v>
      </c>
      <c r="I93" s="514"/>
      <c r="J93" s="514"/>
      <c r="K93" s="496"/>
      <c r="L93" s="497"/>
      <c r="N93" s="493"/>
      <c r="O93" s="493"/>
    </row>
    <row r="94" spans="1:15">
      <c r="B94" s="486"/>
      <c r="C94" s="492"/>
      <c r="K94" s="496"/>
      <c r="L94" s="497"/>
      <c r="N94" s="493"/>
      <c r="O94" s="493"/>
    </row>
    <row r="95" spans="1:15">
      <c r="A95" s="487"/>
      <c r="B95" s="487"/>
      <c r="K95" s="496"/>
      <c r="L95" s="497"/>
      <c r="N95" s="493"/>
      <c r="O95" s="493"/>
    </row>
    <row r="96" spans="1:15" ht="44.25" customHeight="1">
      <c r="A96" s="487"/>
      <c r="B96" s="487"/>
      <c r="G96" s="489" t="s">
        <v>9</v>
      </c>
      <c r="H96" s="489" t="s">
        <v>37</v>
      </c>
      <c r="I96" s="489" t="s">
        <v>915</v>
      </c>
      <c r="J96" s="489" t="s">
        <v>916</v>
      </c>
      <c r="K96" s="490" t="s">
        <v>281</v>
      </c>
      <c r="L96" s="495" t="s">
        <v>913</v>
      </c>
      <c r="M96" s="489" t="s">
        <v>914</v>
      </c>
      <c r="N96" s="493"/>
      <c r="O96" s="493"/>
    </row>
    <row r="97" spans="1:15">
      <c r="A97" s="486" t="s">
        <v>931</v>
      </c>
      <c r="B97" s="498"/>
      <c r="C97" s="492" t="s">
        <v>23</v>
      </c>
      <c r="K97" s="496"/>
      <c r="L97" s="497"/>
      <c r="N97" s="493"/>
      <c r="O97" s="493"/>
    </row>
    <row r="98" spans="1:15">
      <c r="B98" s="487"/>
      <c r="C98" s="492"/>
      <c r="G98" s="523"/>
      <c r="H98" s="523"/>
      <c r="I98" s="524"/>
      <c r="J98" s="524"/>
      <c r="K98" s="524"/>
      <c r="L98" s="524"/>
      <c r="M98" s="524"/>
      <c r="N98" s="493"/>
      <c r="O98" s="493"/>
    </row>
    <row r="99" spans="1:15">
      <c r="A99" s="498" t="s">
        <v>463</v>
      </c>
      <c r="B99" s="486"/>
      <c r="C99" s="492" t="s">
        <v>24</v>
      </c>
      <c r="G99" s="518">
        <f>SUM('#1-Meritus:#5034-Mt. Washington Pediatric'!F131)</f>
        <v>3805</v>
      </c>
      <c r="H99" s="518">
        <f>SUM('#1-Meritus:#5034-Mt. Washington Pediatric'!G131)</f>
        <v>2349</v>
      </c>
      <c r="I99" s="541">
        <f>SUM('#1-Meritus:#5034-Mt. Washington Pediatric'!H131)</f>
        <v>1038696.089116279</v>
      </c>
      <c r="J99" s="541">
        <f>SUM('#1-Meritus:#5034-Mt. Washington Pediatric'!I131)</f>
        <v>69066.281971572971</v>
      </c>
      <c r="K99" s="541">
        <f>SUM('#1-Meritus:#5034-Mt. Washington Pediatric'!J131)</f>
        <v>592644.42999999993</v>
      </c>
      <c r="L99" s="541">
        <f>SUM('#1-Meritus:#5034-Mt. Washington Pediatric'!K131)</f>
        <v>515117.941087852</v>
      </c>
      <c r="M99" s="534">
        <f>L99-J99</f>
        <v>446051.65911627904</v>
      </c>
      <c r="N99" s="493"/>
      <c r="O99" s="493"/>
    </row>
    <row r="100" spans="1:15">
      <c r="A100" s="498" t="s">
        <v>464</v>
      </c>
      <c r="B100" s="498"/>
      <c r="C100" s="492" t="s">
        <v>25</v>
      </c>
      <c r="G100" s="518">
        <f>SUM('#1-Meritus:#5034-Mt. Washington Pediatric'!F132)</f>
        <v>37119</v>
      </c>
      <c r="H100" s="518">
        <f>SUM('#1-Meritus:#5034-Mt. Washington Pediatric'!G132)</f>
        <v>11353</v>
      </c>
      <c r="I100" s="541">
        <f>SUM('#1-Meritus:#5034-Mt. Washington Pediatric'!H132)</f>
        <v>1594157.9</v>
      </c>
      <c r="J100" s="541">
        <f>SUM('#1-Meritus:#5034-Mt. Washington Pediatric'!I132)</f>
        <v>17357.586288299164</v>
      </c>
      <c r="K100" s="541">
        <f>SUM('#1-Meritus:#5034-Mt. Washington Pediatric'!J132)</f>
        <v>46090.9</v>
      </c>
      <c r="L100" s="541">
        <f>SUM('#1-Meritus:#5034-Mt. Washington Pediatric'!K132)</f>
        <v>1565424.5862882992</v>
      </c>
      <c r="M100" s="534">
        <f t="shared" ref="M100:M103" si="12">L100-J100</f>
        <v>1548067</v>
      </c>
      <c r="N100" s="493"/>
      <c r="O100" s="493"/>
    </row>
    <row r="101" spans="1:15">
      <c r="A101" s="498" t="s">
        <v>946</v>
      </c>
      <c r="B101" s="498"/>
      <c r="C101" s="492" t="s">
        <v>367</v>
      </c>
      <c r="G101" s="518">
        <f>SUM('#1-Meritus:#5034-Mt. Washington Pediatric'!F133)</f>
        <v>0</v>
      </c>
      <c r="H101" s="518">
        <f>SUM('#1-Meritus:#5034-Mt. Washington Pediatric'!G133)</f>
        <v>0</v>
      </c>
      <c r="I101" s="541">
        <f>SUM('#1-Meritus:#5034-Mt. Washington Pediatric'!H133)</f>
        <v>10263.92</v>
      </c>
      <c r="J101" s="541">
        <f>SUM('#1-Meritus:#5034-Mt. Washington Pediatric'!I133)</f>
        <v>0</v>
      </c>
      <c r="K101" s="541">
        <f>SUM('#1-Meritus:#5034-Mt. Washington Pediatric'!J133)</f>
        <v>0</v>
      </c>
      <c r="L101" s="541">
        <f>SUM('#1-Meritus:#5034-Mt. Washington Pediatric'!K133)</f>
        <v>10263.92</v>
      </c>
      <c r="M101" s="534">
        <f t="shared" si="12"/>
        <v>10263.92</v>
      </c>
      <c r="N101" s="493"/>
      <c r="O101" s="493"/>
    </row>
    <row r="102" spans="1:15">
      <c r="A102" s="498" t="s">
        <v>947</v>
      </c>
      <c r="B102" s="498"/>
      <c r="C102" s="492" t="s">
        <v>367</v>
      </c>
      <c r="G102" s="518">
        <f>SUM('#1-Meritus:#5034-Mt. Washington Pediatric'!F134)</f>
        <v>0</v>
      </c>
      <c r="H102" s="518">
        <f>SUM('#1-Meritus:#5034-Mt. Washington Pediatric'!G134)</f>
        <v>0</v>
      </c>
      <c r="I102" s="541">
        <f>SUM('#1-Meritus:#5034-Mt. Washington Pediatric'!H134)</f>
        <v>0</v>
      </c>
      <c r="J102" s="541">
        <f>SUM('#1-Meritus:#5034-Mt. Washington Pediatric'!I134)</f>
        <v>0</v>
      </c>
      <c r="K102" s="541">
        <f>SUM('#1-Meritus:#5034-Mt. Washington Pediatric'!J134)</f>
        <v>0</v>
      </c>
      <c r="L102" s="541">
        <f>SUM('#1-Meritus:#5034-Mt. Washington Pediatric'!K134)</f>
        <v>0</v>
      </c>
      <c r="M102" s="534">
        <f t="shared" si="12"/>
        <v>0</v>
      </c>
      <c r="N102" s="493"/>
      <c r="O102" s="493"/>
    </row>
    <row r="103" spans="1:15">
      <c r="A103" s="498" t="s">
        <v>948</v>
      </c>
      <c r="B103" s="498"/>
      <c r="C103" s="492" t="s">
        <v>367</v>
      </c>
      <c r="G103" s="518">
        <f>SUM('#1-Meritus:#5034-Mt. Washington Pediatric'!F135)</f>
        <v>0</v>
      </c>
      <c r="H103" s="518">
        <f>SUM('#1-Meritus:#5034-Mt. Washington Pediatric'!G135)</f>
        <v>0</v>
      </c>
      <c r="I103" s="541">
        <f>SUM('#1-Meritus:#5034-Mt. Washington Pediatric'!H135)</f>
        <v>0</v>
      </c>
      <c r="J103" s="541">
        <f>SUM('#1-Meritus:#5034-Mt. Washington Pediatric'!I135)</f>
        <v>0</v>
      </c>
      <c r="K103" s="541">
        <f>SUM('#1-Meritus:#5034-Mt. Washington Pediatric'!J135)</f>
        <v>0</v>
      </c>
      <c r="L103" s="541">
        <f>SUM('#1-Meritus:#5034-Mt. Washington Pediatric'!K135)</f>
        <v>0</v>
      </c>
      <c r="M103" s="534">
        <f t="shared" si="12"/>
        <v>0</v>
      </c>
      <c r="N103" s="493"/>
      <c r="O103" s="493"/>
    </row>
    <row r="104" spans="1:15">
      <c r="A104" s="498" t="s">
        <v>163</v>
      </c>
      <c r="B104" s="498"/>
      <c r="C104" s="492" t="s">
        <v>295</v>
      </c>
      <c r="G104" s="494">
        <f t="shared" ref="G104:M104" si="13">SUM(G98:G102)</f>
        <v>40924</v>
      </c>
      <c r="H104" s="494">
        <f t="shared" si="13"/>
        <v>13702</v>
      </c>
      <c r="I104" s="501">
        <f t="shared" si="13"/>
        <v>2643117.9091162789</v>
      </c>
      <c r="J104" s="501">
        <f t="shared" si="13"/>
        <v>86423.868259872135</v>
      </c>
      <c r="K104" s="501">
        <f t="shared" si="13"/>
        <v>638735.32999999996</v>
      </c>
      <c r="L104" s="501">
        <f t="shared" si="13"/>
        <v>2090806.4473761511</v>
      </c>
      <c r="M104" s="501">
        <f t="shared" si="13"/>
        <v>2004382.579116279</v>
      </c>
      <c r="N104" s="493"/>
      <c r="O104" s="493"/>
    </row>
    <row r="105" spans="1:15">
      <c r="A105" s="486"/>
      <c r="B105" s="486"/>
      <c r="G105" s="505"/>
      <c r="H105" s="505"/>
      <c r="I105" s="505"/>
      <c r="J105" s="505"/>
      <c r="K105" s="505"/>
      <c r="L105" s="505"/>
      <c r="M105" s="505"/>
    </row>
    <row r="106" spans="1:15">
      <c r="A106" s="487"/>
      <c r="B106" s="487"/>
      <c r="K106" s="496"/>
      <c r="L106" s="497"/>
    </row>
    <row r="107" spans="1:15" ht="46.5" customHeight="1">
      <c r="A107" s="492"/>
      <c r="G107" s="489" t="s">
        <v>9</v>
      </c>
      <c r="H107" s="489" t="s">
        <v>37</v>
      </c>
      <c r="I107" s="489" t="s">
        <v>915</v>
      </c>
      <c r="J107" s="489" t="s">
        <v>916</v>
      </c>
      <c r="K107" s="490" t="s">
        <v>281</v>
      </c>
      <c r="L107" s="495" t="s">
        <v>913</v>
      </c>
      <c r="M107" s="489" t="s">
        <v>914</v>
      </c>
    </row>
    <row r="108" spans="1:15">
      <c r="A108" s="483" t="s">
        <v>932</v>
      </c>
      <c r="C108" s="492" t="s">
        <v>26</v>
      </c>
      <c r="K108" s="496"/>
      <c r="L108" s="497"/>
    </row>
    <row r="109" spans="1:15">
      <c r="A109" s="498" t="s">
        <v>933</v>
      </c>
      <c r="B109" s="486"/>
      <c r="C109" s="492" t="s">
        <v>64</v>
      </c>
      <c r="G109" s="518">
        <f>+G24</f>
        <v>1012489.6263239929</v>
      </c>
      <c r="H109" s="518">
        <f t="shared" ref="H109:K109" si="14">+H24</f>
        <v>13494384.014800301</v>
      </c>
      <c r="I109" s="541">
        <f t="shared" si="14"/>
        <v>69719973.926062584</v>
      </c>
      <c r="J109" s="541">
        <f t="shared" si="14"/>
        <v>30910897.654251035</v>
      </c>
      <c r="K109" s="541">
        <f t="shared" si="14"/>
        <v>14343752.064500002</v>
      </c>
      <c r="L109" s="534">
        <f t="shared" ref="L109:L118" si="15">+I109+J109-K109</f>
        <v>86287119.515813619</v>
      </c>
      <c r="M109" s="534">
        <f t="shared" ref="M109:M118" si="16">+I109-K109</f>
        <v>55376221.86156258</v>
      </c>
      <c r="N109" s="493"/>
      <c r="O109" s="493"/>
    </row>
    <row r="110" spans="1:15">
      <c r="A110" s="498" t="s">
        <v>934</v>
      </c>
      <c r="B110" s="498"/>
      <c r="C110" s="492" t="s">
        <v>65</v>
      </c>
      <c r="G110" s="518">
        <f>+G38</f>
        <v>6594984.1769428477</v>
      </c>
      <c r="H110" s="518">
        <f>+H38</f>
        <v>225259.59244663682</v>
      </c>
      <c r="I110" s="541">
        <f>+I38</f>
        <v>342112260.2318604</v>
      </c>
      <c r="J110" s="541">
        <f>+J38</f>
        <v>81167535.2507765</v>
      </c>
      <c r="K110" s="541">
        <f>+K38</f>
        <v>2793714.3774999999</v>
      </c>
      <c r="L110" s="534">
        <f t="shared" si="15"/>
        <v>420486081.10513693</v>
      </c>
      <c r="M110" s="534">
        <f t="shared" si="16"/>
        <v>339318545.8543604</v>
      </c>
      <c r="N110" s="493"/>
      <c r="O110" s="493"/>
    </row>
    <row r="111" spans="1:15">
      <c r="A111" s="498" t="s">
        <v>935</v>
      </c>
      <c r="B111" s="498"/>
      <c r="C111" s="492" t="s">
        <v>66</v>
      </c>
      <c r="G111" s="518">
        <f>+G43</f>
        <v>2553468.9455105043</v>
      </c>
      <c r="H111" s="518">
        <f t="shared" ref="H111:K111" si="17">+H43</f>
        <v>858131.38685491262</v>
      </c>
      <c r="I111" s="541">
        <f t="shared" si="17"/>
        <v>465107383.2134912</v>
      </c>
      <c r="J111" s="541">
        <f t="shared" si="17"/>
        <v>105386288.91938561</v>
      </c>
      <c r="K111" s="541">
        <f t="shared" si="17"/>
        <v>176879576.17943934</v>
      </c>
      <c r="L111" s="534">
        <f t="shared" si="15"/>
        <v>393614095.95343757</v>
      </c>
      <c r="M111" s="534">
        <f t="shared" si="16"/>
        <v>288227807.0340519</v>
      </c>
      <c r="N111" s="493"/>
      <c r="O111" s="493"/>
    </row>
    <row r="112" spans="1:15">
      <c r="A112" s="498" t="s">
        <v>936</v>
      </c>
      <c r="B112" s="498"/>
      <c r="C112" s="492" t="s">
        <v>67</v>
      </c>
      <c r="G112" s="518">
        <f>+G51</f>
        <v>128704.32353069747</v>
      </c>
      <c r="H112" s="518">
        <f t="shared" ref="H112:K112" si="18">+H51</f>
        <v>4440</v>
      </c>
      <c r="I112" s="541">
        <f t="shared" si="18"/>
        <v>13252212.539821964</v>
      </c>
      <c r="J112" s="541">
        <f t="shared" si="18"/>
        <v>3454972.6874779165</v>
      </c>
      <c r="K112" s="541">
        <f t="shared" si="18"/>
        <v>6708352.6899999995</v>
      </c>
      <c r="L112" s="534">
        <f t="shared" si="15"/>
        <v>9998832.5372998808</v>
      </c>
      <c r="M112" s="534">
        <f t="shared" si="16"/>
        <v>6543859.8498219643</v>
      </c>
      <c r="N112" s="493"/>
      <c r="O112" s="493"/>
    </row>
    <row r="113" spans="1:15">
      <c r="A113" s="498" t="s">
        <v>937</v>
      </c>
      <c r="B113" s="498"/>
      <c r="C113" s="492" t="s">
        <v>68</v>
      </c>
      <c r="G113" s="518">
        <f>+G60</f>
        <v>46548.006445601153</v>
      </c>
      <c r="H113" s="518">
        <f t="shared" ref="H113:K113" si="19">+H60</f>
        <v>178978.00990621652</v>
      </c>
      <c r="I113" s="541">
        <f t="shared" si="19"/>
        <v>16406107.778927572</v>
      </c>
      <c r="J113" s="541">
        <f t="shared" si="19"/>
        <v>557172.61514584604</v>
      </c>
      <c r="K113" s="541">
        <f t="shared" si="19"/>
        <v>478637</v>
      </c>
      <c r="L113" s="534">
        <f t="shared" si="15"/>
        <v>16484643.394073419</v>
      </c>
      <c r="M113" s="534">
        <f t="shared" si="16"/>
        <v>15927470.778927572</v>
      </c>
      <c r="N113" s="493"/>
      <c r="O113" s="493"/>
    </row>
    <row r="114" spans="1:15">
      <c r="A114" s="498" t="s">
        <v>938</v>
      </c>
      <c r="B114" s="498"/>
      <c r="C114" s="492" t="s">
        <v>69</v>
      </c>
      <c r="G114" s="518">
        <f>+G78</f>
        <v>177076.62068452488</v>
      </c>
      <c r="H114" s="518">
        <f t="shared" ref="H114:K114" si="20">+H78</f>
        <v>583446.79841001681</v>
      </c>
      <c r="I114" s="541">
        <f t="shared" si="20"/>
        <v>15165772.194975281</v>
      </c>
      <c r="J114" s="541">
        <f t="shared" si="20"/>
        <v>6469889.7155448981</v>
      </c>
      <c r="K114" s="541">
        <f t="shared" si="20"/>
        <v>4105314.42</v>
      </c>
      <c r="L114" s="534">
        <f t="shared" si="15"/>
        <v>17530347.490520179</v>
      </c>
      <c r="M114" s="534">
        <f t="shared" si="16"/>
        <v>11060457.774975281</v>
      </c>
      <c r="N114" s="493"/>
      <c r="O114" s="493"/>
    </row>
    <row r="115" spans="1:15">
      <c r="A115" s="498" t="s">
        <v>939</v>
      </c>
      <c r="B115" s="498"/>
      <c r="C115" s="492" t="s">
        <v>61</v>
      </c>
      <c r="G115" s="518">
        <f>+G89</f>
        <v>78721.616666704969</v>
      </c>
      <c r="H115" s="518">
        <f t="shared" ref="H115:K115" si="21">+H89</f>
        <v>1560.6155844616028</v>
      </c>
      <c r="I115" s="541">
        <f t="shared" si="21"/>
        <v>5804480.1340354942</v>
      </c>
      <c r="J115" s="541">
        <f t="shared" si="21"/>
        <v>2767606.1632711948</v>
      </c>
      <c r="K115" s="541">
        <f t="shared" si="21"/>
        <v>42261</v>
      </c>
      <c r="L115" s="534">
        <f t="shared" si="15"/>
        <v>8529825.2973066885</v>
      </c>
      <c r="M115" s="534">
        <f t="shared" si="16"/>
        <v>5762219.1340354942</v>
      </c>
      <c r="N115" s="493"/>
      <c r="O115" s="493"/>
    </row>
    <row r="116" spans="1:15">
      <c r="A116" s="498" t="s">
        <v>940</v>
      </c>
      <c r="B116" s="498"/>
      <c r="C116" s="492" t="s">
        <v>70</v>
      </c>
      <c r="G116" s="518">
        <f>SUM('[8]#1-Meritus'!F148,'[8]#2-UMMS'!F148,'[8]#3-Prince George''s'!F148,'[8]#4-Holy Cross'!F148,'[8]#5-Frederick Memorial'!F148,'[8]#6-Harford Memorial'!F148,'[8]#7-St. Joseph'!F148,'[8]#8-Mercy'!F148,'[8]#9-Johns Hopkins'!F148,'[8]#10-Shore Health Dorchester'!F148,'[8]#11-St. Agnes'!F148,'[8]#12-Sinai'!F148,'[8]#13-Bon Secours'!F148,'[8]#15-Franklin Square'!F148,'[8]#16-Washington Adventist'!F148,'[8]#17-Garrett County'!F148,'[8]#18-Montgomery General'!F148,'[8]#19-Pennisula General'!F148,'[8]#22-Suburban'!F148,'[8]#23-Anne Arundel Medical Center'!F148,'[8]#24-Union Memorial'!F148,'[8]#27-Western Maryland Regional'!F148,'[8]#28-St. Mary''s'!F148,'[8]#29-JH Bayview'!F148,'[8]#30-Chester River'!F148,'[8]#32-Union Cecil County'!F148,'[8]#33-Carroll Hospital '!F148,'[8]#34-Harbor Hospital'!F148,'[8]#35-Civista Medical Center'!F148,'[8]#37-Shore Health Easton'!F148,'[8]#38-UM Midtown'!F148,'[8]#39-Calvert Memorial'!F148,'[8]#40-Northwest'!F148,'[8]#43-UM Baltimore Washington'!F148,'[8]#44-GBMC'!F148,'[8]#45-McCready'!F148,'[8]#48-Howard County'!F148,'[8]#49-UCH Upper Chesapeake'!F148,'[8]#51-Doctors Community'!F148,'[8]#55-Laurel Regional'!F148,'[8]#60-Ft Washington'!F148,'[8]#61-Atlantic General'!F148,'[8]#62-Southern Maryland'!F148,'[8]#2001-UM Rehab &amp; Ortho'!F148,'[8]#2004-Good Samaritan'!F148,'[8]#5034-Mt. Washington Pediatric'!F148,'[8]#5050-Shady Grove Adventist'!F148)</f>
        <v>0</v>
      </c>
      <c r="H116" s="518">
        <f>SUM('[8]#1-Meritus'!G148,'[8]#2-UMMS'!G148,'[8]#3-Prince George''s'!G148,'[8]#4-Holy Cross'!G148,'[8]#5-Frederick Memorial'!G148,'[8]#6-Harford Memorial'!G148,'[8]#7-St. Joseph'!G148,'[8]#8-Mercy'!G148,'[8]#9-Johns Hopkins'!G148,'[8]#10-Shore Health Dorchester'!G148,'[8]#11-St. Agnes'!G148,'[8]#12-Sinai'!G148,'[8]#13-Bon Secours'!G148,'[8]#15-Franklin Square'!G148,'[8]#16-Washington Adventist'!G148,'[8]#17-Garrett County'!G148,'[8]#18-Montgomery General'!G148,'[8]#19-Pennisula General'!G148,'[8]#22-Suburban'!G148,'[8]#23-Anne Arundel Medical Center'!G148,'[8]#24-Union Memorial'!G148,'[8]#27-Western Maryland Regional'!G148,'[8]#28-St. Mary''s'!G148,'[8]#29-JH Bayview'!G148,'[8]#30-Chester River'!G148,'[8]#32-Union Cecil County'!G148,'[8]#33-Carroll Hospital '!G148,'[8]#34-Harbor Hospital'!G148,'[8]#35-Civista Medical Center'!G148,'[8]#37-Shore Health Easton'!G148,'[8]#38-UM Midtown'!G148,'[8]#39-Calvert Memorial'!G148,'[8]#40-Northwest'!G148,'[8]#43-UM Baltimore Washington'!G148,'[8]#44-GBMC'!G148,'[8]#45-McCready'!G148,'[8]#48-Howard County'!G148,'[8]#49-UCH Upper Chesapeake'!G148,'[8]#51-Doctors Community'!G148,'[8]#55-Laurel Regional'!G148,'[8]#60-Ft Washington'!G148,'[8]#61-Atlantic General'!G148,'[8]#62-Southern Maryland'!G148,'[8]#2001-UM Rehab &amp; Ortho'!G148,'[8]#2004-Good Samaritan'!G148,'[8]#5034-Mt. Washington Pediatric'!G148,'[8]#5050-Shady Grove Adventist'!G148)</f>
        <v>0</v>
      </c>
      <c r="I116" s="541">
        <f>+G93</f>
        <v>483833108.27399999</v>
      </c>
      <c r="J116" s="541">
        <f>+H93</f>
        <v>0</v>
      </c>
      <c r="K116" s="541">
        <f>SUM('[8]#1-Meritus'!J148,'[8]#2-UMMS'!J148,'[8]#3-Prince George''s'!J148,'[8]#4-Holy Cross'!J148,'[8]#5-Frederick Memorial'!J148,'[8]#6-Harford Memorial'!J148,'[8]#7-St. Joseph'!J148,'[8]#8-Mercy'!J148,'[8]#9-Johns Hopkins'!J148,'[8]#10-Shore Health Dorchester'!J148,'[8]#11-St. Agnes'!J148,'[8]#12-Sinai'!J148,'[8]#13-Bon Secours'!J148,'[8]#15-Franklin Square'!J148,'[8]#16-Washington Adventist'!J148,'[8]#17-Garrett County'!J148,'[8]#18-Montgomery General'!J148,'[8]#19-Pennisula General'!J148,'[8]#22-Suburban'!J148,'[8]#23-Anne Arundel Medical Center'!J148,'[8]#24-Union Memorial'!J148,'[8]#27-Western Maryland Regional'!J148,'[8]#28-St. Mary''s'!J148,'[8]#29-JH Bayview'!J148,'[8]#30-Chester River'!J148,'[8]#32-Union Cecil County'!J148,'[8]#33-Carroll Hospital '!J148,'[8]#34-Harbor Hospital'!J148,'[8]#35-Civista Medical Center'!J148,'[8]#37-Shore Health Easton'!J148,'[8]#38-UM Midtown'!J148,'[8]#39-Calvert Memorial'!J148,'[8]#40-Northwest'!J148,'[8]#43-UM Baltimore Washington'!J148,'[8]#44-GBMC'!J148,'[8]#45-McCready'!J148,'[8]#48-Howard County'!J148,'[8]#49-UCH Upper Chesapeake'!J148,'[8]#51-Doctors Community'!J148,'[8]#55-Laurel Regional'!J148,'[8]#60-Ft Washington'!J148,'[8]#61-Atlantic General'!J148,'[8]#62-Southern Maryland'!J148,'[8]#2001-UM Rehab &amp; Ortho'!J148,'[8]#2004-Good Samaritan'!J148,'[8]#5034-Mt. Washington Pediatric'!J148,'[8]#5050-Shady Grove Adventist'!J148)</f>
        <v>0</v>
      </c>
      <c r="L116" s="534">
        <f>+I116+J116-K116</f>
        <v>483833108.27399999</v>
      </c>
      <c r="M116" s="534">
        <f t="shared" si="16"/>
        <v>483833108.27399999</v>
      </c>
      <c r="N116" s="493"/>
      <c r="O116" s="493"/>
    </row>
    <row r="117" spans="1:15">
      <c r="A117" s="498" t="s">
        <v>941</v>
      </c>
      <c r="B117" s="498"/>
      <c r="C117" s="492" t="s">
        <v>71</v>
      </c>
      <c r="G117" s="518">
        <f>+G104</f>
        <v>40924</v>
      </c>
      <c r="H117" s="518">
        <f t="shared" ref="H117:K117" si="22">+H104</f>
        <v>13702</v>
      </c>
      <c r="I117" s="541">
        <f t="shared" si="22"/>
        <v>2643117.9091162789</v>
      </c>
      <c r="J117" s="541">
        <f t="shared" si="22"/>
        <v>86423.868259872135</v>
      </c>
      <c r="K117" s="541">
        <f t="shared" si="22"/>
        <v>638735.32999999996</v>
      </c>
      <c r="L117" s="534">
        <f t="shared" si="15"/>
        <v>2090806.4473761511</v>
      </c>
      <c r="M117" s="534">
        <f t="shared" si="16"/>
        <v>2004382.5791162788</v>
      </c>
      <c r="N117" s="493"/>
      <c r="O117" s="493"/>
    </row>
    <row r="118" spans="1:15">
      <c r="A118" s="498" t="s">
        <v>185</v>
      </c>
      <c r="B118" s="498"/>
      <c r="C118" s="492" t="s">
        <v>183</v>
      </c>
      <c r="G118" s="518">
        <f>+G6</f>
        <v>0</v>
      </c>
      <c r="H118" s="518">
        <f t="shared" ref="H118:K118" si="23">+H6</f>
        <v>0</v>
      </c>
      <c r="I118" s="541">
        <f t="shared" si="23"/>
        <v>373183714.40300345</v>
      </c>
      <c r="J118" s="541">
        <f t="shared" si="23"/>
        <v>1225750</v>
      </c>
      <c r="K118" s="541">
        <f t="shared" si="23"/>
        <v>315139013.07828051</v>
      </c>
      <c r="L118" s="534">
        <f t="shared" si="15"/>
        <v>59270451.324722946</v>
      </c>
      <c r="M118" s="534">
        <f t="shared" si="16"/>
        <v>58044701.324722946</v>
      </c>
      <c r="N118" s="493"/>
      <c r="O118" s="493"/>
    </row>
    <row r="119" spans="1:15">
      <c r="A119" s="498"/>
      <c r="B119" s="498"/>
      <c r="C119" s="492"/>
      <c r="G119" s="525"/>
      <c r="H119" s="525"/>
      <c r="I119" s="505"/>
      <c r="J119" s="505"/>
      <c r="K119" s="505"/>
      <c r="L119" s="505"/>
      <c r="M119" s="493"/>
    </row>
    <row r="120" spans="1:15">
      <c r="A120" s="498" t="s">
        <v>165</v>
      </c>
      <c r="B120" s="487"/>
      <c r="C120" s="492" t="s">
        <v>26</v>
      </c>
      <c r="G120" s="518">
        <f>SUM(G109:G118)</f>
        <v>10632917.316104874</v>
      </c>
      <c r="H120" s="518">
        <f t="shared" ref="H120:M120" si="24">SUM(H109:H118)</f>
        <v>15359902.418002544</v>
      </c>
      <c r="I120" s="541">
        <f t="shared" si="24"/>
        <v>1787228130.6052942</v>
      </c>
      <c r="J120" s="541">
        <f t="shared" si="24"/>
        <v>232026536.87411287</v>
      </c>
      <c r="K120" s="541">
        <f t="shared" si="24"/>
        <v>521129356.13971984</v>
      </c>
      <c r="L120" s="541">
        <f t="shared" si="24"/>
        <v>1498125311.3396876</v>
      </c>
      <c r="M120" s="541">
        <f t="shared" si="24"/>
        <v>1266098774.4655745</v>
      </c>
    </row>
    <row r="121" spans="1:15">
      <c r="A121" s="487"/>
      <c r="B121" s="486"/>
      <c r="C121" s="492"/>
      <c r="G121" s="509"/>
      <c r="H121" s="509"/>
      <c r="I121" s="509"/>
      <c r="J121" s="509"/>
      <c r="K121" s="525"/>
      <c r="L121" s="525"/>
      <c r="M121" s="525"/>
    </row>
    <row r="122" spans="1:15">
      <c r="A122" s="486"/>
      <c r="B122" s="486"/>
      <c r="C122" s="492" t="s">
        <v>942</v>
      </c>
      <c r="D122" s="527"/>
      <c r="E122" s="527"/>
      <c r="F122" s="527"/>
      <c r="G122" s="501">
        <f>SUM('#1-Meritus:#5034-Mt. Washington Pediatric'!F121)</f>
        <v>14105523689.898001</v>
      </c>
      <c r="K122" s="493"/>
      <c r="L122" s="493"/>
    </row>
    <row r="123" spans="1:15">
      <c r="A123" s="486"/>
      <c r="B123" s="486"/>
      <c r="D123" s="492"/>
      <c r="E123" s="492"/>
      <c r="F123" s="492"/>
      <c r="I123" s="493"/>
      <c r="K123" s="493"/>
      <c r="N123" s="497"/>
    </row>
    <row r="124" spans="1:15">
      <c r="A124" s="486"/>
      <c r="B124" s="487"/>
      <c r="C124" s="492" t="s">
        <v>943</v>
      </c>
      <c r="D124" s="529"/>
      <c r="E124" s="529"/>
      <c r="F124" s="529"/>
      <c r="G124" s="530">
        <f>L120/G122</f>
        <v>0.10620841482210298</v>
      </c>
      <c r="K124" s="493"/>
      <c r="L124" s="531"/>
      <c r="M124" s="496"/>
      <c r="N124" s="497"/>
    </row>
    <row r="125" spans="1:15">
      <c r="A125" s="487"/>
      <c r="B125" s="487"/>
      <c r="D125" s="492"/>
      <c r="E125" s="492"/>
      <c r="F125" s="492"/>
      <c r="L125" s="492"/>
      <c r="M125" s="496"/>
      <c r="N125" s="497"/>
    </row>
    <row r="126" spans="1:15">
      <c r="A126" s="487"/>
      <c r="B126" s="487"/>
      <c r="C126" s="492" t="s">
        <v>944</v>
      </c>
      <c r="D126" s="532"/>
      <c r="E126" s="532"/>
      <c r="F126" s="532"/>
      <c r="G126" s="530">
        <f>M120/G122</f>
        <v>8.9759076110894107E-2</v>
      </c>
      <c r="L126" s="533"/>
      <c r="M126" s="496"/>
      <c r="N126" s="497"/>
    </row>
    <row r="127" spans="1:15">
      <c r="A127" s="487"/>
      <c r="M127" s="496"/>
      <c r="N127" s="496"/>
      <c r="O127" s="497"/>
    </row>
  </sheetData>
  <mergeCells count="8">
    <mergeCell ref="C35:E35"/>
    <mergeCell ref="C36:E36"/>
    <mergeCell ref="C76:E76"/>
    <mergeCell ref="B18:D18"/>
    <mergeCell ref="B19:D19"/>
    <mergeCell ref="B22:D22"/>
    <mergeCell ref="C33:E33"/>
    <mergeCell ref="C34:E34"/>
  </mergeCells>
  <pageMargins left="0.7" right="0.7" top="0.75" bottom="0.75" header="0.3" footer="0.3"/>
  <pageSetup scale="58" fitToHeight="0" orientation="landscape" r:id="rId1"/>
  <headerFooter>
    <oddFooter>&amp;CAttachment III Page &amp;P</oddFooter>
  </headerFooter>
  <rowBreaks count="2" manualBreakCount="2">
    <brk id="45" max="16383" man="1"/>
    <brk id="8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34" zoomScale="85" zoomScaleNormal="85" zoomScaleSheetLayoutView="70" workbookViewId="0">
      <selection activeCell="K64" sqref="K64"/>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53" t="s">
        <v>205</v>
      </c>
      <c r="D5" s="654"/>
      <c r="E5" s="654"/>
      <c r="F5" s="654"/>
      <c r="G5" s="655"/>
    </row>
    <row r="6" spans="1:11" ht="18" customHeight="1">
      <c r="B6" s="5" t="s">
        <v>3</v>
      </c>
      <c r="C6" s="656" t="s">
        <v>703</v>
      </c>
      <c r="D6" s="657"/>
      <c r="E6" s="657"/>
      <c r="F6" s="657"/>
      <c r="G6" s="658"/>
    </row>
    <row r="7" spans="1:11" ht="18" customHeight="1">
      <c r="B7" s="5" t="s">
        <v>4</v>
      </c>
      <c r="C7" s="659"/>
      <c r="D7" s="660"/>
      <c r="E7" s="660"/>
      <c r="F7" s="660"/>
      <c r="G7" s="661"/>
    </row>
    <row r="9" spans="1:11" ht="18" customHeight="1">
      <c r="B9" s="5" t="s">
        <v>1</v>
      </c>
      <c r="C9" s="653" t="s">
        <v>704</v>
      </c>
      <c r="D9" s="654"/>
      <c r="E9" s="654"/>
      <c r="F9" s="654"/>
      <c r="G9" s="655"/>
    </row>
    <row r="10" spans="1:11" ht="18" customHeight="1">
      <c r="B10" s="5" t="s">
        <v>2</v>
      </c>
      <c r="C10" s="662" t="s">
        <v>705</v>
      </c>
      <c r="D10" s="663"/>
      <c r="E10" s="663"/>
      <c r="F10" s="663"/>
      <c r="G10" s="664"/>
    </row>
    <row r="11" spans="1:11" ht="18" customHeight="1">
      <c r="B11" s="5" t="s">
        <v>32</v>
      </c>
      <c r="C11" s="653" t="s">
        <v>706</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7498705</v>
      </c>
      <c r="I18" s="50">
        <v>0</v>
      </c>
      <c r="J18" s="15">
        <v>6412330</v>
      </c>
      <c r="K18" s="16">
        <f>(H18+I18)-J18</f>
        <v>1086375</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4460.75</v>
      </c>
      <c r="G21" s="14">
        <v>11634</v>
      </c>
      <c r="H21" s="15">
        <v>239284</v>
      </c>
      <c r="I21" s="50">
        <f t="shared" ref="I21:I34" si="0">H21*F$114</f>
        <v>183475.79267999998</v>
      </c>
      <c r="J21" s="15">
        <v>26460</v>
      </c>
      <c r="K21" s="16">
        <f t="shared" ref="K21:K34" si="1">(H21+I21)-J21</f>
        <v>396299.79267999995</v>
      </c>
    </row>
    <row r="22" spans="1:11" ht="18" customHeight="1">
      <c r="A22" s="5" t="s">
        <v>76</v>
      </c>
      <c r="B22" t="s">
        <v>6</v>
      </c>
      <c r="F22" s="14">
        <v>225.5</v>
      </c>
      <c r="G22" s="14">
        <v>147</v>
      </c>
      <c r="H22" s="15">
        <v>8888</v>
      </c>
      <c r="I22" s="50">
        <f t="shared" si="0"/>
        <v>6815.0517599999994</v>
      </c>
      <c r="J22" s="15"/>
      <c r="K22" s="16">
        <f t="shared" si="1"/>
        <v>15703.051759999998</v>
      </c>
    </row>
    <row r="23" spans="1:11" ht="18" customHeight="1">
      <c r="A23" s="5" t="s">
        <v>77</v>
      </c>
      <c r="B23" t="s">
        <v>43</v>
      </c>
      <c r="F23" s="14"/>
      <c r="G23" s="14"/>
      <c r="H23" s="15"/>
      <c r="I23" s="50">
        <f t="shared" si="0"/>
        <v>0</v>
      </c>
      <c r="J23" s="15"/>
      <c r="K23" s="16">
        <f t="shared" si="1"/>
        <v>0</v>
      </c>
    </row>
    <row r="24" spans="1:11" ht="18" customHeight="1">
      <c r="A24" s="5" t="s">
        <v>78</v>
      </c>
      <c r="B24" t="s">
        <v>44</v>
      </c>
      <c r="F24" s="14"/>
      <c r="G24" s="14"/>
      <c r="H24" s="15"/>
      <c r="I24" s="50">
        <f t="shared" si="0"/>
        <v>0</v>
      </c>
      <c r="J24" s="15"/>
      <c r="K24" s="16">
        <f t="shared" si="1"/>
        <v>0</v>
      </c>
    </row>
    <row r="25" spans="1:11" ht="18" customHeight="1">
      <c r="A25" s="5" t="s">
        <v>79</v>
      </c>
      <c r="B25" t="s">
        <v>5</v>
      </c>
      <c r="F25" s="14">
        <v>457</v>
      </c>
      <c r="G25" s="14">
        <v>11985</v>
      </c>
      <c r="H25" s="15">
        <v>18978</v>
      </c>
      <c r="I25" s="50">
        <f t="shared" si="0"/>
        <v>14551.761059999999</v>
      </c>
      <c r="J25" s="15"/>
      <c r="K25" s="16">
        <f t="shared" si="1"/>
        <v>33529.761059999997</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8728.5</v>
      </c>
      <c r="G29" s="14">
        <v>1007</v>
      </c>
      <c r="H29" s="15">
        <v>346394</v>
      </c>
      <c r="I29" s="50">
        <f t="shared" si="0"/>
        <v>265604.52737999998</v>
      </c>
      <c r="J29" s="15">
        <v>6615</v>
      </c>
      <c r="K29" s="16">
        <f t="shared" si="1"/>
        <v>605383.52737999998</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363"/>
      <c r="C32" s="364"/>
      <c r="D32" s="365"/>
      <c r="F32" s="14"/>
      <c r="G32" s="342" t="s">
        <v>85</v>
      </c>
      <c r="H32" s="15"/>
      <c r="I32" s="50">
        <f t="shared" si="0"/>
        <v>0</v>
      </c>
      <c r="J32" s="15"/>
      <c r="K32" s="16">
        <f t="shared" si="1"/>
        <v>0</v>
      </c>
    </row>
    <row r="33" spans="1:11" ht="18" customHeight="1">
      <c r="A33" s="5" t="s">
        <v>135</v>
      </c>
      <c r="B33" s="363"/>
      <c r="C33" s="364"/>
      <c r="D33" s="365"/>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13871.75</v>
      </c>
      <c r="G36" s="18">
        <f t="shared" si="2"/>
        <v>24773</v>
      </c>
      <c r="H36" s="18">
        <f t="shared" si="2"/>
        <v>613544</v>
      </c>
      <c r="I36" s="16">
        <f t="shared" si="2"/>
        <v>470447.13287999993</v>
      </c>
      <c r="J36" s="16">
        <f t="shared" si="2"/>
        <v>33075</v>
      </c>
      <c r="K36" s="16">
        <f t="shared" si="2"/>
        <v>1050916.1328799999</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v>0</v>
      </c>
      <c r="J40" s="15"/>
      <c r="K40" s="16">
        <f t="shared" ref="K40:K47" si="3">(H40+I40)-J40</f>
        <v>0</v>
      </c>
    </row>
    <row r="41" spans="1:11" ht="18" customHeight="1">
      <c r="A41" s="5" t="s">
        <v>88</v>
      </c>
      <c r="B41" s="641" t="s">
        <v>50</v>
      </c>
      <c r="C41" s="649"/>
      <c r="F41" s="14"/>
      <c r="G41" s="14"/>
      <c r="H41" s="15"/>
      <c r="I41" s="50">
        <v>0</v>
      </c>
      <c r="J41" s="15"/>
      <c r="K41" s="16">
        <f t="shared" si="3"/>
        <v>0</v>
      </c>
    </row>
    <row r="42" spans="1:11" ht="18" customHeight="1">
      <c r="A42" s="5" t="s">
        <v>89</v>
      </c>
      <c r="B42" s="341" t="s">
        <v>11</v>
      </c>
      <c r="F42" s="14">
        <v>4755.5</v>
      </c>
      <c r="G42" s="14">
        <v>4495</v>
      </c>
      <c r="H42" s="15">
        <v>171616</v>
      </c>
      <c r="I42" s="50">
        <v>0</v>
      </c>
      <c r="J42" s="15">
        <v>260</v>
      </c>
      <c r="K42" s="16">
        <f t="shared" si="3"/>
        <v>171356</v>
      </c>
    </row>
    <row r="43" spans="1:11" ht="18" customHeight="1">
      <c r="A43" s="5" t="s">
        <v>90</v>
      </c>
      <c r="B43" s="343" t="s">
        <v>10</v>
      </c>
      <c r="C43" s="10"/>
      <c r="D43" s="10"/>
      <c r="F43" s="14"/>
      <c r="G43" s="14"/>
      <c r="H43" s="15"/>
      <c r="I43" s="50">
        <v>0</v>
      </c>
      <c r="J43" s="15"/>
      <c r="K43" s="16">
        <f t="shared" si="3"/>
        <v>0</v>
      </c>
    </row>
    <row r="44" spans="1:11" ht="18" customHeight="1">
      <c r="A44" s="5" t="s">
        <v>91</v>
      </c>
      <c r="B44" s="636" t="s">
        <v>707</v>
      </c>
      <c r="C44" s="637"/>
      <c r="D44" s="638"/>
      <c r="F44" s="54">
        <v>3109.5</v>
      </c>
      <c r="G44" s="54">
        <v>1590</v>
      </c>
      <c r="H44" s="54">
        <v>114355</v>
      </c>
      <c r="I44" s="55">
        <v>0</v>
      </c>
      <c r="J44" s="54">
        <v>1675</v>
      </c>
      <c r="K44" s="56">
        <f t="shared" si="3"/>
        <v>112680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7865</v>
      </c>
      <c r="G49" s="23">
        <f t="shared" si="4"/>
        <v>6085</v>
      </c>
      <c r="H49" s="16">
        <f t="shared" si="4"/>
        <v>285971</v>
      </c>
      <c r="I49" s="16">
        <f t="shared" si="4"/>
        <v>0</v>
      </c>
      <c r="J49" s="16">
        <f t="shared" si="4"/>
        <v>1935</v>
      </c>
      <c r="K49" s="16">
        <f t="shared" si="4"/>
        <v>284036</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47" t="s">
        <v>708</v>
      </c>
      <c r="C53" s="648"/>
      <c r="D53" s="644"/>
      <c r="F53" s="14">
        <v>12311.4</v>
      </c>
      <c r="G53" s="14">
        <v>3386</v>
      </c>
      <c r="H53" s="15">
        <v>659415</v>
      </c>
      <c r="I53" s="50">
        <f t="shared" ref="I53:I57" si="5">H53*F$114</f>
        <v>505619.63954999996</v>
      </c>
      <c r="J53" s="15">
        <v>256466</v>
      </c>
      <c r="K53" s="16">
        <f t="shared" ref="K53:K62" si="6">(H53+I53)-J53</f>
        <v>908568.63954999996</v>
      </c>
    </row>
    <row r="54" spans="1:11" ht="18" customHeight="1">
      <c r="A54" s="5" t="s">
        <v>93</v>
      </c>
      <c r="B54" s="647" t="s">
        <v>709</v>
      </c>
      <c r="C54" s="648"/>
      <c r="D54" s="644"/>
      <c r="F54" s="14">
        <v>5331.4</v>
      </c>
      <c r="G54" s="14">
        <v>2923</v>
      </c>
      <c r="H54" s="15">
        <v>481688</v>
      </c>
      <c r="I54" s="50">
        <f t="shared" si="5"/>
        <v>369343.90775999997</v>
      </c>
      <c r="J54" s="15">
        <v>307296</v>
      </c>
      <c r="K54" s="16">
        <f t="shared" si="6"/>
        <v>543735.90775999997</v>
      </c>
    </row>
    <row r="55" spans="1:11" ht="18" customHeight="1">
      <c r="A55" s="5" t="s">
        <v>94</v>
      </c>
      <c r="B55" s="369" t="s">
        <v>710</v>
      </c>
      <c r="C55" s="361"/>
      <c r="D55" s="362"/>
      <c r="F55" s="14">
        <v>3035.7</v>
      </c>
      <c r="G55" s="14">
        <v>379</v>
      </c>
      <c r="H55" s="15">
        <v>136088</v>
      </c>
      <c r="I55" s="50">
        <f t="shared" si="5"/>
        <v>104348.19575999999</v>
      </c>
      <c r="J55" s="15">
        <v>11857</v>
      </c>
      <c r="K55" s="16">
        <f t="shared" si="6"/>
        <v>228579.19575999997</v>
      </c>
    </row>
    <row r="56" spans="1:11" ht="18" customHeight="1">
      <c r="A56" s="5" t="s">
        <v>95</v>
      </c>
      <c r="B56" s="369" t="s">
        <v>711</v>
      </c>
      <c r="C56" s="361"/>
      <c r="D56" s="362"/>
      <c r="F56" s="14">
        <v>3530.4</v>
      </c>
      <c r="G56" s="14">
        <v>1100</v>
      </c>
      <c r="H56" s="15">
        <v>5992778</v>
      </c>
      <c r="I56" s="50">
        <v>0</v>
      </c>
      <c r="J56" s="15">
        <v>1029908</v>
      </c>
      <c r="K56" s="16">
        <f t="shared" si="6"/>
        <v>4962870</v>
      </c>
    </row>
    <row r="57" spans="1:11" ht="18" customHeight="1">
      <c r="A57" s="5" t="s">
        <v>96</v>
      </c>
      <c r="B57" s="369" t="s">
        <v>712</v>
      </c>
      <c r="C57" s="361"/>
      <c r="D57" s="362"/>
      <c r="F57" s="14">
        <v>12310</v>
      </c>
      <c r="G57" s="14">
        <v>10904</v>
      </c>
      <c r="H57" s="15">
        <v>1413295</v>
      </c>
      <c r="I57" s="50">
        <f t="shared" si="5"/>
        <v>1083672.2071499999</v>
      </c>
      <c r="J57" s="15">
        <v>956956</v>
      </c>
      <c r="K57" s="16">
        <f t="shared" si="6"/>
        <v>1540011.2071500001</v>
      </c>
    </row>
    <row r="58" spans="1:11" ht="18" customHeight="1">
      <c r="A58" s="5" t="s">
        <v>97</v>
      </c>
      <c r="B58" s="369" t="s">
        <v>713</v>
      </c>
      <c r="C58" s="361"/>
      <c r="D58" s="362"/>
      <c r="F58" s="14"/>
      <c r="G58" s="14">
        <v>111</v>
      </c>
      <c r="H58" s="15">
        <v>277971.19</v>
      </c>
      <c r="I58" s="50">
        <v>0</v>
      </c>
      <c r="J58" s="15"/>
      <c r="K58" s="16">
        <f t="shared" si="6"/>
        <v>277971.19</v>
      </c>
    </row>
    <row r="59" spans="1:11" ht="18" customHeight="1">
      <c r="A59" s="5" t="s">
        <v>98</v>
      </c>
      <c r="B59" s="369" t="s">
        <v>714</v>
      </c>
      <c r="C59" s="361"/>
      <c r="D59" s="362"/>
      <c r="F59" s="14"/>
      <c r="G59" s="14"/>
      <c r="H59" s="15">
        <v>2140063</v>
      </c>
      <c r="I59" s="50">
        <v>0</v>
      </c>
      <c r="J59" s="15"/>
      <c r="K59" s="16">
        <f t="shared" si="6"/>
        <v>2140063</v>
      </c>
    </row>
    <row r="60" spans="1:11" ht="18" customHeight="1">
      <c r="A60" s="5" t="s">
        <v>99</v>
      </c>
      <c r="B60" s="369" t="s">
        <v>715</v>
      </c>
      <c r="C60" s="361"/>
      <c r="D60" s="362"/>
      <c r="F60" s="14"/>
      <c r="G60" s="14"/>
      <c r="H60" s="15">
        <v>2302042</v>
      </c>
      <c r="I60" s="50">
        <v>0</v>
      </c>
      <c r="J60" s="15"/>
      <c r="K60" s="16">
        <f t="shared" si="6"/>
        <v>2302042</v>
      </c>
    </row>
    <row r="61" spans="1:11" ht="18" customHeight="1">
      <c r="A61" s="5" t="s">
        <v>100</v>
      </c>
      <c r="B61" s="369"/>
      <c r="C61" s="361"/>
      <c r="D61" s="362"/>
      <c r="F61" s="14"/>
      <c r="G61" s="14"/>
      <c r="H61" s="15"/>
      <c r="I61" s="50">
        <v>0</v>
      </c>
      <c r="J61" s="15"/>
      <c r="K61" s="16">
        <f t="shared" si="6"/>
        <v>0</v>
      </c>
    </row>
    <row r="62" spans="1:11" ht="18" customHeight="1">
      <c r="A62" s="5" t="s">
        <v>101</v>
      </c>
      <c r="B62" s="642"/>
      <c r="C62" s="643"/>
      <c r="D62" s="644"/>
      <c r="F62" s="14"/>
      <c r="G62" s="14"/>
      <c r="H62" s="15"/>
      <c r="I62" s="50">
        <v>0</v>
      </c>
      <c r="J62" s="15"/>
      <c r="K62" s="16">
        <f t="shared" si="6"/>
        <v>0</v>
      </c>
    </row>
    <row r="63" spans="1:11" ht="18" customHeight="1">
      <c r="A63" s="5"/>
      <c r="I63" s="46"/>
    </row>
    <row r="64" spans="1:11" ht="18" customHeight="1">
      <c r="A64" s="5" t="s">
        <v>144</v>
      </c>
      <c r="B64" s="2" t="s">
        <v>145</v>
      </c>
      <c r="E64" s="2" t="s">
        <v>7</v>
      </c>
      <c r="F64" s="18">
        <f t="shared" ref="F64:K64" si="7">SUM(F53:F62)</f>
        <v>36518.9</v>
      </c>
      <c r="G64" s="18">
        <f t="shared" si="7"/>
        <v>18803</v>
      </c>
      <c r="H64" s="16">
        <f t="shared" si="7"/>
        <v>13403340.189999999</v>
      </c>
      <c r="I64" s="16">
        <f t="shared" si="7"/>
        <v>2062983.95022</v>
      </c>
      <c r="J64" s="16">
        <f t="shared" si="7"/>
        <v>2562483</v>
      </c>
      <c r="K64" s="16">
        <f t="shared" si="7"/>
        <v>12903841.140219999</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v>3781</v>
      </c>
      <c r="G68" s="51">
        <v>482</v>
      </c>
      <c r="H68" s="15">
        <v>408385</v>
      </c>
      <c r="I68" s="50">
        <f t="shared" ref="I68" si="8">H68*F$114</f>
        <v>313137.36644999997</v>
      </c>
      <c r="J68" s="15">
        <v>487587</v>
      </c>
      <c r="K68" s="16">
        <f>(H68+I68)-J68</f>
        <v>233935.36644999997</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9">SUM(F68:F72)</f>
        <v>3781</v>
      </c>
      <c r="G74" s="21">
        <f t="shared" si="9"/>
        <v>482</v>
      </c>
      <c r="H74" s="21">
        <f t="shared" si="9"/>
        <v>408385</v>
      </c>
      <c r="I74" s="53">
        <f t="shared" si="9"/>
        <v>313137.36644999997</v>
      </c>
      <c r="J74" s="21">
        <f t="shared" si="9"/>
        <v>487587</v>
      </c>
      <c r="K74" s="17">
        <f t="shared" si="9"/>
        <v>233935.36644999997</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c r="I77" s="50">
        <v>0</v>
      </c>
      <c r="J77" s="15"/>
      <c r="K77" s="16">
        <f>(H77+I77)-J77</f>
        <v>0</v>
      </c>
    </row>
    <row r="78" spans="1:11" ht="18" customHeight="1">
      <c r="A78" s="5" t="s">
        <v>108</v>
      </c>
      <c r="B78" s="341" t="s">
        <v>55</v>
      </c>
      <c r="F78" s="14"/>
      <c r="G78" s="14"/>
      <c r="H78" s="15">
        <v>276266</v>
      </c>
      <c r="I78" s="50">
        <v>0</v>
      </c>
      <c r="J78" s="15">
        <v>259435</v>
      </c>
      <c r="K78" s="16">
        <f>(H78+I78)-J78</f>
        <v>16831</v>
      </c>
    </row>
    <row r="79" spans="1:11" ht="18" customHeight="1">
      <c r="A79" s="5" t="s">
        <v>109</v>
      </c>
      <c r="B79" s="341" t="s">
        <v>13</v>
      </c>
      <c r="F79" s="14">
        <v>772</v>
      </c>
      <c r="G79" s="14">
        <v>1421</v>
      </c>
      <c r="H79" s="15">
        <v>81087</v>
      </c>
      <c r="I79" s="50">
        <v>0</v>
      </c>
      <c r="J79" s="15">
        <v>950</v>
      </c>
      <c r="K79" s="16">
        <f>(H79+I79)-J79</f>
        <v>80137</v>
      </c>
    </row>
    <row r="80" spans="1:11" ht="18" customHeight="1">
      <c r="A80" s="5" t="s">
        <v>110</v>
      </c>
      <c r="B80" s="341" t="s">
        <v>56</v>
      </c>
      <c r="F80" s="14">
        <v>8</v>
      </c>
      <c r="G80" s="14">
        <v>3300</v>
      </c>
      <c r="H80" s="15">
        <v>3287</v>
      </c>
      <c r="I80" s="50">
        <v>0</v>
      </c>
      <c r="J80" s="15"/>
      <c r="K80" s="16">
        <f>(H80+I80)-J80</f>
        <v>3287</v>
      </c>
    </row>
    <row r="81" spans="1:11" ht="18" customHeight="1">
      <c r="A81" s="5"/>
      <c r="K81" s="40"/>
    </row>
    <row r="82" spans="1:11" ht="18" customHeight="1">
      <c r="A82" s="5" t="s">
        <v>148</v>
      </c>
      <c r="B82" s="2" t="s">
        <v>149</v>
      </c>
      <c r="E82" s="2" t="s">
        <v>7</v>
      </c>
      <c r="F82" s="21">
        <f t="shared" ref="F82:K82" si="10">SUM(F77:F80)</f>
        <v>780</v>
      </c>
      <c r="G82" s="21">
        <f t="shared" si="10"/>
        <v>4721</v>
      </c>
      <c r="H82" s="17">
        <f t="shared" si="10"/>
        <v>360640</v>
      </c>
      <c r="I82" s="17">
        <f t="shared" si="10"/>
        <v>0</v>
      </c>
      <c r="J82" s="17">
        <f t="shared" si="10"/>
        <v>260385</v>
      </c>
      <c r="K82" s="17">
        <f t="shared" si="10"/>
        <v>100255</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1">H86*F$114</f>
        <v>0</v>
      </c>
      <c r="J86" s="15"/>
      <c r="K86" s="16">
        <f t="shared" ref="K86:K96" si="12">(H86+I86)-J86</f>
        <v>0</v>
      </c>
    </row>
    <row r="87" spans="1:11" ht="18" customHeight="1">
      <c r="A87" s="5" t="s">
        <v>114</v>
      </c>
      <c r="B87" s="341" t="s">
        <v>14</v>
      </c>
      <c r="F87" s="14"/>
      <c r="G87" s="14"/>
      <c r="H87" s="15"/>
      <c r="I87" s="50">
        <f t="shared" si="11"/>
        <v>0</v>
      </c>
      <c r="J87" s="15"/>
      <c r="K87" s="16">
        <f t="shared" si="12"/>
        <v>0</v>
      </c>
    </row>
    <row r="88" spans="1:11" ht="18" customHeight="1">
      <c r="A88" s="5" t="s">
        <v>115</v>
      </c>
      <c r="B88" s="341" t="s">
        <v>116</v>
      </c>
      <c r="F88" s="14">
        <v>286</v>
      </c>
      <c r="G88" s="14">
        <v>2</v>
      </c>
      <c r="H88" s="15">
        <v>70286</v>
      </c>
      <c r="I88" s="50">
        <f t="shared" si="11"/>
        <v>53893.196219999998</v>
      </c>
      <c r="J88" s="15">
        <v>3000</v>
      </c>
      <c r="K88" s="16">
        <f t="shared" si="12"/>
        <v>121179.19622</v>
      </c>
    </row>
    <row r="89" spans="1:11" ht="18" customHeight="1">
      <c r="A89" s="5" t="s">
        <v>117</v>
      </c>
      <c r="B89" s="341" t="s">
        <v>58</v>
      </c>
      <c r="F89" s="14"/>
      <c r="G89" s="14"/>
      <c r="H89" s="15"/>
      <c r="I89" s="50">
        <f t="shared" si="11"/>
        <v>0</v>
      </c>
      <c r="J89" s="15"/>
      <c r="K89" s="16">
        <f t="shared" si="12"/>
        <v>0</v>
      </c>
    </row>
    <row r="90" spans="1:11" ht="18" customHeight="1">
      <c r="A90" s="5" t="s">
        <v>118</v>
      </c>
      <c r="B90" s="641" t="s">
        <v>59</v>
      </c>
      <c r="C90" s="649"/>
      <c r="F90" s="14">
        <v>166</v>
      </c>
      <c r="G90" s="14">
        <v>241</v>
      </c>
      <c r="H90" s="15">
        <v>5398</v>
      </c>
      <c r="I90" s="50">
        <f t="shared" si="11"/>
        <v>4139.0244599999996</v>
      </c>
      <c r="J90" s="15"/>
      <c r="K90" s="16">
        <f t="shared" si="12"/>
        <v>9537.0244600000005</v>
      </c>
    </row>
    <row r="91" spans="1:11" ht="18" customHeight="1">
      <c r="A91" s="5" t="s">
        <v>119</v>
      </c>
      <c r="B91" s="341" t="s">
        <v>60</v>
      </c>
      <c r="F91" s="14"/>
      <c r="G91" s="14"/>
      <c r="H91" s="15"/>
      <c r="I91" s="50">
        <f t="shared" si="11"/>
        <v>0</v>
      </c>
      <c r="J91" s="15"/>
      <c r="K91" s="16">
        <f t="shared" si="12"/>
        <v>0</v>
      </c>
    </row>
    <row r="92" spans="1:11" ht="18" customHeight="1">
      <c r="A92" s="5" t="s">
        <v>120</v>
      </c>
      <c r="B92" s="341" t="s">
        <v>121</v>
      </c>
      <c r="F92" s="38">
        <v>32</v>
      </c>
      <c r="G92" s="38"/>
      <c r="H92" s="39">
        <v>1147</v>
      </c>
      <c r="I92" s="50">
        <f t="shared" si="11"/>
        <v>879.48518999999999</v>
      </c>
      <c r="J92" s="39"/>
      <c r="K92" s="16">
        <f t="shared" si="12"/>
        <v>2026.4851899999999</v>
      </c>
    </row>
    <row r="93" spans="1:11" ht="18" customHeight="1">
      <c r="A93" s="5" t="s">
        <v>122</v>
      </c>
      <c r="B93" s="341" t="s">
        <v>123</v>
      </c>
      <c r="F93" s="14"/>
      <c r="G93" s="14"/>
      <c r="H93" s="15"/>
      <c r="I93" s="50">
        <f t="shared" si="11"/>
        <v>0</v>
      </c>
      <c r="J93" s="15"/>
      <c r="K93" s="16">
        <f t="shared" si="12"/>
        <v>0</v>
      </c>
    </row>
    <row r="94" spans="1:11" ht="18" customHeight="1">
      <c r="A94" s="5" t="s">
        <v>124</v>
      </c>
      <c r="B94" s="650" t="s">
        <v>716</v>
      </c>
      <c r="C94" s="643"/>
      <c r="D94" s="644"/>
      <c r="F94" s="14">
        <v>15</v>
      </c>
      <c r="G94" s="14">
        <v>25</v>
      </c>
      <c r="H94" s="15">
        <v>538</v>
      </c>
      <c r="I94" s="50">
        <f t="shared" si="11"/>
        <v>412.52225999999996</v>
      </c>
      <c r="J94" s="15"/>
      <c r="K94" s="16">
        <f t="shared" si="12"/>
        <v>950.52225999999996</v>
      </c>
    </row>
    <row r="95" spans="1:11" ht="18" customHeight="1">
      <c r="A95" s="5" t="s">
        <v>125</v>
      </c>
      <c r="B95" s="642"/>
      <c r="C95" s="643"/>
      <c r="D95" s="644"/>
      <c r="F95" s="14"/>
      <c r="G95" s="14"/>
      <c r="H95" s="15"/>
      <c r="I95" s="50">
        <f t="shared" si="11"/>
        <v>0</v>
      </c>
      <c r="J95" s="15"/>
      <c r="K95" s="16">
        <f t="shared" si="12"/>
        <v>0</v>
      </c>
    </row>
    <row r="96" spans="1:11" ht="18" customHeight="1">
      <c r="A96" s="5" t="s">
        <v>126</v>
      </c>
      <c r="B96" s="642"/>
      <c r="C96" s="643"/>
      <c r="D96" s="644"/>
      <c r="F96" s="14"/>
      <c r="G96" s="14"/>
      <c r="H96" s="15"/>
      <c r="I96" s="50">
        <f t="shared" si="11"/>
        <v>0</v>
      </c>
      <c r="J96" s="15"/>
      <c r="K96" s="16">
        <f t="shared" si="12"/>
        <v>0</v>
      </c>
    </row>
    <row r="97" spans="1:11" ht="18" customHeight="1">
      <c r="A97" s="5"/>
      <c r="B97" s="341"/>
    </row>
    <row r="98" spans="1:11" ht="18" customHeight="1">
      <c r="A98" s="6" t="s">
        <v>150</v>
      </c>
      <c r="B98" s="2" t="s">
        <v>151</v>
      </c>
      <c r="E98" s="2" t="s">
        <v>7</v>
      </c>
      <c r="F98" s="18">
        <f t="shared" ref="F98:K98" si="13">SUM(F86:F96)</f>
        <v>499</v>
      </c>
      <c r="G98" s="18">
        <f t="shared" si="13"/>
        <v>268</v>
      </c>
      <c r="H98" s="18">
        <f t="shared" si="13"/>
        <v>77369</v>
      </c>
      <c r="I98" s="18">
        <f t="shared" si="13"/>
        <v>59324.228129999996</v>
      </c>
      <c r="J98" s="18">
        <f t="shared" si="13"/>
        <v>3000</v>
      </c>
      <c r="K98" s="18">
        <f t="shared" si="13"/>
        <v>133693.22813</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828</v>
      </c>
      <c r="G102" s="14"/>
      <c r="H102" s="15">
        <v>32806</v>
      </c>
      <c r="I102" s="50">
        <f>H102*F$114</f>
        <v>25154.656619999998</v>
      </c>
      <c r="J102" s="15"/>
      <c r="K102" s="16">
        <f>(H102+I102)-J102</f>
        <v>57960.656619999994</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4">SUM(F102:F106)</f>
        <v>828</v>
      </c>
      <c r="G108" s="18">
        <f t="shared" si="14"/>
        <v>0</v>
      </c>
      <c r="H108" s="16">
        <f t="shared" si="14"/>
        <v>32806</v>
      </c>
      <c r="I108" s="16">
        <f t="shared" si="14"/>
        <v>25154.656619999998</v>
      </c>
      <c r="J108" s="16">
        <f t="shared" si="14"/>
        <v>0</v>
      </c>
      <c r="K108" s="16">
        <f t="shared" si="14"/>
        <v>57960.656619999994</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7993597</v>
      </c>
    </row>
    <row r="112" spans="1:11" ht="18" customHeight="1">
      <c r="B112" s="2"/>
      <c r="E112" s="2"/>
      <c r="F112" s="22"/>
    </row>
    <row r="113" spans="1:6" ht="18" customHeight="1">
      <c r="A113" s="6"/>
      <c r="B113" s="2" t="s">
        <v>15</v>
      </c>
    </row>
    <row r="114" spans="1:6" ht="18" customHeight="1">
      <c r="A114" s="5" t="s">
        <v>171</v>
      </c>
      <c r="B114" s="341" t="s">
        <v>35</v>
      </c>
      <c r="F114" s="25">
        <v>0.76676999999999995</v>
      </c>
    </row>
    <row r="115" spans="1:6" ht="18" customHeight="1">
      <c r="A115" s="5"/>
      <c r="B115" s="2"/>
    </row>
    <row r="116" spans="1:6" ht="18" customHeight="1">
      <c r="A116" s="5" t="s">
        <v>170</v>
      </c>
      <c r="B116" s="2" t="s">
        <v>16</v>
      </c>
    </row>
    <row r="117" spans="1:6" ht="18" customHeight="1">
      <c r="A117" s="5" t="s">
        <v>172</v>
      </c>
      <c r="B117" s="341" t="s">
        <v>17</v>
      </c>
      <c r="F117" s="15">
        <v>283797712</v>
      </c>
    </row>
    <row r="118" spans="1:6" ht="18" customHeight="1">
      <c r="A118" s="5" t="s">
        <v>173</v>
      </c>
      <c r="B118" t="s">
        <v>18</v>
      </c>
      <c r="F118" s="15">
        <f>12880060-475962+642196</f>
        <v>13046294</v>
      </c>
    </row>
    <row r="119" spans="1:6" ht="18" customHeight="1">
      <c r="A119" s="5" t="s">
        <v>174</v>
      </c>
      <c r="B119" s="2" t="s">
        <v>19</v>
      </c>
      <c r="F119" s="17">
        <f>SUM(F117:F118)</f>
        <v>296844006</v>
      </c>
    </row>
    <row r="120" spans="1:6" ht="18" customHeight="1">
      <c r="A120" s="5"/>
      <c r="B120" s="2"/>
    </row>
    <row r="121" spans="1:6" ht="18" customHeight="1">
      <c r="A121" s="5" t="s">
        <v>167</v>
      </c>
      <c r="B121" s="2" t="s">
        <v>36</v>
      </c>
      <c r="F121" s="15">
        <v>292347127</v>
      </c>
    </row>
    <row r="122" spans="1:6" ht="18" customHeight="1">
      <c r="A122" s="5"/>
    </row>
    <row r="123" spans="1:6" ht="18" customHeight="1">
      <c r="A123" s="5" t="s">
        <v>175</v>
      </c>
      <c r="B123" s="2" t="s">
        <v>20</v>
      </c>
      <c r="F123" s="15">
        <f>F119-F121</f>
        <v>4496879</v>
      </c>
    </row>
    <row r="124" spans="1:6" ht="18" customHeight="1">
      <c r="A124" s="5"/>
    </row>
    <row r="125" spans="1:6" ht="18" customHeight="1">
      <c r="A125" s="5" t="s">
        <v>176</v>
      </c>
      <c r="B125" s="2" t="s">
        <v>21</v>
      </c>
      <c r="F125" s="15">
        <f>13433011+1052974</f>
        <v>14485985</v>
      </c>
    </row>
    <row r="126" spans="1:6" ht="18" customHeight="1">
      <c r="A126" s="5"/>
    </row>
    <row r="127" spans="1:6" ht="18" customHeight="1">
      <c r="A127" s="5" t="s">
        <v>177</v>
      </c>
      <c r="B127" s="2" t="s">
        <v>22</v>
      </c>
      <c r="F127" s="15">
        <f>F125+F123</f>
        <v>18982864</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5">SUM(F131:F135)</f>
        <v>0</v>
      </c>
      <c r="G137" s="18">
        <f t="shared" si="15"/>
        <v>0</v>
      </c>
      <c r="H137" s="16">
        <f t="shared" si="15"/>
        <v>0</v>
      </c>
      <c r="I137" s="16">
        <f t="shared" si="15"/>
        <v>0</v>
      </c>
      <c r="J137" s="16">
        <f t="shared" si="15"/>
        <v>0</v>
      </c>
      <c r="K137" s="16">
        <f t="shared" si="15"/>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6">F36</f>
        <v>13871.75</v>
      </c>
      <c r="G141" s="41">
        <f t="shared" si="16"/>
        <v>24773</v>
      </c>
      <c r="H141" s="41">
        <f t="shared" si="16"/>
        <v>613544</v>
      </c>
      <c r="I141" s="41">
        <f t="shared" si="16"/>
        <v>470447.13287999993</v>
      </c>
      <c r="J141" s="41">
        <f t="shared" si="16"/>
        <v>33075</v>
      </c>
      <c r="K141" s="41">
        <f t="shared" si="16"/>
        <v>1050916.1328799999</v>
      </c>
    </row>
    <row r="142" spans="1:11" ht="18" customHeight="1">
      <c r="A142" s="5" t="s">
        <v>142</v>
      </c>
      <c r="B142" s="2" t="s">
        <v>65</v>
      </c>
      <c r="F142" s="41">
        <f t="shared" ref="F142:K142" si="17">F49</f>
        <v>7865</v>
      </c>
      <c r="G142" s="41">
        <f t="shared" si="17"/>
        <v>6085</v>
      </c>
      <c r="H142" s="41">
        <f t="shared" si="17"/>
        <v>285971</v>
      </c>
      <c r="I142" s="41">
        <f t="shared" si="17"/>
        <v>0</v>
      </c>
      <c r="J142" s="41">
        <f t="shared" si="17"/>
        <v>1935</v>
      </c>
      <c r="K142" s="41">
        <f t="shared" si="17"/>
        <v>284036</v>
      </c>
    </row>
    <row r="143" spans="1:11" ht="18" customHeight="1">
      <c r="A143" s="5" t="s">
        <v>144</v>
      </c>
      <c r="B143" s="2" t="s">
        <v>66</v>
      </c>
      <c r="F143" s="41">
        <f t="shared" ref="F143:K143" si="18">F64</f>
        <v>36518.9</v>
      </c>
      <c r="G143" s="41">
        <f t="shared" si="18"/>
        <v>18803</v>
      </c>
      <c r="H143" s="41">
        <f t="shared" si="18"/>
        <v>13403340.189999999</v>
      </c>
      <c r="I143" s="41">
        <f t="shared" si="18"/>
        <v>2062983.95022</v>
      </c>
      <c r="J143" s="41">
        <f t="shared" si="18"/>
        <v>2562483</v>
      </c>
      <c r="K143" s="41">
        <f t="shared" si="18"/>
        <v>12903841.140219999</v>
      </c>
    </row>
    <row r="144" spans="1:11" ht="18" customHeight="1">
      <c r="A144" s="5" t="s">
        <v>146</v>
      </c>
      <c r="B144" s="2" t="s">
        <v>67</v>
      </c>
      <c r="F144" s="41">
        <f t="shared" ref="F144:K144" si="19">F74</f>
        <v>3781</v>
      </c>
      <c r="G144" s="41">
        <f t="shared" si="19"/>
        <v>482</v>
      </c>
      <c r="H144" s="41">
        <f t="shared" si="19"/>
        <v>408385</v>
      </c>
      <c r="I144" s="41">
        <f t="shared" si="19"/>
        <v>313137.36644999997</v>
      </c>
      <c r="J144" s="41">
        <f t="shared" si="19"/>
        <v>487587</v>
      </c>
      <c r="K144" s="41">
        <f t="shared" si="19"/>
        <v>233935.36644999997</v>
      </c>
    </row>
    <row r="145" spans="1:11" ht="18" customHeight="1">
      <c r="A145" s="5" t="s">
        <v>148</v>
      </c>
      <c r="B145" s="2" t="s">
        <v>68</v>
      </c>
      <c r="F145" s="41">
        <f t="shared" ref="F145:K145" si="20">F82</f>
        <v>780</v>
      </c>
      <c r="G145" s="41">
        <f t="shared" si="20"/>
        <v>4721</v>
      </c>
      <c r="H145" s="41">
        <f t="shared" si="20"/>
        <v>360640</v>
      </c>
      <c r="I145" s="41">
        <f t="shared" si="20"/>
        <v>0</v>
      </c>
      <c r="J145" s="41">
        <f t="shared" si="20"/>
        <v>260385</v>
      </c>
      <c r="K145" s="41">
        <f t="shared" si="20"/>
        <v>100255</v>
      </c>
    </row>
    <row r="146" spans="1:11" ht="18" customHeight="1">
      <c r="A146" s="5" t="s">
        <v>150</v>
      </c>
      <c r="B146" s="2" t="s">
        <v>69</v>
      </c>
      <c r="F146" s="41">
        <f t="shared" ref="F146:K146" si="21">F98</f>
        <v>499</v>
      </c>
      <c r="G146" s="41">
        <f t="shared" si="21"/>
        <v>268</v>
      </c>
      <c r="H146" s="41">
        <f t="shared" si="21"/>
        <v>77369</v>
      </c>
      <c r="I146" s="41">
        <f t="shared" si="21"/>
        <v>59324.228129999996</v>
      </c>
      <c r="J146" s="41">
        <f t="shared" si="21"/>
        <v>3000</v>
      </c>
      <c r="K146" s="41">
        <f t="shared" si="21"/>
        <v>133693.22813</v>
      </c>
    </row>
    <row r="147" spans="1:11" ht="18" customHeight="1">
      <c r="A147" s="5" t="s">
        <v>153</v>
      </c>
      <c r="B147" s="2" t="s">
        <v>61</v>
      </c>
      <c r="F147" s="18">
        <f t="shared" ref="F147:K147" si="22">F108</f>
        <v>828</v>
      </c>
      <c r="G147" s="18">
        <f t="shared" si="22"/>
        <v>0</v>
      </c>
      <c r="H147" s="18">
        <f t="shared" si="22"/>
        <v>32806</v>
      </c>
      <c r="I147" s="18">
        <f t="shared" si="22"/>
        <v>25154.656619999998</v>
      </c>
      <c r="J147" s="18">
        <f t="shared" si="22"/>
        <v>0</v>
      </c>
      <c r="K147" s="18">
        <f t="shared" si="22"/>
        <v>57960.656619999994</v>
      </c>
    </row>
    <row r="148" spans="1:11" ht="18" customHeight="1">
      <c r="A148" s="5" t="s">
        <v>155</v>
      </c>
      <c r="B148" s="2" t="s">
        <v>70</v>
      </c>
      <c r="F148" s="42" t="s">
        <v>73</v>
      </c>
      <c r="G148" s="42" t="s">
        <v>73</v>
      </c>
      <c r="H148" s="43" t="s">
        <v>73</v>
      </c>
      <c r="I148" s="43" t="s">
        <v>73</v>
      </c>
      <c r="J148" s="43" t="s">
        <v>73</v>
      </c>
      <c r="K148" s="37">
        <f>F111</f>
        <v>7993597</v>
      </c>
    </row>
    <row r="149" spans="1:11" ht="18" customHeight="1">
      <c r="A149" s="5" t="s">
        <v>163</v>
      </c>
      <c r="B149" s="2" t="s">
        <v>71</v>
      </c>
      <c r="F149" s="18">
        <f t="shared" ref="F149:K149" si="23">F137</f>
        <v>0</v>
      </c>
      <c r="G149" s="18">
        <f t="shared" si="23"/>
        <v>0</v>
      </c>
      <c r="H149" s="18">
        <f t="shared" si="23"/>
        <v>0</v>
      </c>
      <c r="I149" s="18">
        <f t="shared" si="23"/>
        <v>0</v>
      </c>
      <c r="J149" s="18">
        <f t="shared" si="23"/>
        <v>0</v>
      </c>
      <c r="K149" s="18">
        <f t="shared" si="23"/>
        <v>0</v>
      </c>
    </row>
    <row r="150" spans="1:11" ht="18" customHeight="1">
      <c r="A150" s="5" t="s">
        <v>185</v>
      </c>
      <c r="B150" s="2" t="s">
        <v>186</v>
      </c>
      <c r="F150" s="42" t="s">
        <v>73</v>
      </c>
      <c r="G150" s="42" t="s">
        <v>73</v>
      </c>
      <c r="H150" s="18">
        <f>H18</f>
        <v>7498705</v>
      </c>
      <c r="I150" s="18">
        <f>I18</f>
        <v>0</v>
      </c>
      <c r="J150" s="18">
        <f>J18</f>
        <v>6412330</v>
      </c>
      <c r="K150" s="18">
        <f>K18</f>
        <v>1086375</v>
      </c>
    </row>
    <row r="151" spans="1:11" ht="18" customHeight="1">
      <c r="B151" s="2"/>
      <c r="F151" s="48"/>
      <c r="G151" s="48"/>
      <c r="H151" s="48"/>
      <c r="I151" s="48"/>
      <c r="J151" s="48"/>
      <c r="K151" s="48"/>
    </row>
    <row r="152" spans="1:11" ht="18" customHeight="1">
      <c r="A152" s="6" t="s">
        <v>165</v>
      </c>
      <c r="B152" s="2" t="s">
        <v>26</v>
      </c>
      <c r="F152" s="49">
        <f t="shared" ref="F152:K152" si="24">SUM(F141:F150)</f>
        <v>64143.65</v>
      </c>
      <c r="G152" s="49">
        <f t="shared" si="24"/>
        <v>55132</v>
      </c>
      <c r="H152" s="49">
        <f t="shared" si="24"/>
        <v>22680760.189999998</v>
      </c>
      <c r="I152" s="49">
        <f t="shared" si="24"/>
        <v>2931047.3343000002</v>
      </c>
      <c r="J152" s="49">
        <f t="shared" si="24"/>
        <v>9760795</v>
      </c>
      <c r="K152" s="49">
        <f t="shared" si="24"/>
        <v>23844609.524300002</v>
      </c>
    </row>
    <row r="154" spans="1:11" ht="18" customHeight="1">
      <c r="A154" s="6" t="s">
        <v>168</v>
      </c>
      <c r="B154" s="2" t="s">
        <v>28</v>
      </c>
      <c r="F154" s="64">
        <f>K152/F121</f>
        <v>8.1562660693771757E-2</v>
      </c>
    </row>
    <row r="155" spans="1:11" ht="18" customHeight="1">
      <c r="A155" s="6" t="s">
        <v>169</v>
      </c>
      <c r="B155" s="2" t="s">
        <v>72</v>
      </c>
      <c r="F155" s="64">
        <f>K152/F127</f>
        <v>1.2561123297464494</v>
      </c>
      <c r="G155" s="2"/>
    </row>
    <row r="156" spans="1:11" ht="18" customHeight="1">
      <c r="G156" s="2"/>
    </row>
  </sheetData>
  <sheetProtection password="EF72" sheet="1" objects="1" scenarios="1"/>
  <mergeCells count="31">
    <mergeCell ref="B41:C41"/>
    <mergeCell ref="D2:H2"/>
    <mergeCell ref="C5:G5"/>
    <mergeCell ref="C6:G6"/>
    <mergeCell ref="C7:G7"/>
    <mergeCell ref="C9:G9"/>
    <mergeCell ref="C10:G10"/>
    <mergeCell ref="C11:G11"/>
    <mergeCell ref="B13:H13"/>
    <mergeCell ref="B30:D30"/>
    <mergeCell ref="B31:D31"/>
    <mergeCell ref="B34:D34"/>
    <mergeCell ref="B96:D96"/>
    <mergeCell ref="B44:D44"/>
    <mergeCell ref="B45:D45"/>
    <mergeCell ref="B46:D46"/>
    <mergeCell ref="B47:D47"/>
    <mergeCell ref="B52:C52"/>
    <mergeCell ref="B53:D53"/>
    <mergeCell ref="B54:D54"/>
    <mergeCell ref="B62:D62"/>
    <mergeCell ref="B90:C90"/>
    <mergeCell ref="B94:D94"/>
    <mergeCell ref="B95:D95"/>
    <mergeCell ref="B135:D135"/>
    <mergeCell ref="B103:C103"/>
    <mergeCell ref="B104:D104"/>
    <mergeCell ref="B105:D105"/>
    <mergeCell ref="B106:D106"/>
    <mergeCell ref="B133:D133"/>
    <mergeCell ref="B134:D134"/>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52" zoomScale="70" zoomScaleNormal="50" zoomScaleSheetLayoutView="70" workbookViewId="0">
      <selection activeCell="J65" sqref="J65"/>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874</v>
      </c>
      <c r="D5" s="654"/>
      <c r="E5" s="654"/>
      <c r="F5" s="654"/>
      <c r="G5" s="655"/>
    </row>
    <row r="6" spans="1:11" ht="18" customHeight="1">
      <c r="B6" s="5" t="s">
        <v>3</v>
      </c>
      <c r="C6" s="671" t="s">
        <v>875</v>
      </c>
      <c r="D6" s="657"/>
      <c r="E6" s="657"/>
      <c r="F6" s="657"/>
      <c r="G6" s="658"/>
    </row>
    <row r="7" spans="1:11" ht="18" customHeight="1">
      <c r="B7" s="5" t="s">
        <v>4</v>
      </c>
      <c r="C7" s="670">
        <v>8288</v>
      </c>
      <c r="D7" s="672"/>
      <c r="E7" s="672"/>
      <c r="F7" s="672"/>
      <c r="G7" s="673"/>
    </row>
    <row r="9" spans="1:11" ht="18" customHeight="1">
      <c r="B9" s="5" t="s">
        <v>1</v>
      </c>
      <c r="C9" s="670" t="s">
        <v>876</v>
      </c>
      <c r="D9" s="654"/>
      <c r="E9" s="654"/>
      <c r="F9" s="654"/>
      <c r="G9" s="655"/>
    </row>
    <row r="10" spans="1:11" ht="18" customHeight="1">
      <c r="B10" s="5" t="s">
        <v>2</v>
      </c>
      <c r="C10" s="674" t="s">
        <v>877</v>
      </c>
      <c r="D10" s="663"/>
      <c r="E10" s="663"/>
      <c r="F10" s="663"/>
      <c r="G10" s="664"/>
    </row>
    <row r="11" spans="1:11" ht="18" customHeight="1">
      <c r="B11" s="5" t="s">
        <v>32</v>
      </c>
      <c r="C11" s="670" t="s">
        <v>878</v>
      </c>
      <c r="D11" s="665"/>
      <c r="E11" s="665"/>
      <c r="F11" s="665"/>
      <c r="G11" s="67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2"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f>[10]Sheet1!$E$10+[10]Sheet1!$E$55+[10]Sheet1!$E$56</f>
        <v>39507812.438105159</v>
      </c>
      <c r="I18" s="50">
        <v>0</v>
      </c>
      <c r="J18" s="15">
        <f>[10]Sheet1!$D$10+[10]Sheet1!$D$55+[10]Sheet1!$D$56</f>
        <v>33784119.415984504</v>
      </c>
      <c r="K18" s="16">
        <f>(H18+I18)-J18</f>
        <v>5723693.0221206546</v>
      </c>
    </row>
    <row r="19" spans="1:11" ht="45.2"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28316.5</v>
      </c>
      <c r="G21" s="14">
        <v>39879.5</v>
      </c>
      <c r="H21" s="15">
        <v>1958285.6305987078</v>
      </c>
      <c r="I21" s="50">
        <f t="shared" ref="I21:I34" si="0">H21*F$114</f>
        <v>669403.21616812795</v>
      </c>
      <c r="J21" s="15">
        <f>126619+2994</f>
        <v>129613</v>
      </c>
      <c r="K21" s="16">
        <f t="shared" ref="K21:K34" si="1">(H21+I21)-J21</f>
        <v>2498075.846766836</v>
      </c>
    </row>
    <row r="22" spans="1:11" ht="18" customHeight="1">
      <c r="A22" s="5" t="s">
        <v>76</v>
      </c>
      <c r="B22" t="s">
        <v>6</v>
      </c>
      <c r="F22" s="14">
        <v>163</v>
      </c>
      <c r="G22" s="14">
        <v>490</v>
      </c>
      <c r="H22" s="15">
        <v>4066.0845987077446</v>
      </c>
      <c r="I22" s="50">
        <f t="shared" si="0"/>
        <v>1389.9147627174814</v>
      </c>
      <c r="J22" s="15"/>
      <c r="K22" s="16">
        <f t="shared" si="1"/>
        <v>5455.9993614252262</v>
      </c>
    </row>
    <row r="23" spans="1:11" ht="18" customHeight="1">
      <c r="A23" s="5" t="s">
        <v>77</v>
      </c>
      <c r="B23" t="s">
        <v>43</v>
      </c>
      <c r="F23" s="14">
        <v>0</v>
      </c>
      <c r="G23" s="14">
        <v>0</v>
      </c>
      <c r="H23" s="15">
        <v>0</v>
      </c>
      <c r="I23" s="50">
        <f t="shared" si="0"/>
        <v>0</v>
      </c>
      <c r="J23" s="15"/>
      <c r="K23" s="16">
        <f t="shared" si="1"/>
        <v>0</v>
      </c>
    </row>
    <row r="24" spans="1:11" ht="18" customHeight="1">
      <c r="A24" s="5" t="s">
        <v>78</v>
      </c>
      <c r="B24" t="s">
        <v>44</v>
      </c>
      <c r="F24" s="14">
        <v>0</v>
      </c>
      <c r="G24" s="14">
        <v>0</v>
      </c>
      <c r="H24" s="15">
        <v>0</v>
      </c>
      <c r="I24" s="50">
        <f t="shared" si="0"/>
        <v>0</v>
      </c>
      <c r="J24" s="15"/>
      <c r="K24" s="16">
        <f t="shared" si="1"/>
        <v>0</v>
      </c>
    </row>
    <row r="25" spans="1:11" ht="18" customHeight="1">
      <c r="A25" s="5" t="s">
        <v>79</v>
      </c>
      <c r="B25" t="s">
        <v>5</v>
      </c>
      <c r="F25" s="14">
        <v>0</v>
      </c>
      <c r="G25" s="14">
        <v>637</v>
      </c>
      <c r="H25" s="15">
        <v>9594</v>
      </c>
      <c r="I25" s="50">
        <f t="shared" si="0"/>
        <v>3279.5289694044991</v>
      </c>
      <c r="J25" s="15"/>
      <c r="K25" s="16">
        <f t="shared" si="1"/>
        <v>12873.528969404499</v>
      </c>
    </row>
    <row r="26" spans="1:11" ht="18" customHeight="1">
      <c r="A26" s="5" t="s">
        <v>80</v>
      </c>
      <c r="B26" t="s">
        <v>45</v>
      </c>
      <c r="F26" s="14">
        <v>0</v>
      </c>
      <c r="G26" s="14">
        <v>0</v>
      </c>
      <c r="H26" s="15">
        <v>0</v>
      </c>
      <c r="I26" s="50">
        <f t="shared" si="0"/>
        <v>0</v>
      </c>
      <c r="J26" s="15"/>
      <c r="K26" s="16">
        <f t="shared" si="1"/>
        <v>0</v>
      </c>
    </row>
    <row r="27" spans="1:11" ht="18" customHeight="1">
      <c r="A27" s="5" t="s">
        <v>81</v>
      </c>
      <c r="B27" t="s">
        <v>46</v>
      </c>
      <c r="F27" s="14">
        <v>0</v>
      </c>
      <c r="G27" s="14">
        <v>0</v>
      </c>
      <c r="H27" s="15">
        <v>0</v>
      </c>
      <c r="I27" s="50">
        <f t="shared" si="0"/>
        <v>0</v>
      </c>
      <c r="J27" s="15"/>
      <c r="K27" s="16">
        <f t="shared" si="1"/>
        <v>0</v>
      </c>
    </row>
    <row r="28" spans="1:11" ht="18" customHeight="1">
      <c r="A28" s="5" t="s">
        <v>82</v>
      </c>
      <c r="B28" t="s">
        <v>47</v>
      </c>
      <c r="F28" s="14">
        <v>4368</v>
      </c>
      <c r="G28" s="14">
        <v>511</v>
      </c>
      <c r="H28" s="15">
        <v>186883.03200000001</v>
      </c>
      <c r="I28" s="50">
        <f t="shared" si="0"/>
        <v>63882.459592885971</v>
      </c>
      <c r="J28" s="15">
        <v>215938</v>
      </c>
      <c r="K28" s="16">
        <f t="shared" si="1"/>
        <v>34827.491592885985</v>
      </c>
    </row>
    <row r="29" spans="1:11" ht="18" customHeight="1">
      <c r="A29" s="5" t="s">
        <v>83</v>
      </c>
      <c r="B29" t="s">
        <v>48</v>
      </c>
      <c r="F29" s="14">
        <v>0</v>
      </c>
      <c r="G29" s="14">
        <v>0</v>
      </c>
      <c r="H29" s="15">
        <v>0</v>
      </c>
      <c r="I29" s="50">
        <f t="shared" si="0"/>
        <v>0</v>
      </c>
      <c r="J29" s="15"/>
      <c r="K29" s="16">
        <f t="shared" si="1"/>
        <v>0</v>
      </c>
    </row>
    <row r="30" spans="1:11" ht="18" customHeight="1">
      <c r="A30" s="5" t="s">
        <v>84</v>
      </c>
      <c r="B30" s="636"/>
      <c r="C30" s="637"/>
      <c r="D30" s="638"/>
      <c r="F30" s="14">
        <v>0</v>
      </c>
      <c r="G30" s="14">
        <v>0</v>
      </c>
      <c r="H30" s="15">
        <v>0</v>
      </c>
      <c r="I30" s="50">
        <f t="shared" si="0"/>
        <v>0</v>
      </c>
      <c r="J30" s="15"/>
      <c r="K30" s="16">
        <f t="shared" si="1"/>
        <v>0</v>
      </c>
    </row>
    <row r="31" spans="1:11" ht="18" customHeight="1">
      <c r="A31" s="5" t="s">
        <v>133</v>
      </c>
      <c r="B31" s="636"/>
      <c r="C31" s="637"/>
      <c r="D31" s="638"/>
      <c r="F31" s="14">
        <v>0</v>
      </c>
      <c r="G31" s="14">
        <v>0</v>
      </c>
      <c r="H31" s="15">
        <v>0</v>
      </c>
      <c r="I31" s="50">
        <f t="shared" si="0"/>
        <v>0</v>
      </c>
      <c r="J31" s="15"/>
      <c r="K31" s="16">
        <f t="shared" si="1"/>
        <v>0</v>
      </c>
    </row>
    <row r="32" spans="1:11" ht="18" customHeight="1">
      <c r="A32" s="5" t="s">
        <v>134</v>
      </c>
      <c r="B32" s="363"/>
      <c r="C32" s="364"/>
      <c r="D32" s="365"/>
      <c r="F32" s="14">
        <v>0</v>
      </c>
      <c r="G32" s="14">
        <v>0</v>
      </c>
      <c r="H32" s="15">
        <v>0</v>
      </c>
      <c r="I32" s="50">
        <f t="shared" si="0"/>
        <v>0</v>
      </c>
      <c r="J32" s="15"/>
      <c r="K32" s="16">
        <f t="shared" si="1"/>
        <v>0</v>
      </c>
    </row>
    <row r="33" spans="1:11" ht="18" customHeight="1">
      <c r="A33" s="5" t="s">
        <v>135</v>
      </c>
      <c r="B33" s="363"/>
      <c r="C33" s="364"/>
      <c r="D33" s="365"/>
      <c r="F33" s="14">
        <v>0</v>
      </c>
      <c r="G33" s="14">
        <v>0</v>
      </c>
      <c r="H33" s="15">
        <v>0</v>
      </c>
      <c r="I33" s="50">
        <f t="shared" si="0"/>
        <v>0</v>
      </c>
      <c r="J33" s="15"/>
      <c r="K33" s="16">
        <f t="shared" si="1"/>
        <v>0</v>
      </c>
    </row>
    <row r="34" spans="1:11" ht="18" customHeight="1">
      <c r="A34" s="5" t="s">
        <v>136</v>
      </c>
      <c r="B34" s="636"/>
      <c r="C34" s="637"/>
      <c r="D34" s="638"/>
      <c r="F34" s="14">
        <v>0</v>
      </c>
      <c r="G34" s="14">
        <v>0</v>
      </c>
      <c r="H34" s="15">
        <v>0</v>
      </c>
      <c r="I34" s="50">
        <f t="shared" si="0"/>
        <v>0</v>
      </c>
      <c r="J34" s="15"/>
      <c r="K34" s="16">
        <f t="shared" si="1"/>
        <v>0</v>
      </c>
    </row>
    <row r="35" spans="1:11" ht="18" customHeight="1">
      <c r="K35" s="44"/>
    </row>
    <row r="36" spans="1:11" ht="18" customHeight="1">
      <c r="A36" s="6" t="s">
        <v>137</v>
      </c>
      <c r="B36" s="2" t="s">
        <v>138</v>
      </c>
      <c r="E36" s="2" t="s">
        <v>7</v>
      </c>
      <c r="F36" s="18">
        <f t="shared" ref="F36:K36" si="2">SUM(F21:F34)</f>
        <v>32847.5</v>
      </c>
      <c r="G36" s="18">
        <f t="shared" si="2"/>
        <v>41517.5</v>
      </c>
      <c r="H36" s="18">
        <f t="shared" si="2"/>
        <v>2158828.7471974157</v>
      </c>
      <c r="I36" s="16">
        <f t="shared" si="2"/>
        <v>737955.11949313583</v>
      </c>
      <c r="J36" s="16">
        <f t="shared" si="2"/>
        <v>345551</v>
      </c>
      <c r="K36" s="16">
        <f t="shared" si="2"/>
        <v>2551232.8666905514</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2307506.5521633816</v>
      </c>
      <c r="G40" s="14"/>
      <c r="H40" s="15">
        <v>90872948.845088333</v>
      </c>
      <c r="I40" s="50">
        <f t="shared" ref="I40:I47" si="3">H40*F$114</f>
        <v>31063213.286708392</v>
      </c>
      <c r="J40" s="15"/>
      <c r="K40" s="16">
        <f t="shared" ref="K40:K47" si="4">(H40+I40)-J40</f>
        <v>121936162.13179672</v>
      </c>
    </row>
    <row r="41" spans="1:11" ht="18" customHeight="1">
      <c r="A41" s="5" t="s">
        <v>88</v>
      </c>
      <c r="B41" s="641" t="s">
        <v>50</v>
      </c>
      <c r="C41" s="649"/>
      <c r="F41" s="14">
        <v>64524</v>
      </c>
      <c r="G41" s="14">
        <v>1062</v>
      </c>
      <c r="H41" s="15">
        <v>2032506</v>
      </c>
      <c r="I41" s="50">
        <f t="shared" si="3"/>
        <v>694774.05748264131</v>
      </c>
      <c r="J41" s="15"/>
      <c r="K41" s="16">
        <f t="shared" si="4"/>
        <v>2727280.0574826412</v>
      </c>
    </row>
    <row r="42" spans="1:11" ht="18" customHeight="1">
      <c r="A42" s="5" t="s">
        <v>89</v>
      </c>
      <c r="B42" s="341" t="s">
        <v>11</v>
      </c>
      <c r="F42" s="14"/>
      <c r="G42" s="14"/>
      <c r="H42" s="15"/>
      <c r="I42" s="50">
        <f t="shared" si="3"/>
        <v>0</v>
      </c>
      <c r="J42" s="15"/>
      <c r="K42" s="16">
        <f t="shared" si="4"/>
        <v>0</v>
      </c>
    </row>
    <row r="43" spans="1:11" ht="18" customHeight="1">
      <c r="A43" s="5" t="s">
        <v>90</v>
      </c>
      <c r="B43" s="343" t="s">
        <v>10</v>
      </c>
      <c r="C43" s="10"/>
      <c r="D43" s="10"/>
      <c r="F43" s="14"/>
      <c r="G43" s="14"/>
      <c r="H43" s="15"/>
      <c r="I43" s="50">
        <f t="shared" si="3"/>
        <v>0</v>
      </c>
      <c r="J43" s="15"/>
      <c r="K43" s="16">
        <f t="shared" si="4"/>
        <v>0</v>
      </c>
    </row>
    <row r="44" spans="1:11" ht="18" customHeight="1">
      <c r="A44" s="5" t="s">
        <v>91</v>
      </c>
      <c r="B44" s="636"/>
      <c r="C44" s="637"/>
      <c r="D44" s="638"/>
      <c r="F44" s="14"/>
      <c r="G44" s="14"/>
      <c r="H44" s="14"/>
      <c r="I44" s="50">
        <f t="shared" si="3"/>
        <v>0</v>
      </c>
      <c r="J44" s="14"/>
      <c r="K44" s="17">
        <f t="shared" si="4"/>
        <v>0</v>
      </c>
    </row>
    <row r="45" spans="1:11" ht="18" customHeight="1">
      <c r="A45" s="5" t="s">
        <v>139</v>
      </c>
      <c r="B45" s="636"/>
      <c r="C45" s="637"/>
      <c r="D45" s="638"/>
      <c r="F45" s="14"/>
      <c r="G45" s="14"/>
      <c r="H45" s="15"/>
      <c r="I45" s="50">
        <f t="shared" si="3"/>
        <v>0</v>
      </c>
      <c r="J45" s="15"/>
      <c r="K45" s="16">
        <f t="shared" si="4"/>
        <v>0</v>
      </c>
    </row>
    <row r="46" spans="1:11" ht="18" customHeight="1">
      <c r="A46" s="5" t="s">
        <v>140</v>
      </c>
      <c r="B46" s="636"/>
      <c r="C46" s="637"/>
      <c r="D46" s="638"/>
      <c r="F46" s="14"/>
      <c r="G46" s="14"/>
      <c r="H46" s="15"/>
      <c r="I46" s="50">
        <f t="shared" si="3"/>
        <v>0</v>
      </c>
      <c r="J46" s="15"/>
      <c r="K46" s="16">
        <f t="shared" si="4"/>
        <v>0</v>
      </c>
    </row>
    <row r="47" spans="1:11" ht="18" customHeight="1">
      <c r="A47" s="5" t="s">
        <v>141</v>
      </c>
      <c r="B47" s="636"/>
      <c r="C47" s="637"/>
      <c r="D47" s="638"/>
      <c r="F47" s="14"/>
      <c r="G47" s="14"/>
      <c r="H47" s="15"/>
      <c r="I47" s="50">
        <f t="shared" si="3"/>
        <v>0</v>
      </c>
      <c r="J47" s="15"/>
      <c r="K47" s="16">
        <f t="shared" si="4"/>
        <v>0</v>
      </c>
    </row>
    <row r="49" spans="1:11" ht="18" customHeight="1">
      <c r="A49" s="6" t="s">
        <v>142</v>
      </c>
      <c r="B49" s="2" t="s">
        <v>143</v>
      </c>
      <c r="E49" s="2" t="s">
        <v>7</v>
      </c>
      <c r="F49" s="23">
        <f t="shared" ref="F49:K49" si="5">SUM(F40:F47)</f>
        <v>2372030.5521633816</v>
      </c>
      <c r="G49" s="23">
        <f t="shared" si="5"/>
        <v>1062</v>
      </c>
      <c r="H49" s="16">
        <f t="shared" si="5"/>
        <v>92905454.845088333</v>
      </c>
      <c r="I49" s="16">
        <f t="shared" si="5"/>
        <v>31757987.344191033</v>
      </c>
      <c r="J49" s="16">
        <f t="shared" si="5"/>
        <v>0</v>
      </c>
      <c r="K49" s="16">
        <f t="shared" si="5"/>
        <v>124663442.18927936</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879</v>
      </c>
      <c r="C53" s="648"/>
      <c r="D53" s="644"/>
      <c r="F53" s="14">
        <v>76263.449986301363</v>
      </c>
      <c r="G53" s="14">
        <v>19507</v>
      </c>
      <c r="H53" s="15">
        <v>7462819</v>
      </c>
      <c r="I53" s="50">
        <f t="shared" ref="I53:I62" si="6">H53*F$114</f>
        <v>2551024.7137713484</v>
      </c>
      <c r="J53" s="15">
        <v>4365537</v>
      </c>
      <c r="K53" s="16">
        <f t="shared" ref="K53:K62" si="7">(H53+I53)-J53</f>
        <v>5648306.7137713488</v>
      </c>
    </row>
    <row r="54" spans="1:11" ht="18" customHeight="1">
      <c r="A54" s="5" t="s">
        <v>93</v>
      </c>
      <c r="B54" s="360" t="s">
        <v>880</v>
      </c>
      <c r="C54" s="361"/>
      <c r="D54" s="362"/>
      <c r="F54" s="14">
        <v>248149.53998907469</v>
      </c>
      <c r="G54" s="14">
        <v>25671</v>
      </c>
      <c r="H54" s="15">
        <v>10915753.200000003</v>
      </c>
      <c r="I54" s="50">
        <f t="shared" si="6"/>
        <v>3731345.5120147876</v>
      </c>
      <c r="J54" s="15">
        <v>8185869</v>
      </c>
      <c r="K54" s="16">
        <f t="shared" si="7"/>
        <v>6461229.7120147906</v>
      </c>
    </row>
    <row r="55" spans="1:11" ht="18" customHeight="1">
      <c r="A55" s="5" t="s">
        <v>94</v>
      </c>
      <c r="B55" s="642"/>
      <c r="C55" s="643"/>
      <c r="D55" s="644"/>
      <c r="F55" s="14"/>
      <c r="G55" s="14"/>
      <c r="H55" s="15"/>
      <c r="I55" s="50">
        <f t="shared" si="6"/>
        <v>0</v>
      </c>
      <c r="J55" s="15"/>
      <c r="K55" s="16">
        <f t="shared" si="7"/>
        <v>0</v>
      </c>
    </row>
    <row r="56" spans="1:11" ht="18" customHeight="1">
      <c r="A56" s="5" t="s">
        <v>95</v>
      </c>
      <c r="B56" s="642"/>
      <c r="C56" s="643"/>
      <c r="D56" s="644"/>
      <c r="F56" s="14"/>
      <c r="G56" s="14"/>
      <c r="H56" s="15"/>
      <c r="I56" s="50">
        <f t="shared" si="6"/>
        <v>0</v>
      </c>
      <c r="J56" s="15"/>
      <c r="K56" s="16">
        <f t="shared" si="7"/>
        <v>0</v>
      </c>
    </row>
    <row r="57" spans="1:11" ht="18" customHeight="1">
      <c r="A57" s="5" t="s">
        <v>96</v>
      </c>
      <c r="B57" s="642"/>
      <c r="C57" s="643"/>
      <c r="D57" s="644"/>
      <c r="F57" s="14"/>
      <c r="G57" s="14"/>
      <c r="H57" s="15"/>
      <c r="I57" s="50">
        <f t="shared" si="6"/>
        <v>0</v>
      </c>
      <c r="J57" s="15"/>
      <c r="K57" s="16">
        <f t="shared" si="7"/>
        <v>0</v>
      </c>
    </row>
    <row r="58" spans="1:11" ht="18" customHeight="1">
      <c r="A58" s="5" t="s">
        <v>97</v>
      </c>
      <c r="B58" s="360"/>
      <c r="C58" s="361"/>
      <c r="D58" s="362"/>
      <c r="F58" s="14"/>
      <c r="G58" s="14"/>
      <c r="H58" s="15"/>
      <c r="I58" s="50">
        <f t="shared" si="6"/>
        <v>0</v>
      </c>
      <c r="J58" s="15"/>
      <c r="K58" s="16">
        <f t="shared" si="7"/>
        <v>0</v>
      </c>
    </row>
    <row r="59" spans="1:11" ht="18" customHeight="1">
      <c r="A59" s="5" t="s">
        <v>98</v>
      </c>
      <c r="B59" s="642"/>
      <c r="C59" s="643"/>
      <c r="D59" s="644"/>
      <c r="F59" s="14"/>
      <c r="G59" s="14"/>
      <c r="H59" s="15"/>
      <c r="I59" s="50">
        <f t="shared" si="6"/>
        <v>0</v>
      </c>
      <c r="J59" s="15"/>
      <c r="K59" s="16">
        <f t="shared" si="7"/>
        <v>0</v>
      </c>
    </row>
    <row r="60" spans="1:11" ht="18" customHeight="1">
      <c r="A60" s="5" t="s">
        <v>99</v>
      </c>
      <c r="B60" s="360"/>
      <c r="C60" s="361"/>
      <c r="D60" s="362"/>
      <c r="F60" s="14"/>
      <c r="G60" s="14"/>
      <c r="H60" s="15"/>
      <c r="I60" s="50">
        <f t="shared" si="6"/>
        <v>0</v>
      </c>
      <c r="J60" s="15"/>
      <c r="K60" s="16">
        <f t="shared" si="7"/>
        <v>0</v>
      </c>
    </row>
    <row r="61" spans="1:11" ht="18" customHeight="1">
      <c r="A61" s="5" t="s">
        <v>100</v>
      </c>
      <c r="B61" s="360"/>
      <c r="C61" s="361"/>
      <c r="D61" s="362"/>
      <c r="F61" s="14"/>
      <c r="G61" s="14"/>
      <c r="H61" s="15"/>
      <c r="I61" s="50">
        <f t="shared" si="6"/>
        <v>0</v>
      </c>
      <c r="J61" s="15"/>
      <c r="K61" s="16">
        <f t="shared" si="7"/>
        <v>0</v>
      </c>
    </row>
    <row r="62" spans="1:11" ht="18" customHeight="1">
      <c r="A62" s="5" t="s">
        <v>101</v>
      </c>
      <c r="B62" s="642"/>
      <c r="C62" s="643"/>
      <c r="D62" s="644"/>
      <c r="F62" s="14"/>
      <c r="G62" s="14"/>
      <c r="H62" s="15"/>
      <c r="I62" s="50">
        <f t="shared" si="6"/>
        <v>0</v>
      </c>
      <c r="J62" s="15"/>
      <c r="K62" s="16">
        <f t="shared" si="7"/>
        <v>0</v>
      </c>
    </row>
    <row r="63" spans="1:11" ht="18" customHeight="1">
      <c r="A63" s="5"/>
      <c r="I63" s="46"/>
    </row>
    <row r="64" spans="1:11" ht="18" customHeight="1">
      <c r="A64" s="5" t="s">
        <v>144</v>
      </c>
      <c r="B64" s="2" t="s">
        <v>145</v>
      </c>
      <c r="E64" s="2" t="s">
        <v>7</v>
      </c>
      <c r="F64" s="18">
        <f t="shared" ref="F64:K64" si="8">SUM(F53:F62)</f>
        <v>324412.98997537605</v>
      </c>
      <c r="G64" s="18">
        <f t="shared" si="8"/>
        <v>45178</v>
      </c>
      <c r="H64" s="16">
        <f t="shared" si="8"/>
        <v>18378572.200000003</v>
      </c>
      <c r="I64" s="16">
        <f t="shared" si="8"/>
        <v>6282370.2257861365</v>
      </c>
      <c r="J64" s="16">
        <f t="shared" si="8"/>
        <v>12551406</v>
      </c>
      <c r="K64" s="16">
        <f t="shared" si="8"/>
        <v>12109536.425786139</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9">SUM(F68:F72)</f>
        <v>0</v>
      </c>
      <c r="G74" s="21">
        <f t="shared" si="9"/>
        <v>0</v>
      </c>
      <c r="H74" s="21">
        <f t="shared" si="9"/>
        <v>0</v>
      </c>
      <c r="I74" s="53">
        <f t="shared" si="9"/>
        <v>0</v>
      </c>
      <c r="J74" s="21">
        <f t="shared" si="9"/>
        <v>0</v>
      </c>
      <c r="K74" s="17">
        <f t="shared" si="9"/>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v>520</v>
      </c>
      <c r="G77" s="14">
        <v>242.5</v>
      </c>
      <c r="H77" s="14">
        <v>361456.10800000001</v>
      </c>
      <c r="I77" s="50">
        <v>0</v>
      </c>
      <c r="J77" s="15"/>
      <c r="K77" s="16">
        <f>(H77+I77)-J77</f>
        <v>361456.10800000001</v>
      </c>
    </row>
    <row r="78" spans="1:11" ht="18" customHeight="1">
      <c r="A78" s="5" t="s">
        <v>108</v>
      </c>
      <c r="B78" s="341" t="s">
        <v>55</v>
      </c>
      <c r="F78" s="14">
        <v>0</v>
      </c>
      <c r="G78" s="14"/>
      <c r="H78" s="15"/>
      <c r="I78" s="50">
        <v>0</v>
      </c>
      <c r="J78" s="15"/>
      <c r="K78" s="16">
        <f>(H78+I78)-J78</f>
        <v>0</v>
      </c>
    </row>
    <row r="79" spans="1:11" ht="18" customHeight="1">
      <c r="A79" s="5" t="s">
        <v>109</v>
      </c>
      <c r="B79" s="341" t="s">
        <v>13</v>
      </c>
      <c r="F79" s="14">
        <f>VLOOKUP(A79,'[11]FY14 Summary'!$A$29:$F$47,2,FALSE)</f>
        <v>0</v>
      </c>
      <c r="G79" s="14">
        <v>2000</v>
      </c>
      <c r="H79" s="15"/>
      <c r="I79" s="50">
        <v>0</v>
      </c>
      <c r="J79" s="15"/>
      <c r="K79" s="16">
        <f>(H79+I79)-J79</f>
        <v>0</v>
      </c>
    </row>
    <row r="80" spans="1:11" ht="18" customHeight="1">
      <c r="A80" s="5" t="s">
        <v>110</v>
      </c>
      <c r="B80" s="341" t="s">
        <v>56</v>
      </c>
      <c r="F80" s="14">
        <v>0</v>
      </c>
      <c r="G80" s="14"/>
      <c r="H80" s="15"/>
      <c r="I80" s="50">
        <v>0</v>
      </c>
      <c r="J80" s="15"/>
      <c r="K80" s="16">
        <f>(H80+I80)-J80</f>
        <v>0</v>
      </c>
    </row>
    <row r="81" spans="1:11" ht="18" customHeight="1">
      <c r="A81" s="5"/>
      <c r="K81" s="40"/>
    </row>
    <row r="82" spans="1:11" ht="18" customHeight="1">
      <c r="A82" s="5" t="s">
        <v>148</v>
      </c>
      <c r="B82" s="2" t="s">
        <v>149</v>
      </c>
      <c r="E82" s="2" t="s">
        <v>7</v>
      </c>
      <c r="F82" s="21">
        <f t="shared" ref="F82:K82" si="10">SUM(F77:F80)</f>
        <v>520</v>
      </c>
      <c r="G82" s="21">
        <f t="shared" si="10"/>
        <v>2242.5</v>
      </c>
      <c r="H82" s="17">
        <f t="shared" si="10"/>
        <v>361456.10800000001</v>
      </c>
      <c r="I82" s="17">
        <f t="shared" si="10"/>
        <v>0</v>
      </c>
      <c r="J82" s="17">
        <f t="shared" si="10"/>
        <v>0</v>
      </c>
      <c r="K82" s="17">
        <f t="shared" si="10"/>
        <v>361456.10800000001</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v>104</v>
      </c>
      <c r="G86" s="14">
        <v>2400</v>
      </c>
      <c r="H86" s="15">
        <v>10430.4696</v>
      </c>
      <c r="I86" s="50">
        <f t="shared" ref="I86:I96" si="11">H86*F$114</f>
        <v>3565.4604146021429</v>
      </c>
      <c r="J86" s="15"/>
      <c r="K86" s="16">
        <f t="shared" ref="K86:K96" si="12">(H86+I86)-J86</f>
        <v>13995.930014602143</v>
      </c>
    </row>
    <row r="87" spans="1:11" ht="18" customHeight="1">
      <c r="A87" s="5" t="s">
        <v>114</v>
      </c>
      <c r="B87" s="341" t="s">
        <v>14</v>
      </c>
      <c r="F87" s="14">
        <v>324</v>
      </c>
      <c r="G87" s="14">
        <v>0</v>
      </c>
      <c r="H87" s="15">
        <v>51943.68</v>
      </c>
      <c r="I87" s="50">
        <f t="shared" si="11"/>
        <v>17755.972830673036</v>
      </c>
      <c r="J87" s="15"/>
      <c r="K87" s="16">
        <f t="shared" si="12"/>
        <v>69699.652830673032</v>
      </c>
    </row>
    <row r="88" spans="1:11" ht="18" customHeight="1">
      <c r="A88" s="5" t="s">
        <v>115</v>
      </c>
      <c r="B88" s="341" t="s">
        <v>116</v>
      </c>
      <c r="F88" s="14">
        <v>0</v>
      </c>
      <c r="G88" s="14">
        <v>0</v>
      </c>
      <c r="H88" s="15">
        <v>0</v>
      </c>
      <c r="I88" s="50">
        <f t="shared" si="11"/>
        <v>0</v>
      </c>
      <c r="J88" s="15"/>
      <c r="K88" s="16">
        <f t="shared" si="12"/>
        <v>0</v>
      </c>
    </row>
    <row r="89" spans="1:11" ht="18" customHeight="1">
      <c r="A89" s="5" t="s">
        <v>117</v>
      </c>
      <c r="B89" s="341" t="s">
        <v>58</v>
      </c>
      <c r="F89" s="14">
        <v>1872</v>
      </c>
      <c r="G89" s="14">
        <v>0</v>
      </c>
      <c r="H89" s="15">
        <v>77928.452799999999</v>
      </c>
      <c r="I89" s="50">
        <f t="shared" si="11"/>
        <v>26638.380081141459</v>
      </c>
      <c r="J89" s="15"/>
      <c r="K89" s="16">
        <f t="shared" si="12"/>
        <v>104566.83288114145</v>
      </c>
    </row>
    <row r="90" spans="1:11" ht="18" customHeight="1">
      <c r="A90" s="5" t="s">
        <v>118</v>
      </c>
      <c r="B90" s="641" t="s">
        <v>59</v>
      </c>
      <c r="C90" s="649"/>
      <c r="F90" s="14">
        <v>0</v>
      </c>
      <c r="G90" s="14">
        <v>0</v>
      </c>
      <c r="H90" s="15">
        <v>0</v>
      </c>
      <c r="I90" s="50">
        <f t="shared" si="11"/>
        <v>0</v>
      </c>
      <c r="J90" s="15"/>
      <c r="K90" s="16">
        <f t="shared" si="12"/>
        <v>0</v>
      </c>
    </row>
    <row r="91" spans="1:11" ht="18" customHeight="1">
      <c r="A91" s="5" t="s">
        <v>119</v>
      </c>
      <c r="B91" s="341" t="s">
        <v>60</v>
      </c>
      <c r="F91" s="14">
        <v>324</v>
      </c>
      <c r="G91" s="14">
        <v>0</v>
      </c>
      <c r="H91" s="15">
        <v>51943.68</v>
      </c>
      <c r="I91" s="50">
        <f t="shared" si="11"/>
        <v>17755.972830673036</v>
      </c>
      <c r="J91" s="15"/>
      <c r="K91" s="16">
        <f t="shared" si="12"/>
        <v>69699.652830673032</v>
      </c>
    </row>
    <row r="92" spans="1:11" ht="18" customHeight="1">
      <c r="A92" s="5" t="s">
        <v>120</v>
      </c>
      <c r="B92" s="341" t="s">
        <v>121</v>
      </c>
      <c r="F92" s="14">
        <v>0</v>
      </c>
      <c r="G92" s="14">
        <v>0</v>
      </c>
      <c r="H92" s="15">
        <v>0</v>
      </c>
      <c r="I92" s="50">
        <f t="shared" si="11"/>
        <v>0</v>
      </c>
      <c r="J92" s="39"/>
      <c r="K92" s="16">
        <f t="shared" si="12"/>
        <v>0</v>
      </c>
    </row>
    <row r="93" spans="1:11" ht="18" customHeight="1">
      <c r="A93" s="5" t="s">
        <v>122</v>
      </c>
      <c r="B93" s="341" t="s">
        <v>123</v>
      </c>
      <c r="F93" s="14">
        <v>2162</v>
      </c>
      <c r="G93" s="14">
        <v>418</v>
      </c>
      <c r="H93" s="15">
        <v>217447.13961791992</v>
      </c>
      <c r="I93" s="50">
        <f t="shared" si="11"/>
        <v>74330.226567762467</v>
      </c>
      <c r="J93" s="15">
        <v>80000</v>
      </c>
      <c r="K93" s="16">
        <f t="shared" si="12"/>
        <v>211777.36618568236</v>
      </c>
    </row>
    <row r="94" spans="1:11" ht="18" customHeight="1">
      <c r="A94" s="5" t="s">
        <v>124</v>
      </c>
      <c r="B94" s="642"/>
      <c r="C94" s="643"/>
      <c r="D94" s="644"/>
      <c r="F94" s="14">
        <v>0</v>
      </c>
      <c r="G94" s="14">
        <v>0</v>
      </c>
      <c r="H94" s="15">
        <v>0</v>
      </c>
      <c r="I94" s="50">
        <f t="shared" si="11"/>
        <v>0</v>
      </c>
      <c r="J94" s="15"/>
      <c r="K94" s="16">
        <f t="shared" si="12"/>
        <v>0</v>
      </c>
    </row>
    <row r="95" spans="1:11" ht="18" customHeight="1">
      <c r="A95" s="5" t="s">
        <v>125</v>
      </c>
      <c r="B95" s="642"/>
      <c r="C95" s="643"/>
      <c r="D95" s="644"/>
      <c r="F95" s="14">
        <v>0</v>
      </c>
      <c r="G95" s="14">
        <v>0</v>
      </c>
      <c r="H95" s="15">
        <v>0</v>
      </c>
      <c r="I95" s="50">
        <f t="shared" si="11"/>
        <v>0</v>
      </c>
      <c r="J95" s="15"/>
      <c r="K95" s="16">
        <f t="shared" si="12"/>
        <v>0</v>
      </c>
    </row>
    <row r="96" spans="1:11" ht="18" customHeight="1">
      <c r="A96" s="5" t="s">
        <v>126</v>
      </c>
      <c r="B96" s="642"/>
      <c r="C96" s="643"/>
      <c r="D96" s="644"/>
      <c r="F96" s="14">
        <v>0</v>
      </c>
      <c r="G96" s="14">
        <v>0</v>
      </c>
      <c r="H96" s="15">
        <v>0</v>
      </c>
      <c r="I96" s="50">
        <f t="shared" si="11"/>
        <v>0</v>
      </c>
      <c r="J96" s="15"/>
      <c r="K96" s="16">
        <f t="shared" si="12"/>
        <v>0</v>
      </c>
    </row>
    <row r="97" spans="1:11" ht="18" customHeight="1">
      <c r="A97" s="5"/>
      <c r="B97" s="341"/>
    </row>
    <row r="98" spans="1:11" ht="18" customHeight="1">
      <c r="A98" s="6" t="s">
        <v>150</v>
      </c>
      <c r="B98" s="2" t="s">
        <v>151</v>
      </c>
      <c r="E98" s="2" t="s">
        <v>7</v>
      </c>
      <c r="F98" s="18">
        <f t="shared" ref="F98:K98" si="13">SUM(F86:F96)</f>
        <v>4786</v>
      </c>
      <c r="G98" s="18">
        <f t="shared" si="13"/>
        <v>2818</v>
      </c>
      <c r="H98" s="18">
        <f t="shared" si="13"/>
        <v>409693.42201791995</v>
      </c>
      <c r="I98" s="18">
        <f t="shared" si="13"/>
        <v>140046.01272485213</v>
      </c>
      <c r="J98" s="18">
        <f t="shared" si="13"/>
        <v>80000</v>
      </c>
      <c r="K98" s="18">
        <f t="shared" si="13"/>
        <v>469739.43474277202</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1164</v>
      </c>
      <c r="G102" s="14">
        <f>VLOOKUP($A102,'[11]FY14 Summary'!$A$29:$F$46,4,FALSE)</f>
        <v>0</v>
      </c>
      <c r="H102" s="14">
        <v>89950.73</v>
      </c>
      <c r="I102" s="50">
        <f>H102*F$114</f>
        <v>30747.970070260824</v>
      </c>
      <c r="J102" s="15"/>
      <c r="K102" s="16">
        <f>(H102+I102)-J102</f>
        <v>120698.70007026082</v>
      </c>
    </row>
    <row r="103" spans="1:11" ht="18" customHeight="1">
      <c r="A103" s="5" t="s">
        <v>132</v>
      </c>
      <c r="B103" s="641" t="s">
        <v>62</v>
      </c>
      <c r="C103" s="641"/>
      <c r="F103" s="14">
        <f>VLOOKUP(A103,'[11]FY14 Summary'!$A$29:$F$46,2,FALSE)</f>
        <v>0</v>
      </c>
      <c r="G103" s="14">
        <f>VLOOKUP($A103,'[11]FY14 Summary'!$A$29:$F$46,4,FALSE)</f>
        <v>0</v>
      </c>
      <c r="H103" s="14">
        <f>VLOOKUP($A103,'[11]FY14 Summary'!$A$29:$F$46,5,FALSE)+VLOOKUP($A103,'[11]FY14 Summary'!$A$29:$F$46,6,FALSE)</f>
        <v>0</v>
      </c>
      <c r="I103" s="50">
        <f>H103*F$114</f>
        <v>0</v>
      </c>
      <c r="J103" s="15"/>
      <c r="K103" s="16">
        <f>(H103+I103)-J103</f>
        <v>0</v>
      </c>
    </row>
    <row r="104" spans="1:11" ht="18" customHeight="1">
      <c r="A104" s="5" t="s">
        <v>128</v>
      </c>
      <c r="B104" s="642"/>
      <c r="C104" s="643"/>
      <c r="D104" s="644"/>
      <c r="F104" s="14">
        <v>0</v>
      </c>
      <c r="G104" s="14">
        <v>0</v>
      </c>
      <c r="H104" s="14">
        <v>0</v>
      </c>
      <c r="I104" s="50">
        <f>H104*F$114</f>
        <v>0</v>
      </c>
      <c r="J104" s="15"/>
      <c r="K104" s="16">
        <f>(H104+I104)-J104</f>
        <v>0</v>
      </c>
    </row>
    <row r="105" spans="1:11" ht="18" customHeight="1">
      <c r="A105" s="5" t="s">
        <v>127</v>
      </c>
      <c r="B105" s="642"/>
      <c r="C105" s="643"/>
      <c r="D105" s="644"/>
      <c r="F105" s="14">
        <v>0</v>
      </c>
      <c r="G105" s="14">
        <v>0</v>
      </c>
      <c r="H105" s="14">
        <v>0</v>
      </c>
      <c r="I105" s="50">
        <f>H105*F$114</f>
        <v>0</v>
      </c>
      <c r="J105" s="15"/>
      <c r="K105" s="16">
        <f>(H105+I105)-J105</f>
        <v>0</v>
      </c>
    </row>
    <row r="106" spans="1:11" ht="18" customHeight="1">
      <c r="A106" s="5" t="s">
        <v>129</v>
      </c>
      <c r="B106" s="642"/>
      <c r="C106" s="643"/>
      <c r="D106" s="644"/>
      <c r="F106" s="14">
        <v>0</v>
      </c>
      <c r="G106" s="14">
        <v>0</v>
      </c>
      <c r="H106" s="14">
        <v>0</v>
      </c>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4">SUM(F102:F106)</f>
        <v>1164</v>
      </c>
      <c r="G108" s="18">
        <f t="shared" si="14"/>
        <v>0</v>
      </c>
      <c r="H108" s="16">
        <f t="shared" si="14"/>
        <v>89950.73</v>
      </c>
      <c r="I108" s="16">
        <f t="shared" si="14"/>
        <v>30747.970070260824</v>
      </c>
      <c r="J108" s="16">
        <f t="shared" si="14"/>
        <v>0</v>
      </c>
      <c r="K108" s="16">
        <f t="shared" si="14"/>
        <v>120698.70007026082</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55444257.280000001</v>
      </c>
    </row>
    <row r="112" spans="1:11" ht="18" customHeight="1">
      <c r="B112" s="2"/>
      <c r="E112" s="2"/>
      <c r="F112" s="22"/>
    </row>
    <row r="113" spans="1:6" ht="18" customHeight="1">
      <c r="A113" s="6"/>
      <c r="B113" s="2" t="s">
        <v>15</v>
      </c>
    </row>
    <row r="114" spans="1:6" ht="18" customHeight="1">
      <c r="A114" s="5" t="s">
        <v>171</v>
      </c>
      <c r="B114" s="341" t="s">
        <v>35</v>
      </c>
      <c r="F114" s="25">
        <v>0.34183124550807786</v>
      </c>
    </row>
    <row r="115" spans="1:6" ht="18" customHeight="1">
      <c r="A115" s="5"/>
      <c r="B115" s="2"/>
    </row>
    <row r="116" spans="1:6" ht="18" customHeight="1">
      <c r="A116" s="5" t="s">
        <v>170</v>
      </c>
      <c r="B116" s="2" t="s">
        <v>16</v>
      </c>
    </row>
    <row r="117" spans="1:6" ht="18" customHeight="1">
      <c r="A117" s="5" t="s">
        <v>172</v>
      </c>
      <c r="B117" s="341" t="s">
        <v>17</v>
      </c>
      <c r="F117" s="15">
        <f>1271127*1000</f>
        <v>1271127000</v>
      </c>
    </row>
    <row r="118" spans="1:6" ht="18" customHeight="1">
      <c r="A118" s="5" t="s">
        <v>173</v>
      </c>
      <c r="B118" t="s">
        <v>18</v>
      </c>
      <c r="F118" s="15">
        <f>75582*1000</f>
        <v>75582000</v>
      </c>
    </row>
    <row r="119" spans="1:6" ht="18" customHeight="1">
      <c r="A119" s="5" t="s">
        <v>174</v>
      </c>
      <c r="B119" s="2" t="s">
        <v>19</v>
      </c>
      <c r="F119" s="17">
        <f>SUM(F117:F118)</f>
        <v>1346709000</v>
      </c>
    </row>
    <row r="120" spans="1:6" ht="18" customHeight="1">
      <c r="A120" s="5"/>
      <c r="B120" s="2"/>
    </row>
    <row r="121" spans="1:6" ht="18" customHeight="1">
      <c r="A121" s="5" t="s">
        <v>167</v>
      </c>
      <c r="B121" s="2" t="s">
        <v>36</v>
      </c>
      <c r="F121" s="15">
        <v>1305636000</v>
      </c>
    </row>
    <row r="122" spans="1:6" ht="18" customHeight="1">
      <c r="A122" s="5"/>
    </row>
    <row r="123" spans="1:6" ht="18" customHeight="1">
      <c r="A123" s="5" t="s">
        <v>175</v>
      </c>
      <c r="B123" s="2" t="s">
        <v>20</v>
      </c>
      <c r="F123" s="442">
        <f>+F119-F121</f>
        <v>41073000</v>
      </c>
    </row>
    <row r="124" spans="1:6" ht="18" customHeight="1">
      <c r="A124" s="5"/>
    </row>
    <row r="125" spans="1:6" ht="18" customHeight="1">
      <c r="A125" s="5" t="s">
        <v>176</v>
      </c>
      <c r="B125" s="2" t="s">
        <v>21</v>
      </c>
      <c r="F125" s="15">
        <v>153824000</v>
      </c>
    </row>
    <row r="126" spans="1:6" ht="18" customHeight="1">
      <c r="A126" s="5"/>
    </row>
    <row r="127" spans="1:6" ht="18" customHeight="1">
      <c r="A127" s="5" t="s">
        <v>177</v>
      </c>
      <c r="B127" s="2" t="s">
        <v>22</v>
      </c>
      <c r="F127" s="442">
        <f>+F123+F125</f>
        <v>194897000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v>1456</v>
      </c>
      <c r="G131" s="14">
        <v>0</v>
      </c>
      <c r="H131" s="14">
        <v>30885.504000000001</v>
      </c>
      <c r="I131" s="50">
        <v>0</v>
      </c>
      <c r="J131" s="15"/>
      <c r="K131" s="16">
        <f>(H131+I131)-J131</f>
        <v>30885.504000000001</v>
      </c>
    </row>
    <row r="132" spans="1:11" ht="18" customHeight="1">
      <c r="A132" s="5" t="s">
        <v>159</v>
      </c>
      <c r="B132" t="s">
        <v>25</v>
      </c>
      <c r="F132" s="14">
        <v>0</v>
      </c>
      <c r="G132" s="14">
        <v>0</v>
      </c>
      <c r="H132" s="14">
        <v>0</v>
      </c>
      <c r="I132" s="50">
        <v>0</v>
      </c>
      <c r="J132" s="15"/>
      <c r="K132" s="16">
        <f>(H132+I132)-J132</f>
        <v>0</v>
      </c>
    </row>
    <row r="133" spans="1:11" ht="18" customHeight="1">
      <c r="A133" s="5" t="s">
        <v>160</v>
      </c>
      <c r="B133" s="636"/>
      <c r="C133" s="637"/>
      <c r="D133" s="638"/>
      <c r="F133" s="14">
        <v>0</v>
      </c>
      <c r="G133" s="14">
        <v>0</v>
      </c>
      <c r="H133" s="14">
        <v>0</v>
      </c>
      <c r="I133" s="50">
        <v>0</v>
      </c>
      <c r="J133" s="15"/>
      <c r="K133" s="16">
        <f>(H133+I133)-J133</f>
        <v>0</v>
      </c>
    </row>
    <row r="134" spans="1:11" ht="18" customHeight="1">
      <c r="A134" s="5" t="s">
        <v>161</v>
      </c>
      <c r="B134" s="636"/>
      <c r="C134" s="637"/>
      <c r="D134" s="638"/>
      <c r="F134" s="14">
        <v>0</v>
      </c>
      <c r="G134" s="14">
        <v>0</v>
      </c>
      <c r="H134" s="14">
        <v>0</v>
      </c>
      <c r="I134" s="50">
        <v>0</v>
      </c>
      <c r="J134" s="15"/>
      <c r="K134" s="16">
        <f>(H134+I134)-J134</f>
        <v>0</v>
      </c>
    </row>
    <row r="135" spans="1:11" ht="18" customHeight="1">
      <c r="A135" s="5" t="s">
        <v>162</v>
      </c>
      <c r="B135" s="636"/>
      <c r="C135" s="637"/>
      <c r="D135" s="638"/>
      <c r="F135" s="14">
        <v>0</v>
      </c>
      <c r="G135" s="14">
        <v>0</v>
      </c>
      <c r="H135" s="14">
        <v>0</v>
      </c>
      <c r="I135" s="50">
        <v>0</v>
      </c>
      <c r="J135" s="15"/>
      <c r="K135" s="16">
        <f>(H135+I135)-J135</f>
        <v>0</v>
      </c>
    </row>
    <row r="136" spans="1:11" ht="18" customHeight="1">
      <c r="A136" s="6"/>
    </row>
    <row r="137" spans="1:11" ht="18" customHeight="1">
      <c r="A137" s="6" t="s">
        <v>163</v>
      </c>
      <c r="B137" s="2" t="s">
        <v>27</v>
      </c>
      <c r="F137" s="18">
        <f t="shared" ref="F137:K137" si="15">SUM(F131:F135)</f>
        <v>1456</v>
      </c>
      <c r="G137" s="18">
        <f t="shared" si="15"/>
        <v>0</v>
      </c>
      <c r="H137" s="16">
        <f t="shared" si="15"/>
        <v>30885.504000000001</v>
      </c>
      <c r="I137" s="16">
        <f t="shared" si="15"/>
        <v>0</v>
      </c>
      <c r="J137" s="16">
        <f t="shared" si="15"/>
        <v>0</v>
      </c>
      <c r="K137" s="16">
        <f t="shared" si="15"/>
        <v>30885.504000000001</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6">F36</f>
        <v>32847.5</v>
      </c>
      <c r="G141" s="41">
        <f t="shared" si="16"/>
        <v>41517.5</v>
      </c>
      <c r="H141" s="41">
        <f t="shared" si="16"/>
        <v>2158828.7471974157</v>
      </c>
      <c r="I141" s="41">
        <f t="shared" si="16"/>
        <v>737955.11949313583</v>
      </c>
      <c r="J141" s="41">
        <f t="shared" si="16"/>
        <v>345551</v>
      </c>
      <c r="K141" s="41">
        <f t="shared" si="16"/>
        <v>2551232.8666905514</v>
      </c>
    </row>
    <row r="142" spans="1:11" ht="18" customHeight="1">
      <c r="A142" s="5" t="s">
        <v>142</v>
      </c>
      <c r="B142" s="2" t="s">
        <v>65</v>
      </c>
      <c r="F142" s="41">
        <f t="shared" ref="F142:K142" si="17">F49</f>
        <v>2372030.5521633816</v>
      </c>
      <c r="G142" s="41">
        <f t="shared" si="17"/>
        <v>1062</v>
      </c>
      <c r="H142" s="41">
        <f t="shared" si="17"/>
        <v>92905454.845088333</v>
      </c>
      <c r="I142" s="41">
        <f t="shared" si="17"/>
        <v>31757987.344191033</v>
      </c>
      <c r="J142" s="41">
        <f t="shared" si="17"/>
        <v>0</v>
      </c>
      <c r="K142" s="41">
        <f t="shared" si="17"/>
        <v>124663442.18927936</v>
      </c>
    </row>
    <row r="143" spans="1:11" ht="18" customHeight="1">
      <c r="A143" s="5" t="s">
        <v>144</v>
      </c>
      <c r="B143" s="2" t="s">
        <v>66</v>
      </c>
      <c r="F143" s="41">
        <f t="shared" ref="F143:K143" si="18">F64</f>
        <v>324412.98997537605</v>
      </c>
      <c r="G143" s="41">
        <f t="shared" si="18"/>
        <v>45178</v>
      </c>
      <c r="H143" s="41">
        <f t="shared" si="18"/>
        <v>18378572.200000003</v>
      </c>
      <c r="I143" s="41">
        <f t="shared" si="18"/>
        <v>6282370.2257861365</v>
      </c>
      <c r="J143" s="41">
        <f t="shared" si="18"/>
        <v>12551406</v>
      </c>
      <c r="K143" s="41">
        <f t="shared" si="18"/>
        <v>12109536.425786139</v>
      </c>
    </row>
    <row r="144" spans="1:11" ht="18" customHeight="1">
      <c r="A144" s="5" t="s">
        <v>146</v>
      </c>
      <c r="B144" s="2" t="s">
        <v>67</v>
      </c>
      <c r="F144" s="41">
        <f t="shared" ref="F144:K144" si="19">F74</f>
        <v>0</v>
      </c>
      <c r="G144" s="41">
        <f t="shared" si="19"/>
        <v>0</v>
      </c>
      <c r="H144" s="41">
        <f t="shared" si="19"/>
        <v>0</v>
      </c>
      <c r="I144" s="41">
        <f t="shared" si="19"/>
        <v>0</v>
      </c>
      <c r="J144" s="41">
        <f t="shared" si="19"/>
        <v>0</v>
      </c>
      <c r="K144" s="41">
        <f t="shared" si="19"/>
        <v>0</v>
      </c>
    </row>
    <row r="145" spans="1:11" ht="18" customHeight="1">
      <c r="A145" s="5" t="s">
        <v>148</v>
      </c>
      <c r="B145" s="2" t="s">
        <v>68</v>
      </c>
      <c r="F145" s="41">
        <f t="shared" ref="F145:K145" si="20">F82</f>
        <v>520</v>
      </c>
      <c r="G145" s="41">
        <f t="shared" si="20"/>
        <v>2242.5</v>
      </c>
      <c r="H145" s="41">
        <f t="shared" si="20"/>
        <v>361456.10800000001</v>
      </c>
      <c r="I145" s="41">
        <f t="shared" si="20"/>
        <v>0</v>
      </c>
      <c r="J145" s="41">
        <f t="shared" si="20"/>
        <v>0</v>
      </c>
      <c r="K145" s="41">
        <f t="shared" si="20"/>
        <v>361456.10800000001</v>
      </c>
    </row>
    <row r="146" spans="1:11" ht="18" customHeight="1">
      <c r="A146" s="5" t="s">
        <v>150</v>
      </c>
      <c r="B146" s="2" t="s">
        <v>69</v>
      </c>
      <c r="F146" s="41">
        <f t="shared" ref="F146:K146" si="21">F98</f>
        <v>4786</v>
      </c>
      <c r="G146" s="41">
        <f t="shared" si="21"/>
        <v>2818</v>
      </c>
      <c r="H146" s="41">
        <f t="shared" si="21"/>
        <v>409693.42201791995</v>
      </c>
      <c r="I146" s="41">
        <f t="shared" si="21"/>
        <v>140046.01272485213</v>
      </c>
      <c r="J146" s="41">
        <f t="shared" si="21"/>
        <v>80000</v>
      </c>
      <c r="K146" s="41">
        <f t="shared" si="21"/>
        <v>469739.43474277202</v>
      </c>
    </row>
    <row r="147" spans="1:11" ht="18" customHeight="1">
      <c r="A147" s="5" t="s">
        <v>153</v>
      </c>
      <c r="B147" s="2" t="s">
        <v>61</v>
      </c>
      <c r="F147" s="18">
        <f t="shared" ref="F147:K147" si="22">F108</f>
        <v>1164</v>
      </c>
      <c r="G147" s="18">
        <f t="shared" si="22"/>
        <v>0</v>
      </c>
      <c r="H147" s="18">
        <f t="shared" si="22"/>
        <v>89950.73</v>
      </c>
      <c r="I147" s="18">
        <f t="shared" si="22"/>
        <v>30747.970070260824</v>
      </c>
      <c r="J147" s="18">
        <f t="shared" si="22"/>
        <v>0</v>
      </c>
      <c r="K147" s="18">
        <f t="shared" si="22"/>
        <v>120698.70007026082</v>
      </c>
    </row>
    <row r="148" spans="1:11" ht="18" customHeight="1">
      <c r="A148" s="5" t="s">
        <v>155</v>
      </c>
      <c r="B148" s="2" t="s">
        <v>70</v>
      </c>
      <c r="F148" s="42" t="s">
        <v>73</v>
      </c>
      <c r="G148" s="42" t="s">
        <v>73</v>
      </c>
      <c r="H148" s="43" t="s">
        <v>73</v>
      </c>
      <c r="I148" s="43" t="s">
        <v>73</v>
      </c>
      <c r="J148" s="43" t="s">
        <v>73</v>
      </c>
      <c r="K148" s="37">
        <f>F111</f>
        <v>55444257.280000001</v>
      </c>
    </row>
    <row r="149" spans="1:11" ht="18" customHeight="1">
      <c r="A149" s="5" t="s">
        <v>163</v>
      </c>
      <c r="B149" s="2" t="s">
        <v>71</v>
      </c>
      <c r="F149" s="18">
        <f t="shared" ref="F149:K149" si="23">F137</f>
        <v>1456</v>
      </c>
      <c r="G149" s="18">
        <f t="shared" si="23"/>
        <v>0</v>
      </c>
      <c r="H149" s="18">
        <f t="shared" si="23"/>
        <v>30885.504000000001</v>
      </c>
      <c r="I149" s="18">
        <f t="shared" si="23"/>
        <v>0</v>
      </c>
      <c r="J149" s="18">
        <f t="shared" si="23"/>
        <v>0</v>
      </c>
      <c r="K149" s="18">
        <f t="shared" si="23"/>
        <v>30885.504000000001</v>
      </c>
    </row>
    <row r="150" spans="1:11" ht="18" customHeight="1">
      <c r="A150" s="5" t="s">
        <v>185</v>
      </c>
      <c r="B150" s="2" t="s">
        <v>186</v>
      </c>
      <c r="F150" s="42" t="s">
        <v>73</v>
      </c>
      <c r="G150" s="42" t="s">
        <v>73</v>
      </c>
      <c r="H150" s="18">
        <f>H18</f>
        <v>39507812.438105159</v>
      </c>
      <c r="I150" s="18">
        <f>I18</f>
        <v>0</v>
      </c>
      <c r="J150" s="18">
        <f>J18</f>
        <v>33784119.415984504</v>
      </c>
      <c r="K150" s="18">
        <f>K18</f>
        <v>5723693.0221206546</v>
      </c>
    </row>
    <row r="151" spans="1:11" ht="18" customHeight="1">
      <c r="B151" s="2"/>
      <c r="F151" s="48"/>
      <c r="G151" s="48"/>
      <c r="H151" s="48"/>
      <c r="I151" s="48"/>
      <c r="J151" s="48"/>
      <c r="K151" s="48"/>
    </row>
    <row r="152" spans="1:11" ht="18" customHeight="1">
      <c r="A152" s="6" t="s">
        <v>165</v>
      </c>
      <c r="B152" s="2" t="s">
        <v>26</v>
      </c>
      <c r="F152" s="49">
        <f t="shared" ref="F152:K152" si="24">SUM(F141:F150)</f>
        <v>2737217.0421387576</v>
      </c>
      <c r="G152" s="49">
        <f t="shared" si="24"/>
        <v>92818</v>
      </c>
      <c r="H152" s="49">
        <f t="shared" si="24"/>
        <v>153842653.99440882</v>
      </c>
      <c r="I152" s="49">
        <f t="shared" si="24"/>
        <v>38949106.672265418</v>
      </c>
      <c r="J152" s="49">
        <f t="shared" si="24"/>
        <v>46761076.415984504</v>
      </c>
      <c r="K152" s="49">
        <f t="shared" si="24"/>
        <v>201474941.53068978</v>
      </c>
    </row>
    <row r="154" spans="1:11" ht="18" customHeight="1">
      <c r="A154" s="6" t="s">
        <v>168</v>
      </c>
      <c r="B154" s="2" t="s">
        <v>28</v>
      </c>
      <c r="F154" s="64">
        <f>K152/F121</f>
        <v>0.15431172358198592</v>
      </c>
    </row>
    <row r="155" spans="1:11" ht="18" customHeight="1">
      <c r="A155" s="6" t="s">
        <v>169</v>
      </c>
      <c r="B155" s="2" t="s">
        <v>72</v>
      </c>
      <c r="F155" s="64">
        <f>K152/F127</f>
        <v>1.0337508608685089</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zoomScale="70" zoomScaleNormal="50" zoomScaleSheetLayoutView="70" workbookViewId="0">
      <selection activeCell="K64" sqref="K64"/>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736</v>
      </c>
      <c r="D5" s="654"/>
      <c r="E5" s="654"/>
      <c r="F5" s="654"/>
      <c r="G5" s="655"/>
    </row>
    <row r="6" spans="1:11" ht="18" customHeight="1">
      <c r="B6" s="5" t="s">
        <v>3</v>
      </c>
      <c r="C6" s="671" t="s">
        <v>737</v>
      </c>
      <c r="D6" s="657"/>
      <c r="E6" s="657"/>
      <c r="F6" s="657"/>
      <c r="G6" s="658"/>
    </row>
    <row r="7" spans="1:11" ht="18" customHeight="1">
      <c r="B7" s="5" t="s">
        <v>4</v>
      </c>
      <c r="C7" s="659">
        <v>1678</v>
      </c>
      <c r="D7" s="660"/>
      <c r="E7" s="660"/>
      <c r="F7" s="660"/>
      <c r="G7" s="661"/>
    </row>
    <row r="9" spans="1:11" ht="18" customHeight="1">
      <c r="B9" s="5" t="s">
        <v>1</v>
      </c>
      <c r="C9" s="670" t="s">
        <v>603</v>
      </c>
      <c r="D9" s="654"/>
      <c r="E9" s="654"/>
      <c r="F9" s="654"/>
      <c r="G9" s="655"/>
    </row>
    <row r="10" spans="1:11" ht="18" customHeight="1">
      <c r="B10" s="5" t="s">
        <v>2</v>
      </c>
      <c r="C10" s="674" t="s">
        <v>604</v>
      </c>
      <c r="D10" s="663"/>
      <c r="E10" s="663"/>
      <c r="F10" s="663"/>
      <c r="G10" s="664"/>
    </row>
    <row r="11" spans="1:11" ht="18" customHeight="1">
      <c r="B11" s="5" t="s">
        <v>32</v>
      </c>
      <c r="C11" s="670" t="s">
        <v>605</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6741637</v>
      </c>
      <c r="I18" s="50">
        <v>0</v>
      </c>
      <c r="J18" s="15">
        <v>5764943</v>
      </c>
      <c r="K18" s="16">
        <f>(H18+I18)-J18</f>
        <v>976694</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24</v>
      </c>
      <c r="G21" s="14"/>
      <c r="H21" s="15"/>
      <c r="I21" s="50">
        <f t="shared" ref="I21:I34" si="0">H21*F$114</f>
        <v>0</v>
      </c>
      <c r="J21" s="15"/>
      <c r="K21" s="16">
        <f t="shared" ref="K21:K34" si="1">(H21+I21)-J21</f>
        <v>0</v>
      </c>
    </row>
    <row r="22" spans="1:11" ht="18" customHeight="1">
      <c r="A22" s="5" t="s">
        <v>76</v>
      </c>
      <c r="B22" t="s">
        <v>6</v>
      </c>
      <c r="F22" s="14"/>
      <c r="G22" s="14"/>
      <c r="H22" s="15"/>
      <c r="I22" s="50">
        <f t="shared" si="0"/>
        <v>0</v>
      </c>
      <c r="J22" s="15"/>
      <c r="K22" s="16">
        <f t="shared" si="1"/>
        <v>0</v>
      </c>
    </row>
    <row r="23" spans="1:11" ht="18" customHeight="1">
      <c r="A23" s="5" t="s">
        <v>77</v>
      </c>
      <c r="B23" t="s">
        <v>43</v>
      </c>
      <c r="F23" s="14"/>
      <c r="G23" s="14"/>
      <c r="H23" s="15"/>
      <c r="I23" s="50">
        <f t="shared" si="0"/>
        <v>0</v>
      </c>
      <c r="J23" s="15"/>
      <c r="K23" s="16">
        <f t="shared" si="1"/>
        <v>0</v>
      </c>
    </row>
    <row r="24" spans="1:11" ht="18" customHeight="1">
      <c r="A24" s="5" t="s">
        <v>78</v>
      </c>
      <c r="B24" t="s">
        <v>44</v>
      </c>
      <c r="F24" s="14"/>
      <c r="G24" s="14"/>
      <c r="H24" s="15"/>
      <c r="I24" s="50">
        <f t="shared" si="0"/>
        <v>0</v>
      </c>
      <c r="J24" s="15"/>
      <c r="K24" s="16">
        <f t="shared" si="1"/>
        <v>0</v>
      </c>
    </row>
    <row r="25" spans="1:11" ht="18" customHeight="1">
      <c r="A25" s="5" t="s">
        <v>79</v>
      </c>
      <c r="B25" t="s">
        <v>5</v>
      </c>
      <c r="F25" s="14">
        <v>132</v>
      </c>
      <c r="G25" s="14"/>
      <c r="H25" s="15">
        <v>462.5</v>
      </c>
      <c r="I25" s="50">
        <f t="shared" si="0"/>
        <v>299.12187500000005</v>
      </c>
      <c r="J25" s="15"/>
      <c r="K25" s="16">
        <f t="shared" si="1"/>
        <v>761.62187500000005</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c r="G29" s="14"/>
      <c r="H29" s="15"/>
      <c r="I29" s="50">
        <f t="shared" si="0"/>
        <v>0</v>
      </c>
      <c r="J29" s="15"/>
      <c r="K29" s="16">
        <f t="shared" si="1"/>
        <v>0</v>
      </c>
    </row>
    <row r="30" spans="1:11" ht="18" customHeight="1">
      <c r="A30" s="5" t="s">
        <v>84</v>
      </c>
      <c r="B30" s="636" t="s">
        <v>738</v>
      </c>
      <c r="C30" s="637"/>
      <c r="D30" s="638"/>
      <c r="F30" s="14"/>
      <c r="G30" s="14"/>
      <c r="H30" s="15"/>
      <c r="I30" s="50">
        <f t="shared" si="0"/>
        <v>0</v>
      </c>
      <c r="J30" s="15"/>
      <c r="K30" s="16">
        <f t="shared" si="1"/>
        <v>0</v>
      </c>
    </row>
    <row r="31" spans="1:11" ht="18" customHeight="1">
      <c r="A31" s="5" t="s">
        <v>133</v>
      </c>
      <c r="B31" s="636" t="s">
        <v>739</v>
      </c>
      <c r="C31" s="637"/>
      <c r="D31" s="638"/>
      <c r="F31" s="14"/>
      <c r="G31" s="14"/>
      <c r="H31" s="15"/>
      <c r="I31" s="50">
        <f t="shared" si="0"/>
        <v>0</v>
      </c>
      <c r="J31" s="15"/>
      <c r="K31" s="16">
        <f t="shared" si="1"/>
        <v>0</v>
      </c>
    </row>
    <row r="32" spans="1:11" ht="18" customHeight="1">
      <c r="A32" s="5" t="s">
        <v>134</v>
      </c>
      <c r="B32" s="363" t="s">
        <v>740</v>
      </c>
      <c r="C32" s="364"/>
      <c r="D32" s="365"/>
      <c r="F32" s="14"/>
      <c r="G32" s="342" t="s">
        <v>85</v>
      </c>
      <c r="H32" s="15"/>
      <c r="I32" s="50">
        <f t="shared" si="0"/>
        <v>0</v>
      </c>
      <c r="J32" s="15"/>
      <c r="K32" s="16">
        <f t="shared" si="1"/>
        <v>0</v>
      </c>
    </row>
    <row r="33" spans="1:11" ht="18" customHeight="1">
      <c r="A33" s="5" t="s">
        <v>135</v>
      </c>
      <c r="B33" s="363"/>
      <c r="C33" s="364"/>
      <c r="D33" s="365"/>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156</v>
      </c>
      <c r="G36" s="18">
        <f t="shared" si="2"/>
        <v>0</v>
      </c>
      <c r="H36" s="18">
        <f t="shared" si="2"/>
        <v>462.5</v>
      </c>
      <c r="I36" s="16">
        <f t="shared" si="2"/>
        <v>299.12187500000005</v>
      </c>
      <c r="J36" s="16">
        <f t="shared" si="2"/>
        <v>0</v>
      </c>
      <c r="K36" s="16">
        <f t="shared" si="2"/>
        <v>761.62187500000005</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6760</v>
      </c>
      <c r="G40" s="14"/>
      <c r="H40" s="15">
        <v>327250</v>
      </c>
      <c r="I40" s="50">
        <f>+H40*F$114</f>
        <v>211648.93750000003</v>
      </c>
      <c r="J40" s="15"/>
      <c r="K40" s="16">
        <f t="shared" ref="K40:K47" si="3">(H40+I40)-J40</f>
        <v>538898.9375</v>
      </c>
    </row>
    <row r="41" spans="1:11" ht="18" customHeight="1">
      <c r="A41" s="5" t="s">
        <v>88</v>
      </c>
      <c r="B41" s="641" t="s">
        <v>50</v>
      </c>
      <c r="C41" s="649"/>
      <c r="F41" s="14">
        <v>250</v>
      </c>
      <c r="G41" s="14"/>
      <c r="H41" s="15">
        <v>277851</v>
      </c>
      <c r="I41" s="50">
        <f>+H41*F$114</f>
        <v>179700.13425</v>
      </c>
      <c r="J41" s="15"/>
      <c r="K41" s="16">
        <f t="shared" si="3"/>
        <v>457551.13425</v>
      </c>
    </row>
    <row r="42" spans="1:11" ht="18" customHeight="1">
      <c r="A42" s="5" t="s">
        <v>89</v>
      </c>
      <c r="B42" s="341" t="s">
        <v>11</v>
      </c>
      <c r="F42" s="14">
        <v>80</v>
      </c>
      <c r="G42" s="14"/>
      <c r="H42" s="15"/>
      <c r="I42" s="50">
        <v>0</v>
      </c>
      <c r="J42" s="15"/>
      <c r="K42" s="16">
        <f t="shared" si="3"/>
        <v>0</v>
      </c>
    </row>
    <row r="43" spans="1:11" ht="18" customHeight="1">
      <c r="A43" s="5" t="s">
        <v>90</v>
      </c>
      <c r="B43" s="343" t="s">
        <v>10</v>
      </c>
      <c r="C43" s="10"/>
      <c r="D43" s="10"/>
      <c r="F43" s="14"/>
      <c r="G43" s="14"/>
      <c r="H43" s="15"/>
      <c r="I43" s="50">
        <v>0</v>
      </c>
      <c r="J43" s="15"/>
      <c r="K43" s="16">
        <f t="shared" si="3"/>
        <v>0</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7090</v>
      </c>
      <c r="G49" s="23">
        <f t="shared" si="4"/>
        <v>0</v>
      </c>
      <c r="H49" s="16">
        <f t="shared" si="4"/>
        <v>605101</v>
      </c>
      <c r="I49" s="16">
        <f t="shared" si="4"/>
        <v>391349.07175</v>
      </c>
      <c r="J49" s="16">
        <f t="shared" si="4"/>
        <v>0</v>
      </c>
      <c r="K49" s="16">
        <f t="shared" si="4"/>
        <v>996450.07175</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47"/>
      <c r="C53" s="648"/>
      <c r="D53" s="644"/>
      <c r="F53" s="14"/>
      <c r="G53" s="14"/>
      <c r="H53" s="15"/>
      <c r="I53" s="50">
        <f>+H53*F$114</f>
        <v>0</v>
      </c>
      <c r="J53" s="15"/>
      <c r="K53" s="16">
        <f t="shared" ref="K53:K62" si="5">(H53+I53)-J53</f>
        <v>0</v>
      </c>
    </row>
    <row r="54" spans="1:11" ht="18" customHeight="1">
      <c r="A54" s="5" t="s">
        <v>93</v>
      </c>
      <c r="B54" s="647" t="s">
        <v>741</v>
      </c>
      <c r="C54" s="648"/>
      <c r="D54" s="644"/>
      <c r="F54" s="14">
        <v>17058</v>
      </c>
      <c r="G54" s="342">
        <v>11155</v>
      </c>
      <c r="H54" s="15">
        <v>4674670</v>
      </c>
      <c r="I54" s="50">
        <f t="shared" ref="I54:I62" si="6">+H54*F$114</f>
        <v>3023342.8225000002</v>
      </c>
      <c r="J54" s="15">
        <v>1187386</v>
      </c>
      <c r="K54" s="16">
        <f t="shared" si="5"/>
        <v>6510626.8224999998</v>
      </c>
    </row>
    <row r="55" spans="1:11" ht="18" customHeight="1">
      <c r="A55" s="5" t="s">
        <v>94</v>
      </c>
      <c r="B55" s="647" t="s">
        <v>607</v>
      </c>
      <c r="C55" s="648"/>
      <c r="D55" s="644"/>
      <c r="F55" s="14">
        <v>28496</v>
      </c>
      <c r="G55" s="14">
        <v>6827</v>
      </c>
      <c r="H55" s="15">
        <v>4323271</v>
      </c>
      <c r="I55" s="50">
        <f t="shared" si="6"/>
        <v>2796075.5192500004</v>
      </c>
      <c r="J55" s="15">
        <v>2262428</v>
      </c>
      <c r="K55" s="16">
        <f t="shared" si="5"/>
        <v>4856918.5192499999</v>
      </c>
    </row>
    <row r="56" spans="1:11" ht="18" customHeight="1">
      <c r="A56" s="5" t="s">
        <v>95</v>
      </c>
      <c r="B56" s="647" t="s">
        <v>606</v>
      </c>
      <c r="C56" s="648"/>
      <c r="D56" s="644"/>
      <c r="F56" s="14"/>
      <c r="G56" s="14">
        <v>3298</v>
      </c>
      <c r="H56" s="15">
        <v>4674915</v>
      </c>
      <c r="I56" s="50">
        <f t="shared" si="6"/>
        <v>3023501.2762500001</v>
      </c>
      <c r="J56" s="15">
        <v>2144754</v>
      </c>
      <c r="K56" s="16">
        <f t="shared" si="5"/>
        <v>5553662.2762500001</v>
      </c>
    </row>
    <row r="57" spans="1:11" ht="18" customHeight="1">
      <c r="A57" s="5" t="s">
        <v>96</v>
      </c>
      <c r="B57" s="647" t="s">
        <v>742</v>
      </c>
      <c r="C57" s="648"/>
      <c r="D57" s="644"/>
      <c r="F57" s="14">
        <v>17520</v>
      </c>
      <c r="G57" s="14"/>
      <c r="H57" s="15">
        <v>1247083</v>
      </c>
      <c r="I57" s="50">
        <f t="shared" si="6"/>
        <v>806550.93025000009</v>
      </c>
      <c r="J57" s="15">
        <v>131544</v>
      </c>
      <c r="K57" s="16">
        <f t="shared" si="5"/>
        <v>1922089.9302500002</v>
      </c>
    </row>
    <row r="58" spans="1:11" ht="18" customHeight="1">
      <c r="A58" s="5" t="s">
        <v>97</v>
      </c>
      <c r="B58" s="647" t="s">
        <v>743</v>
      </c>
      <c r="C58" s="648"/>
      <c r="D58" s="644"/>
      <c r="F58" s="14">
        <v>12480</v>
      </c>
      <c r="G58" s="14">
        <v>12303</v>
      </c>
      <c r="H58" s="15">
        <f>1976503-327250</f>
        <v>1649253</v>
      </c>
      <c r="I58" s="50">
        <f t="shared" si="6"/>
        <v>1066654.37775</v>
      </c>
      <c r="J58" s="15">
        <v>530733</v>
      </c>
      <c r="K58" s="16">
        <f t="shared" si="5"/>
        <v>2185174.37775</v>
      </c>
    </row>
    <row r="59" spans="1:11" ht="18" customHeight="1">
      <c r="A59" s="5" t="s">
        <v>98</v>
      </c>
      <c r="B59" s="647" t="s">
        <v>744</v>
      </c>
      <c r="C59" s="648"/>
      <c r="D59" s="644"/>
      <c r="F59" s="14"/>
      <c r="G59" s="14"/>
      <c r="H59" s="15">
        <v>6795221</v>
      </c>
      <c r="I59" s="50">
        <f t="shared" si="6"/>
        <v>4394809.1817500005</v>
      </c>
      <c r="J59" s="15">
        <v>810983</v>
      </c>
      <c r="K59" s="16">
        <f t="shared" si="5"/>
        <v>10379047.18175</v>
      </c>
    </row>
    <row r="60" spans="1:11" ht="18" customHeight="1">
      <c r="A60" s="5" t="s">
        <v>99</v>
      </c>
      <c r="B60" s="647" t="s">
        <v>609</v>
      </c>
      <c r="C60" s="648"/>
      <c r="D60" s="644"/>
      <c r="F60" s="14">
        <v>5876</v>
      </c>
      <c r="G60" s="14"/>
      <c r="H60" s="15">
        <v>849998</v>
      </c>
      <c r="I60" s="50">
        <f t="shared" si="6"/>
        <v>549736.20650000009</v>
      </c>
      <c r="J60" s="15"/>
      <c r="K60" s="16">
        <f t="shared" si="5"/>
        <v>1399734.2065000001</v>
      </c>
    </row>
    <row r="61" spans="1:11" ht="18" customHeight="1">
      <c r="A61" s="5" t="s">
        <v>100</v>
      </c>
      <c r="B61" s="647" t="s">
        <v>725</v>
      </c>
      <c r="C61" s="648"/>
      <c r="D61" s="644"/>
      <c r="F61" s="14">
        <v>18200</v>
      </c>
      <c r="G61" s="14"/>
      <c r="H61" s="15">
        <v>794052</v>
      </c>
      <c r="I61" s="50">
        <f t="shared" si="6"/>
        <v>513553.13100000005</v>
      </c>
      <c r="J61" s="15"/>
      <c r="K61" s="16">
        <f t="shared" si="5"/>
        <v>1307605.1310000001</v>
      </c>
    </row>
    <row r="62" spans="1:11" ht="18" customHeight="1">
      <c r="A62" s="5" t="s">
        <v>101</v>
      </c>
      <c r="B62" s="650" t="s">
        <v>367</v>
      </c>
      <c r="C62" s="643"/>
      <c r="D62" s="644"/>
      <c r="F62" s="14"/>
      <c r="G62" s="342"/>
      <c r="H62" s="15">
        <v>4719987</v>
      </c>
      <c r="I62" s="50">
        <f t="shared" si="6"/>
        <v>3052651.5922500002</v>
      </c>
      <c r="J62" s="15">
        <v>145572</v>
      </c>
      <c r="K62" s="16">
        <f t="shared" si="5"/>
        <v>7627066.5922500007</v>
      </c>
    </row>
    <row r="63" spans="1:11" ht="18" customHeight="1">
      <c r="A63" s="5"/>
      <c r="I63" s="46"/>
    </row>
    <row r="64" spans="1:11" ht="18" customHeight="1">
      <c r="A64" s="5" t="s">
        <v>144</v>
      </c>
      <c r="B64" s="2" t="s">
        <v>145</v>
      </c>
      <c r="E64" s="2" t="s">
        <v>7</v>
      </c>
      <c r="F64" s="18">
        <f t="shared" ref="F64:K64" si="7">SUM(F53:F62)</f>
        <v>99630</v>
      </c>
      <c r="G64" s="18">
        <f t="shared" si="7"/>
        <v>33583</v>
      </c>
      <c r="H64" s="16">
        <f t="shared" si="7"/>
        <v>29728450</v>
      </c>
      <c r="I64" s="16">
        <f t="shared" si="7"/>
        <v>19226875.037500001</v>
      </c>
      <c r="J64" s="16">
        <f t="shared" si="7"/>
        <v>7213400</v>
      </c>
      <c r="K64" s="16">
        <f t="shared" si="7"/>
        <v>41741925.037499994</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8">SUM(F68:F72)</f>
        <v>0</v>
      </c>
      <c r="G74" s="21">
        <f t="shared" si="8"/>
        <v>0</v>
      </c>
      <c r="H74" s="21">
        <f t="shared" si="8"/>
        <v>0</v>
      </c>
      <c r="I74" s="53">
        <f t="shared" si="8"/>
        <v>0</v>
      </c>
      <c r="J74" s="21">
        <f t="shared" si="8"/>
        <v>0</v>
      </c>
      <c r="K74" s="17">
        <f t="shared" si="8"/>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c r="I77" s="50">
        <v>0</v>
      </c>
      <c r="J77" s="15"/>
      <c r="K77" s="16">
        <f>(H77+I77)-J77</f>
        <v>0</v>
      </c>
    </row>
    <row r="78" spans="1:11" ht="18" customHeight="1">
      <c r="A78" s="5" t="s">
        <v>108</v>
      </c>
      <c r="B78" s="341" t="s">
        <v>55</v>
      </c>
      <c r="F78" s="14"/>
      <c r="G78" s="14"/>
      <c r="H78" s="15">
        <v>130000</v>
      </c>
      <c r="I78" s="50">
        <v>0</v>
      </c>
      <c r="J78" s="15"/>
      <c r="K78" s="16">
        <f>(H78+I78)-J78</f>
        <v>130000</v>
      </c>
    </row>
    <row r="79" spans="1:11" ht="18" customHeight="1">
      <c r="A79" s="5" t="s">
        <v>109</v>
      </c>
      <c r="B79" s="341" t="s">
        <v>13</v>
      </c>
      <c r="F79" s="14"/>
      <c r="G79" s="14"/>
      <c r="H79" s="15"/>
      <c r="I79" s="50">
        <v>0</v>
      </c>
      <c r="J79" s="15"/>
      <c r="K79" s="16">
        <f>(H79+I79)-J79</f>
        <v>0</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9">SUM(F77:F80)</f>
        <v>0</v>
      </c>
      <c r="G82" s="21">
        <f t="shared" si="9"/>
        <v>0</v>
      </c>
      <c r="H82" s="17">
        <f t="shared" si="9"/>
        <v>130000</v>
      </c>
      <c r="I82" s="17">
        <f t="shared" si="9"/>
        <v>0</v>
      </c>
      <c r="J82" s="17">
        <f t="shared" si="9"/>
        <v>0</v>
      </c>
      <c r="K82" s="17">
        <f t="shared" si="9"/>
        <v>130000</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0">H86*F$114</f>
        <v>0</v>
      </c>
      <c r="J86" s="15"/>
      <c r="K86" s="16">
        <f t="shared" ref="K86:K96" si="11">(H86+I86)-J86</f>
        <v>0</v>
      </c>
    </row>
    <row r="87" spans="1:11" ht="18" customHeight="1">
      <c r="A87" s="5" t="s">
        <v>114</v>
      </c>
      <c r="B87" s="341" t="s">
        <v>14</v>
      </c>
      <c r="F87" s="14"/>
      <c r="G87" s="14"/>
      <c r="H87" s="15"/>
      <c r="I87" s="50">
        <f t="shared" si="10"/>
        <v>0</v>
      </c>
      <c r="J87" s="15"/>
      <c r="K87" s="16">
        <f t="shared" si="11"/>
        <v>0</v>
      </c>
    </row>
    <row r="88" spans="1:11" ht="18" customHeight="1">
      <c r="A88" s="5" t="s">
        <v>115</v>
      </c>
      <c r="B88" s="341" t="s">
        <v>116</v>
      </c>
      <c r="F88" s="14"/>
      <c r="G88" s="14"/>
      <c r="H88" s="15"/>
      <c r="I88" s="50">
        <f t="shared" si="10"/>
        <v>0</v>
      </c>
      <c r="J88" s="15"/>
      <c r="K88" s="16">
        <f t="shared" si="11"/>
        <v>0</v>
      </c>
    </row>
    <row r="89" spans="1:11" ht="18" customHeight="1">
      <c r="A89" s="5" t="s">
        <v>117</v>
      </c>
      <c r="B89" s="341" t="s">
        <v>58</v>
      </c>
      <c r="F89" s="14"/>
      <c r="G89" s="14"/>
      <c r="H89" s="15"/>
      <c r="I89" s="50">
        <f t="shared" si="10"/>
        <v>0</v>
      </c>
      <c r="J89" s="15"/>
      <c r="K89" s="16">
        <f t="shared" si="11"/>
        <v>0</v>
      </c>
    </row>
    <row r="90" spans="1:11" ht="18" customHeight="1">
      <c r="A90" s="5" t="s">
        <v>118</v>
      </c>
      <c r="B90" s="641" t="s">
        <v>59</v>
      </c>
      <c r="C90" s="649"/>
      <c r="F90" s="14"/>
      <c r="G90" s="14"/>
      <c r="H90" s="15"/>
      <c r="I90" s="50">
        <f t="shared" si="10"/>
        <v>0</v>
      </c>
      <c r="J90" s="15"/>
      <c r="K90" s="16">
        <f t="shared" si="11"/>
        <v>0</v>
      </c>
    </row>
    <row r="91" spans="1:11" ht="18" customHeight="1">
      <c r="A91" s="5" t="s">
        <v>119</v>
      </c>
      <c r="B91" s="341" t="s">
        <v>60</v>
      </c>
      <c r="F91" s="14"/>
      <c r="G91" s="14"/>
      <c r="H91" s="15"/>
      <c r="I91" s="50">
        <f t="shared" si="10"/>
        <v>0</v>
      </c>
      <c r="J91" s="15"/>
      <c r="K91" s="16">
        <f t="shared" si="11"/>
        <v>0</v>
      </c>
    </row>
    <row r="92" spans="1:11" ht="18" customHeight="1">
      <c r="A92" s="5" t="s">
        <v>120</v>
      </c>
      <c r="B92" s="341" t="s">
        <v>121</v>
      </c>
      <c r="F92" s="38"/>
      <c r="G92" s="38"/>
      <c r="H92" s="39"/>
      <c r="I92" s="50">
        <f t="shared" si="10"/>
        <v>0</v>
      </c>
      <c r="J92" s="39"/>
      <c r="K92" s="16">
        <f t="shared" si="11"/>
        <v>0</v>
      </c>
    </row>
    <row r="93" spans="1:11" ht="18" customHeight="1">
      <c r="A93" s="5" t="s">
        <v>122</v>
      </c>
      <c r="B93" s="341" t="s">
        <v>123</v>
      </c>
      <c r="F93" s="14"/>
      <c r="G93" s="14"/>
      <c r="H93" s="15"/>
      <c r="I93" s="50">
        <f t="shared" si="10"/>
        <v>0</v>
      </c>
      <c r="J93" s="15"/>
      <c r="K93" s="16">
        <f t="shared" si="11"/>
        <v>0</v>
      </c>
    </row>
    <row r="94" spans="1:11" ht="18" customHeight="1">
      <c r="A94" s="5" t="s">
        <v>124</v>
      </c>
      <c r="B94" s="642"/>
      <c r="C94" s="643"/>
      <c r="D94" s="644"/>
      <c r="F94" s="14"/>
      <c r="G94" s="14"/>
      <c r="H94" s="15"/>
      <c r="I94" s="50">
        <f t="shared" si="10"/>
        <v>0</v>
      </c>
      <c r="J94" s="15"/>
      <c r="K94" s="16">
        <f t="shared" si="11"/>
        <v>0</v>
      </c>
    </row>
    <row r="95" spans="1:11" ht="18" customHeight="1">
      <c r="A95" s="5" t="s">
        <v>125</v>
      </c>
      <c r="B95" s="642"/>
      <c r="C95" s="643"/>
      <c r="D95" s="644"/>
      <c r="F95" s="14"/>
      <c r="G95" s="14"/>
      <c r="H95" s="15"/>
      <c r="I95" s="50">
        <f t="shared" si="10"/>
        <v>0</v>
      </c>
      <c r="J95" s="15"/>
      <c r="K95" s="16">
        <f t="shared" si="11"/>
        <v>0</v>
      </c>
    </row>
    <row r="96" spans="1:11" ht="18" customHeight="1">
      <c r="A96" s="5" t="s">
        <v>126</v>
      </c>
      <c r="B96" s="642"/>
      <c r="C96" s="643"/>
      <c r="D96" s="644"/>
      <c r="F96" s="14"/>
      <c r="G96" s="14"/>
      <c r="H96" s="15"/>
      <c r="I96" s="50">
        <f t="shared" si="10"/>
        <v>0</v>
      </c>
      <c r="J96" s="15"/>
      <c r="K96" s="16">
        <f t="shared" si="11"/>
        <v>0</v>
      </c>
    </row>
    <row r="97" spans="1:11" ht="18" customHeight="1">
      <c r="A97" s="5"/>
      <c r="B97" s="341"/>
    </row>
    <row r="98" spans="1:11" ht="18" customHeight="1">
      <c r="A98" s="6" t="s">
        <v>150</v>
      </c>
      <c r="B98" s="2" t="s">
        <v>151</v>
      </c>
      <c r="E98" s="2" t="s">
        <v>7</v>
      </c>
      <c r="F98" s="18">
        <f t="shared" ref="F98:K98" si="12">SUM(F86:F96)</f>
        <v>0</v>
      </c>
      <c r="G98" s="18">
        <f t="shared" si="12"/>
        <v>0</v>
      </c>
      <c r="H98" s="18">
        <f t="shared" si="12"/>
        <v>0</v>
      </c>
      <c r="I98" s="18">
        <f t="shared" si="12"/>
        <v>0</v>
      </c>
      <c r="J98" s="18">
        <f t="shared" si="12"/>
        <v>0</v>
      </c>
      <c r="K98" s="18">
        <f t="shared" si="12"/>
        <v>0</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160</v>
      </c>
      <c r="G102" s="14"/>
      <c r="H102" s="15">
        <f>160*50</f>
        <v>8000</v>
      </c>
      <c r="I102" s="50">
        <f>H102*F$114</f>
        <v>5174</v>
      </c>
      <c r="J102" s="15"/>
      <c r="K102" s="16">
        <f>(H102+I102)-J102</f>
        <v>13174</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3">SUM(F102:F106)</f>
        <v>160</v>
      </c>
      <c r="G108" s="18">
        <f t="shared" si="13"/>
        <v>0</v>
      </c>
      <c r="H108" s="16">
        <f t="shared" si="13"/>
        <v>8000</v>
      </c>
      <c r="I108" s="16">
        <f t="shared" si="13"/>
        <v>5174</v>
      </c>
      <c r="J108" s="16">
        <f t="shared" si="13"/>
        <v>0</v>
      </c>
      <c r="K108" s="16">
        <f t="shared" si="13"/>
        <v>13174</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15861400</v>
      </c>
    </row>
    <row r="112" spans="1:11" ht="18" customHeight="1">
      <c r="B112" s="2"/>
      <c r="E112" s="2"/>
      <c r="F112" s="22"/>
    </row>
    <row r="113" spans="1:6" ht="18" customHeight="1">
      <c r="A113" s="6"/>
      <c r="B113" s="2" t="s">
        <v>15</v>
      </c>
    </row>
    <row r="114" spans="1:6" ht="18" customHeight="1">
      <c r="A114" s="5" t="s">
        <v>171</v>
      </c>
      <c r="B114" s="341" t="s">
        <v>35</v>
      </c>
      <c r="F114" s="25">
        <v>0.64675000000000005</v>
      </c>
    </row>
    <row r="115" spans="1:6" ht="18" customHeight="1">
      <c r="A115" s="5"/>
      <c r="B115" s="2"/>
    </row>
    <row r="116" spans="1:6" ht="18" customHeight="1">
      <c r="A116" s="5" t="s">
        <v>170</v>
      </c>
      <c r="B116" s="2" t="s">
        <v>16</v>
      </c>
    </row>
    <row r="117" spans="1:6" ht="18" customHeight="1">
      <c r="A117" s="5" t="s">
        <v>172</v>
      </c>
      <c r="B117" s="341" t="s">
        <v>17</v>
      </c>
      <c r="F117" s="15">
        <v>218330100</v>
      </c>
    </row>
    <row r="118" spans="1:6" ht="18" customHeight="1">
      <c r="A118" s="5" t="s">
        <v>173</v>
      </c>
      <c r="B118" t="s">
        <v>18</v>
      </c>
      <c r="F118" s="15">
        <v>3683700</v>
      </c>
    </row>
    <row r="119" spans="1:6" ht="18" customHeight="1">
      <c r="A119" s="5" t="s">
        <v>174</v>
      </c>
      <c r="B119" s="2" t="s">
        <v>19</v>
      </c>
      <c r="F119" s="17">
        <f>SUM(F117:F118)</f>
        <v>222013800</v>
      </c>
    </row>
    <row r="120" spans="1:6" ht="18" customHeight="1">
      <c r="A120" s="5"/>
      <c r="B120" s="2"/>
    </row>
    <row r="121" spans="1:6" ht="18" customHeight="1">
      <c r="A121" s="5" t="s">
        <v>167</v>
      </c>
      <c r="B121" s="2" t="s">
        <v>36</v>
      </c>
      <c r="F121" s="15">
        <v>217477100</v>
      </c>
    </row>
    <row r="122" spans="1:6" ht="18" customHeight="1">
      <c r="A122" s="5"/>
    </row>
    <row r="123" spans="1:6" ht="18" customHeight="1">
      <c r="A123" s="5" t="s">
        <v>175</v>
      </c>
      <c r="B123" s="2" t="s">
        <v>20</v>
      </c>
      <c r="F123" s="15">
        <v>4536700</v>
      </c>
    </row>
    <row r="124" spans="1:6" ht="18" customHeight="1">
      <c r="A124" s="5"/>
    </row>
    <row r="125" spans="1:6" ht="18" customHeight="1">
      <c r="A125" s="5" t="s">
        <v>176</v>
      </c>
      <c r="B125" s="2" t="s">
        <v>21</v>
      </c>
      <c r="F125" s="15"/>
    </row>
    <row r="126" spans="1:6" ht="18" customHeight="1">
      <c r="A126" s="5"/>
    </row>
    <row r="127" spans="1:6" ht="18" customHeight="1">
      <c r="A127" s="5" t="s">
        <v>177</v>
      </c>
      <c r="B127" s="2" t="s">
        <v>22</v>
      </c>
      <c r="F127" s="15">
        <v>4536700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4">SUM(F131:F135)</f>
        <v>0</v>
      </c>
      <c r="G137" s="18">
        <f t="shared" si="14"/>
        <v>0</v>
      </c>
      <c r="H137" s="16">
        <f t="shared" si="14"/>
        <v>0</v>
      </c>
      <c r="I137" s="16">
        <f t="shared" si="14"/>
        <v>0</v>
      </c>
      <c r="J137" s="16">
        <f t="shared" si="14"/>
        <v>0</v>
      </c>
      <c r="K137" s="16">
        <f t="shared" si="14"/>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5">F36</f>
        <v>156</v>
      </c>
      <c r="G141" s="41">
        <f t="shared" si="15"/>
        <v>0</v>
      </c>
      <c r="H141" s="41">
        <f t="shared" si="15"/>
        <v>462.5</v>
      </c>
      <c r="I141" s="41">
        <f t="shared" si="15"/>
        <v>299.12187500000005</v>
      </c>
      <c r="J141" s="41">
        <f t="shared" si="15"/>
        <v>0</v>
      </c>
      <c r="K141" s="41">
        <f t="shared" si="15"/>
        <v>761.62187500000005</v>
      </c>
    </row>
    <row r="142" spans="1:11" ht="18" customHeight="1">
      <c r="A142" s="5" t="s">
        <v>142</v>
      </c>
      <c r="B142" s="2" t="s">
        <v>65</v>
      </c>
      <c r="F142" s="41">
        <f t="shared" ref="F142:K142" si="16">F49</f>
        <v>7090</v>
      </c>
      <c r="G142" s="41">
        <f t="shared" si="16"/>
        <v>0</v>
      </c>
      <c r="H142" s="41">
        <f t="shared" si="16"/>
        <v>605101</v>
      </c>
      <c r="I142" s="41">
        <f t="shared" si="16"/>
        <v>391349.07175</v>
      </c>
      <c r="J142" s="41">
        <f t="shared" si="16"/>
        <v>0</v>
      </c>
      <c r="K142" s="41">
        <f t="shared" si="16"/>
        <v>996450.07175</v>
      </c>
    </row>
    <row r="143" spans="1:11" ht="18" customHeight="1">
      <c r="A143" s="5" t="s">
        <v>144</v>
      </c>
      <c r="B143" s="2" t="s">
        <v>66</v>
      </c>
      <c r="F143" s="41">
        <f t="shared" ref="F143:K143" si="17">F64</f>
        <v>99630</v>
      </c>
      <c r="G143" s="41">
        <f t="shared" si="17"/>
        <v>33583</v>
      </c>
      <c r="H143" s="41">
        <f t="shared" si="17"/>
        <v>29728450</v>
      </c>
      <c r="I143" s="41">
        <f t="shared" si="17"/>
        <v>19226875.037500001</v>
      </c>
      <c r="J143" s="41">
        <f t="shared" si="17"/>
        <v>7213400</v>
      </c>
      <c r="K143" s="41">
        <f t="shared" si="17"/>
        <v>41741925.037499994</v>
      </c>
    </row>
    <row r="144" spans="1:11" ht="18" customHeight="1">
      <c r="A144" s="5" t="s">
        <v>146</v>
      </c>
      <c r="B144" s="2" t="s">
        <v>67</v>
      </c>
      <c r="F144" s="41">
        <f t="shared" ref="F144:K144" si="18">F74</f>
        <v>0</v>
      </c>
      <c r="G144" s="41">
        <f t="shared" si="18"/>
        <v>0</v>
      </c>
      <c r="H144" s="41">
        <f t="shared" si="18"/>
        <v>0</v>
      </c>
      <c r="I144" s="41">
        <f t="shared" si="18"/>
        <v>0</v>
      </c>
      <c r="J144" s="41">
        <f t="shared" si="18"/>
        <v>0</v>
      </c>
      <c r="K144" s="41">
        <f t="shared" si="18"/>
        <v>0</v>
      </c>
    </row>
    <row r="145" spans="1:11" ht="18" customHeight="1">
      <c r="A145" s="5" t="s">
        <v>148</v>
      </c>
      <c r="B145" s="2" t="s">
        <v>68</v>
      </c>
      <c r="F145" s="41">
        <f t="shared" ref="F145:K145" si="19">F82</f>
        <v>0</v>
      </c>
      <c r="G145" s="41">
        <f t="shared" si="19"/>
        <v>0</v>
      </c>
      <c r="H145" s="41">
        <f t="shared" si="19"/>
        <v>130000</v>
      </c>
      <c r="I145" s="41">
        <f t="shared" si="19"/>
        <v>0</v>
      </c>
      <c r="J145" s="41">
        <f t="shared" si="19"/>
        <v>0</v>
      </c>
      <c r="K145" s="41">
        <f t="shared" si="19"/>
        <v>130000</v>
      </c>
    </row>
    <row r="146" spans="1:11" ht="18" customHeight="1">
      <c r="A146" s="5" t="s">
        <v>150</v>
      </c>
      <c r="B146" s="2" t="s">
        <v>69</v>
      </c>
      <c r="F146" s="41">
        <f t="shared" ref="F146:K146" si="20">F98</f>
        <v>0</v>
      </c>
      <c r="G146" s="41">
        <f t="shared" si="20"/>
        <v>0</v>
      </c>
      <c r="H146" s="41">
        <f t="shared" si="20"/>
        <v>0</v>
      </c>
      <c r="I146" s="41">
        <f t="shared" si="20"/>
        <v>0</v>
      </c>
      <c r="J146" s="41">
        <f t="shared" si="20"/>
        <v>0</v>
      </c>
      <c r="K146" s="41">
        <f t="shared" si="20"/>
        <v>0</v>
      </c>
    </row>
    <row r="147" spans="1:11" ht="18" customHeight="1">
      <c r="A147" s="5" t="s">
        <v>153</v>
      </c>
      <c r="B147" s="2" t="s">
        <v>61</v>
      </c>
      <c r="F147" s="18">
        <f t="shared" ref="F147:K147" si="21">F108</f>
        <v>160</v>
      </c>
      <c r="G147" s="18">
        <f t="shared" si="21"/>
        <v>0</v>
      </c>
      <c r="H147" s="18">
        <f t="shared" si="21"/>
        <v>8000</v>
      </c>
      <c r="I147" s="18">
        <f t="shared" si="21"/>
        <v>5174</v>
      </c>
      <c r="J147" s="18">
        <f t="shared" si="21"/>
        <v>0</v>
      </c>
      <c r="K147" s="18">
        <f t="shared" si="21"/>
        <v>13174</v>
      </c>
    </row>
    <row r="148" spans="1:11" ht="18" customHeight="1">
      <c r="A148" s="5" t="s">
        <v>155</v>
      </c>
      <c r="B148" s="2" t="s">
        <v>70</v>
      </c>
      <c r="F148" s="42" t="s">
        <v>73</v>
      </c>
      <c r="G148" s="42" t="s">
        <v>73</v>
      </c>
      <c r="H148" s="43" t="s">
        <v>73</v>
      </c>
      <c r="I148" s="43" t="s">
        <v>73</v>
      </c>
      <c r="J148" s="43" t="s">
        <v>73</v>
      </c>
      <c r="K148" s="37">
        <f>F111</f>
        <v>15861400</v>
      </c>
    </row>
    <row r="149" spans="1:11" ht="18" customHeight="1">
      <c r="A149" s="5" t="s">
        <v>163</v>
      </c>
      <c r="B149" s="2" t="s">
        <v>71</v>
      </c>
      <c r="F149" s="18">
        <f t="shared" ref="F149:K149" si="22">F137</f>
        <v>0</v>
      </c>
      <c r="G149" s="18">
        <f t="shared" si="22"/>
        <v>0</v>
      </c>
      <c r="H149" s="18">
        <f t="shared" si="22"/>
        <v>0</v>
      </c>
      <c r="I149" s="18">
        <f t="shared" si="22"/>
        <v>0</v>
      </c>
      <c r="J149" s="18">
        <f t="shared" si="22"/>
        <v>0</v>
      </c>
      <c r="K149" s="18">
        <f t="shared" si="22"/>
        <v>0</v>
      </c>
    </row>
    <row r="150" spans="1:11" ht="18" customHeight="1">
      <c r="A150" s="5" t="s">
        <v>185</v>
      </c>
      <c r="B150" s="2" t="s">
        <v>186</v>
      </c>
      <c r="F150" s="42" t="s">
        <v>73</v>
      </c>
      <c r="G150" s="42" t="s">
        <v>73</v>
      </c>
      <c r="H150" s="18">
        <f>H18</f>
        <v>6741637</v>
      </c>
      <c r="I150" s="18">
        <f>I18</f>
        <v>0</v>
      </c>
      <c r="J150" s="18">
        <f>J18</f>
        <v>5764943</v>
      </c>
      <c r="K150" s="18">
        <f>K18</f>
        <v>976694</v>
      </c>
    </row>
    <row r="151" spans="1:11" ht="18" customHeight="1">
      <c r="B151" s="2"/>
      <c r="F151" s="48"/>
      <c r="G151" s="48"/>
      <c r="H151" s="48"/>
      <c r="I151" s="48"/>
      <c r="J151" s="48"/>
      <c r="K151" s="48"/>
    </row>
    <row r="152" spans="1:11" ht="18" customHeight="1">
      <c r="A152" s="6" t="s">
        <v>165</v>
      </c>
      <c r="B152" s="2" t="s">
        <v>26</v>
      </c>
      <c r="F152" s="49">
        <f t="shared" ref="F152:K152" si="23">SUM(F141:F150)</f>
        <v>107036</v>
      </c>
      <c r="G152" s="49">
        <f t="shared" si="23"/>
        <v>33583</v>
      </c>
      <c r="H152" s="49">
        <f t="shared" si="23"/>
        <v>37213650.5</v>
      </c>
      <c r="I152" s="49">
        <f t="shared" si="23"/>
        <v>19623697.231125001</v>
      </c>
      <c r="J152" s="49">
        <f t="shared" si="23"/>
        <v>12978343</v>
      </c>
      <c r="K152" s="49">
        <f t="shared" si="23"/>
        <v>59720404.731124997</v>
      </c>
    </row>
    <row r="154" spans="1:11" ht="18" customHeight="1">
      <c r="A154" s="6" t="s">
        <v>168</v>
      </c>
      <c r="B154" s="2" t="s">
        <v>28</v>
      </c>
      <c r="F154" s="64">
        <f>K152/F121</f>
        <v>0.27460548596208517</v>
      </c>
    </row>
    <row r="155" spans="1:11" ht="18" customHeight="1">
      <c r="A155" s="6" t="s">
        <v>169</v>
      </c>
      <c r="B155" s="2" t="s">
        <v>72</v>
      </c>
      <c r="F155" s="64">
        <f>K152/F127</f>
        <v>13.16384260169837</v>
      </c>
      <c r="G155" s="2"/>
    </row>
    <row r="156" spans="1:11" ht="18" customHeight="1">
      <c r="G156" s="2"/>
    </row>
  </sheetData>
  <sheetProtection password="EF72" sheet="1" objects="1" scenarios="1"/>
  <mergeCells count="38">
    <mergeCell ref="C10:G10"/>
    <mergeCell ref="D2:H2"/>
    <mergeCell ref="C5:G5"/>
    <mergeCell ref="C6:G6"/>
    <mergeCell ref="C7:G7"/>
    <mergeCell ref="C9:G9"/>
    <mergeCell ref="B53:D53"/>
    <mergeCell ref="C11:G11"/>
    <mergeCell ref="B13:H13"/>
    <mergeCell ref="B30:D30"/>
    <mergeCell ref="B31:D31"/>
    <mergeCell ref="B34:D34"/>
    <mergeCell ref="B41:C41"/>
    <mergeCell ref="B44:D44"/>
    <mergeCell ref="B45:D45"/>
    <mergeCell ref="B46:D46"/>
    <mergeCell ref="B47:D47"/>
    <mergeCell ref="B52:C52"/>
    <mergeCell ref="B95:D95"/>
    <mergeCell ref="B54:D54"/>
    <mergeCell ref="B55:D55"/>
    <mergeCell ref="B56:D56"/>
    <mergeCell ref="B57:D57"/>
    <mergeCell ref="B58:D58"/>
    <mergeCell ref="B59:D59"/>
    <mergeCell ref="B60:D60"/>
    <mergeCell ref="B61:D61"/>
    <mergeCell ref="B62:D62"/>
    <mergeCell ref="B90:C90"/>
    <mergeCell ref="B94:D94"/>
    <mergeCell ref="B134:D134"/>
    <mergeCell ref="B135:D135"/>
    <mergeCell ref="B96:D96"/>
    <mergeCell ref="B103:C103"/>
    <mergeCell ref="B104:D104"/>
    <mergeCell ref="B105:D105"/>
    <mergeCell ref="B106:D106"/>
    <mergeCell ref="B133:D133"/>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46" zoomScale="70" zoomScaleNormal="50" zoomScaleSheetLayoutView="70" workbookViewId="0">
      <selection activeCell="K64" sqref="K64"/>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300</v>
      </c>
      <c r="D5" s="654"/>
      <c r="E5" s="654"/>
      <c r="F5" s="654"/>
      <c r="G5" s="655"/>
    </row>
    <row r="6" spans="1:11" ht="18" customHeight="1">
      <c r="B6" s="5" t="s">
        <v>3</v>
      </c>
      <c r="C6" s="671">
        <v>4</v>
      </c>
      <c r="D6" s="657"/>
      <c r="E6" s="657"/>
      <c r="F6" s="657"/>
      <c r="G6" s="658"/>
    </row>
    <row r="7" spans="1:11" ht="18" customHeight="1">
      <c r="B7" s="5" t="s">
        <v>4</v>
      </c>
      <c r="C7" s="659">
        <v>3293</v>
      </c>
      <c r="D7" s="660"/>
      <c r="E7" s="660"/>
      <c r="F7" s="660"/>
      <c r="G7" s="661"/>
    </row>
    <row r="9" spans="1:11" ht="18" customHeight="1">
      <c r="B9" s="5" t="s">
        <v>1</v>
      </c>
      <c r="C9" s="670" t="s">
        <v>537</v>
      </c>
      <c r="D9" s="654"/>
      <c r="E9" s="654"/>
      <c r="F9" s="654"/>
      <c r="G9" s="655"/>
    </row>
    <row r="10" spans="1:11" ht="18" customHeight="1">
      <c r="B10" s="5" t="s">
        <v>2</v>
      </c>
      <c r="C10" s="674" t="s">
        <v>538</v>
      </c>
      <c r="D10" s="663"/>
      <c r="E10" s="663"/>
      <c r="F10" s="663"/>
      <c r="G10" s="664"/>
    </row>
    <row r="11" spans="1:11" ht="18" customHeight="1">
      <c r="B11" s="5" t="s">
        <v>32</v>
      </c>
      <c r="C11" s="670" t="s">
        <v>539</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11649192</v>
      </c>
      <c r="I18" s="50">
        <v>0</v>
      </c>
      <c r="J18" s="15">
        <v>9961516</v>
      </c>
      <c r="K18" s="16">
        <f>(H18+I18)-J18</f>
        <v>1687676</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21576</v>
      </c>
      <c r="G21" s="14">
        <v>197163</v>
      </c>
      <c r="H21" s="15">
        <v>1973195</v>
      </c>
      <c r="I21" s="50">
        <v>1226238</v>
      </c>
      <c r="J21" s="15">
        <v>459128</v>
      </c>
      <c r="K21" s="16">
        <f t="shared" ref="K21:K34" si="0">(H21+I21)-J21</f>
        <v>2740305</v>
      </c>
    </row>
    <row r="22" spans="1:11" ht="18" customHeight="1">
      <c r="A22" s="5" t="s">
        <v>76</v>
      </c>
      <c r="B22" t="s">
        <v>6</v>
      </c>
      <c r="F22" s="14"/>
      <c r="G22" s="14"/>
      <c r="H22" s="15"/>
      <c r="I22" s="50">
        <f t="shared" ref="I22:I34" si="1">H22*F$114</f>
        <v>0</v>
      </c>
      <c r="J22" s="15"/>
      <c r="K22" s="16">
        <f t="shared" si="0"/>
        <v>0</v>
      </c>
    </row>
    <row r="23" spans="1:11" ht="18" customHeight="1">
      <c r="A23" s="5" t="s">
        <v>77</v>
      </c>
      <c r="B23" t="s">
        <v>43</v>
      </c>
      <c r="F23" s="14"/>
      <c r="G23" s="14"/>
      <c r="H23" s="15"/>
      <c r="I23" s="50">
        <f t="shared" si="1"/>
        <v>0</v>
      </c>
      <c r="J23" s="15"/>
      <c r="K23" s="16">
        <f t="shared" si="0"/>
        <v>0</v>
      </c>
    </row>
    <row r="24" spans="1:11" ht="18" customHeight="1">
      <c r="A24" s="5" t="s">
        <v>78</v>
      </c>
      <c r="B24" t="s">
        <v>44</v>
      </c>
      <c r="F24" s="14">
        <v>371</v>
      </c>
      <c r="G24" s="14">
        <v>2041</v>
      </c>
      <c r="H24" s="15">
        <v>14798</v>
      </c>
      <c r="I24" s="50">
        <v>10267</v>
      </c>
      <c r="J24" s="15">
        <v>165</v>
      </c>
      <c r="K24" s="16">
        <f t="shared" si="0"/>
        <v>24900</v>
      </c>
    </row>
    <row r="25" spans="1:11" ht="18" customHeight="1">
      <c r="A25" s="5" t="s">
        <v>79</v>
      </c>
      <c r="B25" t="s">
        <v>5</v>
      </c>
      <c r="F25" s="14"/>
      <c r="G25" s="14"/>
      <c r="H25" s="15"/>
      <c r="I25" s="50">
        <f t="shared" si="1"/>
        <v>0</v>
      </c>
      <c r="J25" s="15"/>
      <c r="K25" s="16">
        <f t="shared" si="0"/>
        <v>0</v>
      </c>
    </row>
    <row r="26" spans="1:11" ht="18" customHeight="1">
      <c r="A26" s="5" t="s">
        <v>80</v>
      </c>
      <c r="B26" t="s">
        <v>45</v>
      </c>
      <c r="F26" s="14"/>
      <c r="G26" s="14"/>
      <c r="H26" s="15"/>
      <c r="I26" s="50">
        <f t="shared" si="1"/>
        <v>0</v>
      </c>
      <c r="J26" s="15"/>
      <c r="K26" s="16">
        <f t="shared" si="0"/>
        <v>0</v>
      </c>
    </row>
    <row r="27" spans="1:11" ht="18" customHeight="1">
      <c r="A27" s="5" t="s">
        <v>81</v>
      </c>
      <c r="B27" t="s">
        <v>46</v>
      </c>
      <c r="F27" s="14"/>
      <c r="G27" s="14"/>
      <c r="H27" s="15"/>
      <c r="I27" s="50">
        <f t="shared" si="1"/>
        <v>0</v>
      </c>
      <c r="J27" s="15"/>
      <c r="K27" s="16">
        <f t="shared" si="0"/>
        <v>0</v>
      </c>
    </row>
    <row r="28" spans="1:11" ht="18" customHeight="1">
      <c r="A28" s="5" t="s">
        <v>82</v>
      </c>
      <c r="B28" t="s">
        <v>47</v>
      </c>
      <c r="F28" s="14"/>
      <c r="G28" s="14"/>
      <c r="H28" s="15"/>
      <c r="I28" s="50">
        <f t="shared" si="1"/>
        <v>0</v>
      </c>
      <c r="J28" s="15"/>
      <c r="K28" s="16">
        <f t="shared" si="0"/>
        <v>0</v>
      </c>
    </row>
    <row r="29" spans="1:11" ht="18" customHeight="1">
      <c r="A29" s="5" t="s">
        <v>83</v>
      </c>
      <c r="B29" t="s">
        <v>48</v>
      </c>
      <c r="F29" s="14">
        <v>18545</v>
      </c>
      <c r="G29" s="14">
        <v>25709</v>
      </c>
      <c r="H29" s="15">
        <v>1192160</v>
      </c>
      <c r="I29" s="50">
        <v>467848</v>
      </c>
      <c r="J29" s="15">
        <v>64294</v>
      </c>
      <c r="K29" s="16">
        <f t="shared" si="0"/>
        <v>1595714</v>
      </c>
    </row>
    <row r="30" spans="1:11" ht="18" customHeight="1">
      <c r="A30" s="5" t="s">
        <v>84</v>
      </c>
      <c r="B30" s="636" t="s">
        <v>540</v>
      </c>
      <c r="C30" s="637"/>
      <c r="D30" s="638"/>
      <c r="F30" s="14">
        <v>240</v>
      </c>
      <c r="G30" s="14">
        <v>3095</v>
      </c>
      <c r="H30" s="15">
        <v>226627</v>
      </c>
      <c r="I30" s="50">
        <v>157503</v>
      </c>
      <c r="J30" s="15">
        <v>0</v>
      </c>
      <c r="K30" s="16">
        <f t="shared" si="0"/>
        <v>384130</v>
      </c>
    </row>
    <row r="31" spans="1:11" ht="18" customHeight="1">
      <c r="A31" s="5" t="s">
        <v>133</v>
      </c>
      <c r="B31" s="636"/>
      <c r="C31" s="637"/>
      <c r="D31" s="638"/>
      <c r="F31" s="14"/>
      <c r="G31" s="14"/>
      <c r="H31" s="15"/>
      <c r="I31" s="50">
        <f t="shared" si="1"/>
        <v>0</v>
      </c>
      <c r="J31" s="15"/>
      <c r="K31" s="16">
        <f t="shared" si="0"/>
        <v>0</v>
      </c>
    </row>
    <row r="32" spans="1:11" ht="18" customHeight="1">
      <c r="A32" s="5" t="s">
        <v>134</v>
      </c>
      <c r="B32" s="335"/>
      <c r="C32" s="336"/>
      <c r="D32" s="337"/>
      <c r="F32" s="14"/>
      <c r="G32" s="342" t="s">
        <v>85</v>
      </c>
      <c r="H32" s="15"/>
      <c r="I32" s="50">
        <f t="shared" si="1"/>
        <v>0</v>
      </c>
      <c r="J32" s="15"/>
      <c r="K32" s="16">
        <f t="shared" si="0"/>
        <v>0</v>
      </c>
    </row>
    <row r="33" spans="1:11" ht="18" customHeight="1">
      <c r="A33" s="5" t="s">
        <v>135</v>
      </c>
      <c r="B33" s="335"/>
      <c r="C33" s="336"/>
      <c r="D33" s="337"/>
      <c r="F33" s="14"/>
      <c r="G33" s="342" t="s">
        <v>85</v>
      </c>
      <c r="H33" s="15"/>
      <c r="I33" s="50">
        <f t="shared" si="1"/>
        <v>0</v>
      </c>
      <c r="J33" s="15"/>
      <c r="K33" s="16">
        <f t="shared" si="0"/>
        <v>0</v>
      </c>
    </row>
    <row r="34" spans="1:11" ht="18" customHeight="1">
      <c r="A34" s="5" t="s">
        <v>136</v>
      </c>
      <c r="B34" s="636"/>
      <c r="C34" s="637"/>
      <c r="D34" s="638"/>
      <c r="F34" s="14"/>
      <c r="G34" s="342" t="s">
        <v>85</v>
      </c>
      <c r="H34" s="15"/>
      <c r="I34" s="50">
        <f t="shared" si="1"/>
        <v>0</v>
      </c>
      <c r="J34" s="15"/>
      <c r="K34" s="16">
        <f t="shared" si="0"/>
        <v>0</v>
      </c>
    </row>
    <row r="35" spans="1:11" ht="18" customHeight="1">
      <c r="K35" s="44"/>
    </row>
    <row r="36" spans="1:11" ht="18" customHeight="1">
      <c r="A36" s="6" t="s">
        <v>137</v>
      </c>
      <c r="B36" s="2" t="s">
        <v>138</v>
      </c>
      <c r="E36" s="2" t="s">
        <v>7</v>
      </c>
      <c r="F36" s="18">
        <f t="shared" ref="F36:K36" si="2">SUM(F21:F34)</f>
        <v>40732</v>
      </c>
      <c r="G36" s="18">
        <f t="shared" si="2"/>
        <v>228008</v>
      </c>
      <c r="H36" s="18">
        <f t="shared" si="2"/>
        <v>3406780</v>
      </c>
      <c r="I36" s="16">
        <f t="shared" si="2"/>
        <v>1861856</v>
      </c>
      <c r="J36" s="16">
        <f t="shared" si="2"/>
        <v>523587</v>
      </c>
      <c r="K36" s="16">
        <f t="shared" si="2"/>
        <v>4745049</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6583</v>
      </c>
      <c r="G40" s="14">
        <v>6467</v>
      </c>
      <c r="H40" s="15">
        <v>2664761</v>
      </c>
      <c r="I40" s="50">
        <v>1852011</v>
      </c>
      <c r="J40" s="15">
        <v>0</v>
      </c>
      <c r="K40" s="16">
        <f t="shared" ref="K40:K47" si="3">(H40+I40)-J40</f>
        <v>4516772</v>
      </c>
    </row>
    <row r="41" spans="1:11" ht="18" customHeight="1">
      <c r="A41" s="5" t="s">
        <v>88</v>
      </c>
      <c r="B41" s="641" t="s">
        <v>50</v>
      </c>
      <c r="C41" s="649"/>
      <c r="F41" s="14">
        <v>1906</v>
      </c>
      <c r="G41" s="14">
        <v>2225</v>
      </c>
      <c r="H41" s="15">
        <v>89658</v>
      </c>
      <c r="I41" s="50">
        <v>62316</v>
      </c>
      <c r="J41" s="15">
        <v>0</v>
      </c>
      <c r="K41" s="16">
        <f t="shared" si="3"/>
        <v>151974</v>
      </c>
    </row>
    <row r="42" spans="1:11" ht="18" customHeight="1">
      <c r="A42" s="5" t="s">
        <v>89</v>
      </c>
      <c r="B42" s="341" t="s">
        <v>11</v>
      </c>
      <c r="F42" s="14">
        <v>2577</v>
      </c>
      <c r="G42" s="14">
        <v>43</v>
      </c>
      <c r="H42" s="15">
        <v>101770</v>
      </c>
      <c r="I42" s="50">
        <v>70730</v>
      </c>
      <c r="J42" s="15">
        <v>6040</v>
      </c>
      <c r="K42" s="16">
        <f t="shared" si="3"/>
        <v>166460</v>
      </c>
    </row>
    <row r="43" spans="1:11" ht="18" customHeight="1">
      <c r="A43" s="5" t="s">
        <v>90</v>
      </c>
      <c r="B43" s="343" t="s">
        <v>10</v>
      </c>
      <c r="C43" s="10"/>
      <c r="D43" s="10"/>
      <c r="F43" s="14"/>
      <c r="G43" s="14"/>
      <c r="H43" s="15"/>
      <c r="I43" s="50">
        <v>0</v>
      </c>
      <c r="J43" s="15"/>
      <c r="K43" s="16">
        <f t="shared" si="3"/>
        <v>0</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11066</v>
      </c>
      <c r="G49" s="23">
        <f t="shared" si="4"/>
        <v>8735</v>
      </c>
      <c r="H49" s="16">
        <f t="shared" si="4"/>
        <v>2856189</v>
      </c>
      <c r="I49" s="16">
        <f t="shared" si="4"/>
        <v>1985057</v>
      </c>
      <c r="J49" s="16">
        <f t="shared" si="4"/>
        <v>6040</v>
      </c>
      <c r="K49" s="16">
        <f t="shared" si="4"/>
        <v>4835206</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541</v>
      </c>
      <c r="C53" s="648"/>
      <c r="D53" s="644"/>
      <c r="F53" s="14"/>
      <c r="G53" s="14"/>
      <c r="H53" s="15">
        <v>1716467</v>
      </c>
      <c r="I53" s="50">
        <v>1192944</v>
      </c>
      <c r="J53" s="15"/>
      <c r="K53" s="16">
        <f t="shared" ref="K53:K62" si="5">(H53+I53)-J53</f>
        <v>2909411</v>
      </c>
    </row>
    <row r="54" spans="1:11" ht="18" customHeight="1">
      <c r="A54" s="5" t="s">
        <v>93</v>
      </c>
      <c r="B54" s="338" t="s">
        <v>542</v>
      </c>
      <c r="C54" s="339"/>
      <c r="D54" s="340"/>
      <c r="F54" s="14"/>
      <c r="G54" s="14"/>
      <c r="H54" s="15">
        <v>2616775</v>
      </c>
      <c r="I54" s="50">
        <v>1818659</v>
      </c>
      <c r="J54" s="15"/>
      <c r="K54" s="16">
        <f t="shared" si="5"/>
        <v>4435434</v>
      </c>
    </row>
    <row r="55" spans="1:11" ht="18" customHeight="1">
      <c r="A55" s="5" t="s">
        <v>94</v>
      </c>
      <c r="B55" s="338" t="s">
        <v>543</v>
      </c>
      <c r="C55" s="339"/>
      <c r="D55" s="340"/>
      <c r="F55" s="14"/>
      <c r="G55" s="14"/>
      <c r="H55" s="15">
        <v>159588</v>
      </c>
      <c r="I55" s="50">
        <v>110914</v>
      </c>
      <c r="J55" s="15"/>
      <c r="K55" s="16">
        <f t="shared" si="5"/>
        <v>270502</v>
      </c>
    </row>
    <row r="56" spans="1:11" ht="18" customHeight="1">
      <c r="A56" s="5" t="s">
        <v>95</v>
      </c>
      <c r="B56" s="338" t="s">
        <v>544</v>
      </c>
      <c r="C56" s="339"/>
      <c r="D56" s="340"/>
      <c r="F56" s="14"/>
      <c r="G56" s="14">
        <v>30192</v>
      </c>
      <c r="H56" s="15"/>
      <c r="I56" s="50">
        <v>2659819</v>
      </c>
      <c r="J56" s="15"/>
      <c r="K56" s="16">
        <f t="shared" si="5"/>
        <v>2659819</v>
      </c>
    </row>
    <row r="57" spans="1:11" ht="18" customHeight="1">
      <c r="A57" s="5" t="s">
        <v>96</v>
      </c>
      <c r="B57" s="338" t="s">
        <v>545</v>
      </c>
      <c r="C57" s="339"/>
      <c r="D57" s="340"/>
      <c r="F57" s="14"/>
      <c r="G57" s="14"/>
      <c r="H57" s="15">
        <v>1387739</v>
      </c>
      <c r="I57" s="50">
        <v>964479</v>
      </c>
      <c r="J57" s="15">
        <v>491816</v>
      </c>
      <c r="K57" s="16">
        <f t="shared" si="5"/>
        <v>1860402</v>
      </c>
    </row>
    <row r="58" spans="1:11" ht="18" customHeight="1">
      <c r="A58" s="5" t="s">
        <v>97</v>
      </c>
      <c r="B58" s="338" t="s">
        <v>546</v>
      </c>
      <c r="C58" s="339"/>
      <c r="D58" s="340"/>
      <c r="F58" s="14">
        <v>1198</v>
      </c>
      <c r="G58" s="14">
        <v>479</v>
      </c>
      <c r="H58" s="15">
        <v>103024</v>
      </c>
      <c r="I58" s="50">
        <v>71601</v>
      </c>
      <c r="J58" s="15"/>
      <c r="K58" s="16">
        <f t="shared" si="5"/>
        <v>174625</v>
      </c>
    </row>
    <row r="59" spans="1:11" ht="18" customHeight="1">
      <c r="A59" s="5" t="s">
        <v>98</v>
      </c>
      <c r="B59" s="338" t="s">
        <v>547</v>
      </c>
      <c r="C59" s="339"/>
      <c r="D59" s="340"/>
      <c r="F59" s="14">
        <f>7.11*2080</f>
        <v>14788.800000000001</v>
      </c>
      <c r="G59" s="14">
        <f>1992+6120</f>
        <v>8112</v>
      </c>
      <c r="H59" s="15">
        <v>501869</v>
      </c>
      <c r="I59" s="50">
        <v>348802</v>
      </c>
      <c r="J59" s="15">
        <v>374762</v>
      </c>
      <c r="K59" s="16">
        <f t="shared" si="5"/>
        <v>475909</v>
      </c>
    </row>
    <row r="60" spans="1:11" ht="18" customHeight="1">
      <c r="A60" s="5" t="s">
        <v>99</v>
      </c>
      <c r="B60" s="338" t="s">
        <v>548</v>
      </c>
      <c r="C60" s="339"/>
      <c r="D60" s="340"/>
      <c r="F60" s="14">
        <f>2080*2</f>
        <v>4160</v>
      </c>
      <c r="G60" s="14">
        <v>4315</v>
      </c>
      <c r="H60" s="15">
        <v>61622</v>
      </c>
      <c r="I60" s="50">
        <v>42827</v>
      </c>
      <c r="J60" s="15">
        <v>61622</v>
      </c>
      <c r="K60" s="16">
        <f t="shared" si="5"/>
        <v>42827</v>
      </c>
    </row>
    <row r="61" spans="1:11" ht="18" customHeight="1">
      <c r="A61" s="5" t="s">
        <v>100</v>
      </c>
      <c r="B61" s="338"/>
      <c r="C61" s="339"/>
      <c r="D61" s="340"/>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20146.800000000003</v>
      </c>
      <c r="G64" s="18">
        <f t="shared" si="6"/>
        <v>43098</v>
      </c>
      <c r="H64" s="16">
        <f t="shared" si="6"/>
        <v>6547084</v>
      </c>
      <c r="I64" s="16">
        <f t="shared" si="6"/>
        <v>7210045</v>
      </c>
      <c r="J64" s="16">
        <f t="shared" si="6"/>
        <v>928200</v>
      </c>
      <c r="K64" s="16">
        <f t="shared" si="6"/>
        <v>12828929</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v>3929</v>
      </c>
      <c r="G68" s="51">
        <v>1085</v>
      </c>
      <c r="H68" s="51">
        <v>168330</v>
      </c>
      <c r="I68" s="50">
        <v>116987</v>
      </c>
      <c r="J68" s="51">
        <v>19500</v>
      </c>
      <c r="K68" s="16">
        <f>(H68+I68)-J68</f>
        <v>265817</v>
      </c>
    </row>
    <row r="69" spans="1:11" ht="18" customHeight="1">
      <c r="A69" s="5" t="s">
        <v>104</v>
      </c>
      <c r="B69" s="341" t="s">
        <v>53</v>
      </c>
      <c r="F69" s="51"/>
      <c r="G69" s="51"/>
      <c r="H69" s="51"/>
      <c r="I69" s="50">
        <v>0</v>
      </c>
      <c r="J69" s="51"/>
      <c r="K69" s="16">
        <f>(H69+I69)-J69</f>
        <v>0</v>
      </c>
    </row>
    <row r="70" spans="1:11" ht="18" customHeight="1">
      <c r="A70" s="5" t="s">
        <v>178</v>
      </c>
      <c r="B70" s="338"/>
      <c r="C70" s="339"/>
      <c r="D70" s="340"/>
      <c r="E70" s="2"/>
      <c r="F70" s="35"/>
      <c r="G70" s="35"/>
      <c r="H70" s="36"/>
      <c r="I70" s="50">
        <v>0</v>
      </c>
      <c r="J70" s="36"/>
      <c r="K70" s="16">
        <f>(H70+I70)-J70</f>
        <v>0</v>
      </c>
    </row>
    <row r="71" spans="1:11" ht="18" customHeight="1">
      <c r="A71" s="5" t="s">
        <v>179</v>
      </c>
      <c r="B71" s="338"/>
      <c r="C71" s="339"/>
      <c r="D71" s="340"/>
      <c r="E71" s="2"/>
      <c r="F71" s="35"/>
      <c r="G71" s="35"/>
      <c r="H71" s="36"/>
      <c r="I71" s="50">
        <v>0</v>
      </c>
      <c r="J71" s="36"/>
      <c r="K71" s="16">
        <f>(H71+I71)-J71</f>
        <v>0</v>
      </c>
    </row>
    <row r="72" spans="1:11" ht="18" customHeight="1">
      <c r="A72" s="5" t="s">
        <v>180</v>
      </c>
      <c r="B72" s="344"/>
      <c r="C72" s="345"/>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3929</v>
      </c>
      <c r="G74" s="21">
        <f t="shared" si="7"/>
        <v>1085</v>
      </c>
      <c r="H74" s="21">
        <f t="shared" si="7"/>
        <v>168330</v>
      </c>
      <c r="I74" s="53">
        <f t="shared" si="7"/>
        <v>116987</v>
      </c>
      <c r="J74" s="21">
        <f t="shared" si="7"/>
        <v>19500</v>
      </c>
      <c r="K74" s="17">
        <f t="shared" si="7"/>
        <v>265817</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c r="I77" s="50">
        <v>0</v>
      </c>
      <c r="J77" s="15"/>
      <c r="K77" s="16">
        <f>(H77+I77)-J77</f>
        <v>0</v>
      </c>
    </row>
    <row r="78" spans="1:11" ht="18" customHeight="1">
      <c r="A78" s="5" t="s">
        <v>108</v>
      </c>
      <c r="B78" s="341" t="s">
        <v>55</v>
      </c>
      <c r="F78" s="14"/>
      <c r="G78" s="14"/>
      <c r="H78" s="15"/>
      <c r="I78" s="50">
        <v>0</v>
      </c>
      <c r="J78" s="15"/>
      <c r="K78" s="16">
        <f>(H78+I78)-J78</f>
        <v>0</v>
      </c>
    </row>
    <row r="79" spans="1:11" ht="18" customHeight="1">
      <c r="A79" s="5" t="s">
        <v>109</v>
      </c>
      <c r="B79" s="341" t="s">
        <v>13</v>
      </c>
      <c r="F79" s="14"/>
      <c r="G79" s="14"/>
      <c r="H79" s="15">
        <v>15867</v>
      </c>
      <c r="I79" s="50">
        <v>0</v>
      </c>
      <c r="J79" s="15"/>
      <c r="K79" s="16">
        <f>(H79+I79)-J79</f>
        <v>15867</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8">SUM(F77:F80)</f>
        <v>0</v>
      </c>
      <c r="G82" s="21">
        <f t="shared" si="8"/>
        <v>0</v>
      </c>
      <c r="H82" s="17">
        <f t="shared" si="8"/>
        <v>15867</v>
      </c>
      <c r="I82" s="17">
        <f t="shared" si="8"/>
        <v>0</v>
      </c>
      <c r="J82" s="17">
        <f t="shared" si="8"/>
        <v>0</v>
      </c>
      <c r="K82" s="17">
        <f t="shared" si="8"/>
        <v>15867</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14"/>
      <c r="G87" s="14">
        <v>40</v>
      </c>
      <c r="H87" s="15">
        <v>33330</v>
      </c>
      <c r="I87" s="50">
        <v>23160</v>
      </c>
      <c r="J87" s="15"/>
      <c r="K87" s="16">
        <f t="shared" si="10"/>
        <v>56490</v>
      </c>
    </row>
    <row r="88" spans="1:11" ht="18" customHeight="1">
      <c r="A88" s="5" t="s">
        <v>115</v>
      </c>
      <c r="B88" s="341" t="s">
        <v>116</v>
      </c>
      <c r="F88" s="14"/>
      <c r="G88" s="14"/>
      <c r="H88" s="15"/>
      <c r="I88" s="50">
        <f t="shared" si="9"/>
        <v>0</v>
      </c>
      <c r="J88" s="15"/>
      <c r="K88" s="16">
        <f t="shared" si="10"/>
        <v>0</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c r="G91" s="14"/>
      <c r="H91" s="15"/>
      <c r="I91" s="50">
        <f t="shared" si="9"/>
        <v>0</v>
      </c>
      <c r="J91" s="15"/>
      <c r="K91" s="16">
        <f t="shared" si="10"/>
        <v>0</v>
      </c>
    </row>
    <row r="92" spans="1:11" ht="18" customHeight="1">
      <c r="A92" s="5" t="s">
        <v>120</v>
      </c>
      <c r="B92" s="341" t="s">
        <v>121</v>
      </c>
      <c r="F92" s="38"/>
      <c r="G92" s="38"/>
      <c r="H92" s="39"/>
      <c r="I92" s="50">
        <f t="shared" si="9"/>
        <v>0</v>
      </c>
      <c r="J92" s="39"/>
      <c r="K92" s="16">
        <f t="shared" si="10"/>
        <v>0</v>
      </c>
    </row>
    <row r="93" spans="1:11" ht="18" customHeight="1">
      <c r="A93" s="5" t="s">
        <v>122</v>
      </c>
      <c r="B93" s="341" t="s">
        <v>123</v>
      </c>
      <c r="F93" s="14"/>
      <c r="G93" s="14"/>
      <c r="H93" s="15"/>
      <c r="I93" s="50">
        <f t="shared" si="9"/>
        <v>0</v>
      </c>
      <c r="J93" s="15"/>
      <c r="K93" s="16">
        <f t="shared" si="10"/>
        <v>0</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0</v>
      </c>
      <c r="G98" s="18">
        <f t="shared" si="11"/>
        <v>40</v>
      </c>
      <c r="H98" s="18">
        <f t="shared" si="11"/>
        <v>33330</v>
      </c>
      <c r="I98" s="18">
        <f t="shared" si="11"/>
        <v>23160</v>
      </c>
      <c r="J98" s="18">
        <f t="shared" si="11"/>
        <v>0</v>
      </c>
      <c r="K98" s="18">
        <f t="shared" si="11"/>
        <v>56490</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5733</v>
      </c>
      <c r="G102" s="14">
        <v>0</v>
      </c>
      <c r="H102" s="15">
        <v>249202</v>
      </c>
      <c r="I102" s="50">
        <v>173196</v>
      </c>
      <c r="J102" s="15"/>
      <c r="K102" s="16">
        <f>(H102+I102)-J102</f>
        <v>422398</v>
      </c>
    </row>
    <row r="103" spans="1:11" ht="18" customHeight="1">
      <c r="A103" s="5" t="s">
        <v>132</v>
      </c>
      <c r="B103" s="641" t="s">
        <v>62</v>
      </c>
      <c r="C103" s="641"/>
      <c r="F103" s="14">
        <v>43</v>
      </c>
      <c r="G103" s="14">
        <v>42</v>
      </c>
      <c r="H103" s="15">
        <v>4139</v>
      </c>
      <c r="I103" s="50">
        <v>2877</v>
      </c>
      <c r="J103" s="15"/>
      <c r="K103" s="16">
        <f>(H103+I103)-J103</f>
        <v>7016</v>
      </c>
    </row>
    <row r="104" spans="1:11" ht="18" customHeight="1">
      <c r="A104" s="5" t="s">
        <v>128</v>
      </c>
      <c r="B104" s="650" t="s">
        <v>549</v>
      </c>
      <c r="C104" s="643"/>
      <c r="D104" s="644"/>
      <c r="F104" s="14"/>
      <c r="G104" s="14"/>
      <c r="H104" s="15">
        <v>165058</v>
      </c>
      <c r="I104" s="50">
        <v>87834</v>
      </c>
      <c r="J104" s="15"/>
      <c r="K104" s="16">
        <f>(H104+I104)-J104</f>
        <v>252892</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5776</v>
      </c>
      <c r="G108" s="18">
        <f t="shared" si="12"/>
        <v>42</v>
      </c>
      <c r="H108" s="16">
        <f t="shared" si="12"/>
        <v>418399</v>
      </c>
      <c r="I108" s="16">
        <f t="shared" si="12"/>
        <v>263907</v>
      </c>
      <c r="J108" s="16">
        <f t="shared" si="12"/>
        <v>0</v>
      </c>
      <c r="K108" s="16">
        <f t="shared" si="12"/>
        <v>682306</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30739060</v>
      </c>
    </row>
    <row r="112" spans="1:11" ht="18" customHeight="1">
      <c r="B112" s="2"/>
      <c r="E112" s="2"/>
      <c r="F112" s="22"/>
    </row>
    <row r="113" spans="1:6" ht="18" customHeight="1">
      <c r="A113" s="6"/>
      <c r="B113" s="2" t="s">
        <v>15</v>
      </c>
    </row>
    <row r="114" spans="1:6" ht="18" customHeight="1">
      <c r="A114" s="5" t="s">
        <v>171</v>
      </c>
      <c r="B114" s="341" t="s">
        <v>35</v>
      </c>
      <c r="F114" s="25">
        <v>0.69499999999999995</v>
      </c>
    </row>
    <row r="115" spans="1:6" ht="18" customHeight="1">
      <c r="A115" s="5"/>
      <c r="B115" s="2"/>
    </row>
    <row r="116" spans="1:6" ht="18" customHeight="1">
      <c r="A116" s="5" t="s">
        <v>170</v>
      </c>
      <c r="B116" s="2" t="s">
        <v>16</v>
      </c>
    </row>
    <row r="117" spans="1:6" ht="18" customHeight="1">
      <c r="A117" s="5" t="s">
        <v>172</v>
      </c>
      <c r="B117" s="341" t="s">
        <v>17</v>
      </c>
      <c r="F117" s="15">
        <v>397194006</v>
      </c>
    </row>
    <row r="118" spans="1:6" ht="18" customHeight="1">
      <c r="A118" s="5" t="s">
        <v>173</v>
      </c>
      <c r="B118" t="s">
        <v>18</v>
      </c>
      <c r="F118" s="15">
        <v>17003581</v>
      </c>
    </row>
    <row r="119" spans="1:6" ht="18" customHeight="1">
      <c r="A119" s="5" t="s">
        <v>174</v>
      </c>
      <c r="B119" s="2" t="s">
        <v>19</v>
      </c>
      <c r="F119" s="17">
        <f>SUM(F117:F118)</f>
        <v>414197587</v>
      </c>
    </row>
    <row r="120" spans="1:6" ht="18" customHeight="1">
      <c r="A120" s="5"/>
      <c r="B120" s="2"/>
    </row>
    <row r="121" spans="1:6" ht="18" customHeight="1">
      <c r="A121" s="5" t="s">
        <v>167</v>
      </c>
      <c r="B121" s="2" t="s">
        <v>36</v>
      </c>
      <c r="F121" s="15">
        <v>390575586</v>
      </c>
    </row>
    <row r="122" spans="1:6" ht="18" customHeight="1">
      <c r="A122" s="5"/>
    </row>
    <row r="123" spans="1:6" ht="18" customHeight="1">
      <c r="A123" s="5" t="s">
        <v>175</v>
      </c>
      <c r="B123" s="2" t="s">
        <v>20</v>
      </c>
      <c r="F123" s="15">
        <v>23622001</v>
      </c>
    </row>
    <row r="124" spans="1:6" ht="18" customHeight="1">
      <c r="A124" s="5"/>
    </row>
    <row r="125" spans="1:6" ht="18" customHeight="1">
      <c r="A125" s="5" t="s">
        <v>176</v>
      </c>
      <c r="B125" s="2" t="s">
        <v>21</v>
      </c>
      <c r="F125" s="15">
        <v>21929807</v>
      </c>
    </row>
    <row r="126" spans="1:6" ht="18" customHeight="1">
      <c r="A126" s="5"/>
    </row>
    <row r="127" spans="1:6" ht="18" customHeight="1">
      <c r="A127" s="5" t="s">
        <v>177</v>
      </c>
      <c r="B127" s="2" t="s">
        <v>22</v>
      </c>
      <c r="F127" s="15">
        <v>45225893</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40732</v>
      </c>
      <c r="G141" s="41">
        <f t="shared" si="14"/>
        <v>228008</v>
      </c>
      <c r="H141" s="41">
        <f t="shared" si="14"/>
        <v>3406780</v>
      </c>
      <c r="I141" s="41">
        <f t="shared" si="14"/>
        <v>1861856</v>
      </c>
      <c r="J141" s="41">
        <f t="shared" si="14"/>
        <v>523587</v>
      </c>
      <c r="K141" s="41">
        <f t="shared" si="14"/>
        <v>4745049</v>
      </c>
    </row>
    <row r="142" spans="1:11" ht="18" customHeight="1">
      <c r="A142" s="5" t="s">
        <v>142</v>
      </c>
      <c r="B142" s="2" t="s">
        <v>65</v>
      </c>
      <c r="F142" s="41">
        <f t="shared" ref="F142:K142" si="15">F49</f>
        <v>11066</v>
      </c>
      <c r="G142" s="41">
        <f t="shared" si="15"/>
        <v>8735</v>
      </c>
      <c r="H142" s="41">
        <f t="shared" si="15"/>
        <v>2856189</v>
      </c>
      <c r="I142" s="41">
        <f t="shared" si="15"/>
        <v>1985057</v>
      </c>
      <c r="J142" s="41">
        <f t="shared" si="15"/>
        <v>6040</v>
      </c>
      <c r="K142" s="41">
        <f t="shared" si="15"/>
        <v>4835206</v>
      </c>
    </row>
    <row r="143" spans="1:11" ht="18" customHeight="1">
      <c r="A143" s="5" t="s">
        <v>144</v>
      </c>
      <c r="B143" s="2" t="s">
        <v>66</v>
      </c>
      <c r="F143" s="41">
        <f t="shared" ref="F143:K143" si="16">F64</f>
        <v>20146.800000000003</v>
      </c>
      <c r="G143" s="41">
        <f t="shared" si="16"/>
        <v>43098</v>
      </c>
      <c r="H143" s="41">
        <f t="shared" si="16"/>
        <v>6547084</v>
      </c>
      <c r="I143" s="41">
        <f t="shared" si="16"/>
        <v>7210045</v>
      </c>
      <c r="J143" s="41">
        <f t="shared" si="16"/>
        <v>928200</v>
      </c>
      <c r="K143" s="41">
        <f t="shared" si="16"/>
        <v>12828929</v>
      </c>
    </row>
    <row r="144" spans="1:11" ht="18" customHeight="1">
      <c r="A144" s="5" t="s">
        <v>146</v>
      </c>
      <c r="B144" s="2" t="s">
        <v>67</v>
      </c>
      <c r="F144" s="41">
        <f t="shared" ref="F144:K144" si="17">F74</f>
        <v>3929</v>
      </c>
      <c r="G144" s="41">
        <f t="shared" si="17"/>
        <v>1085</v>
      </c>
      <c r="H144" s="41">
        <f t="shared" si="17"/>
        <v>168330</v>
      </c>
      <c r="I144" s="41">
        <f t="shared" si="17"/>
        <v>116987</v>
      </c>
      <c r="J144" s="41">
        <f t="shared" si="17"/>
        <v>19500</v>
      </c>
      <c r="K144" s="41">
        <f t="shared" si="17"/>
        <v>265817</v>
      </c>
    </row>
    <row r="145" spans="1:11" ht="18" customHeight="1">
      <c r="A145" s="5" t="s">
        <v>148</v>
      </c>
      <c r="B145" s="2" t="s">
        <v>68</v>
      </c>
      <c r="F145" s="41">
        <f t="shared" ref="F145:K145" si="18">F82</f>
        <v>0</v>
      </c>
      <c r="G145" s="41">
        <f t="shared" si="18"/>
        <v>0</v>
      </c>
      <c r="H145" s="41">
        <f t="shared" si="18"/>
        <v>15867</v>
      </c>
      <c r="I145" s="41">
        <f t="shared" si="18"/>
        <v>0</v>
      </c>
      <c r="J145" s="41">
        <f t="shared" si="18"/>
        <v>0</v>
      </c>
      <c r="K145" s="41">
        <f t="shared" si="18"/>
        <v>15867</v>
      </c>
    </row>
    <row r="146" spans="1:11" ht="18" customHeight="1">
      <c r="A146" s="5" t="s">
        <v>150</v>
      </c>
      <c r="B146" s="2" t="s">
        <v>69</v>
      </c>
      <c r="F146" s="41">
        <f t="shared" ref="F146:K146" si="19">F98</f>
        <v>0</v>
      </c>
      <c r="G146" s="41">
        <f t="shared" si="19"/>
        <v>40</v>
      </c>
      <c r="H146" s="41">
        <f t="shared" si="19"/>
        <v>33330</v>
      </c>
      <c r="I146" s="41">
        <f t="shared" si="19"/>
        <v>23160</v>
      </c>
      <c r="J146" s="41">
        <f t="shared" si="19"/>
        <v>0</v>
      </c>
      <c r="K146" s="41">
        <f t="shared" si="19"/>
        <v>56490</v>
      </c>
    </row>
    <row r="147" spans="1:11" ht="18" customHeight="1">
      <c r="A147" s="5" t="s">
        <v>153</v>
      </c>
      <c r="B147" s="2" t="s">
        <v>61</v>
      </c>
      <c r="F147" s="18">
        <f t="shared" ref="F147:K147" si="20">F108</f>
        <v>5776</v>
      </c>
      <c r="G147" s="18">
        <f t="shared" si="20"/>
        <v>42</v>
      </c>
      <c r="H147" s="18">
        <f t="shared" si="20"/>
        <v>418399</v>
      </c>
      <c r="I147" s="18">
        <f t="shared" si="20"/>
        <v>263907</v>
      </c>
      <c r="J147" s="18">
        <f t="shared" si="20"/>
        <v>0</v>
      </c>
      <c r="K147" s="18">
        <f t="shared" si="20"/>
        <v>682306</v>
      </c>
    </row>
    <row r="148" spans="1:11" ht="18" customHeight="1">
      <c r="A148" s="5" t="s">
        <v>155</v>
      </c>
      <c r="B148" s="2" t="s">
        <v>70</v>
      </c>
      <c r="F148" s="42" t="s">
        <v>73</v>
      </c>
      <c r="G148" s="42" t="s">
        <v>73</v>
      </c>
      <c r="H148" s="43" t="s">
        <v>73</v>
      </c>
      <c r="I148" s="43" t="s">
        <v>73</v>
      </c>
      <c r="J148" s="43" t="s">
        <v>73</v>
      </c>
      <c r="K148" s="37">
        <f>F111</f>
        <v>30739060</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11649192</v>
      </c>
      <c r="I150" s="18">
        <f>I18</f>
        <v>0</v>
      </c>
      <c r="J150" s="18">
        <f>J18</f>
        <v>9961516</v>
      </c>
      <c r="K150" s="18">
        <f>K18</f>
        <v>1687676</v>
      </c>
    </row>
    <row r="151" spans="1:11" ht="18" customHeight="1">
      <c r="B151" s="2"/>
      <c r="F151" s="48"/>
      <c r="G151" s="48"/>
      <c r="H151" s="48"/>
      <c r="I151" s="48"/>
      <c r="J151" s="48"/>
      <c r="K151" s="48"/>
    </row>
    <row r="152" spans="1:11" ht="18" customHeight="1">
      <c r="A152" s="6" t="s">
        <v>165</v>
      </c>
      <c r="B152" s="2" t="s">
        <v>26</v>
      </c>
      <c r="F152" s="49">
        <f t="shared" ref="F152:K152" si="22">SUM(F141:F150)</f>
        <v>81649.8</v>
      </c>
      <c r="G152" s="49">
        <f t="shared" si="22"/>
        <v>281008</v>
      </c>
      <c r="H152" s="49">
        <f t="shared" si="22"/>
        <v>25095171</v>
      </c>
      <c r="I152" s="49">
        <f t="shared" si="22"/>
        <v>11461012</v>
      </c>
      <c r="J152" s="49">
        <f t="shared" si="22"/>
        <v>11438843</v>
      </c>
      <c r="K152" s="49">
        <f t="shared" si="22"/>
        <v>55856400</v>
      </c>
    </row>
    <row r="154" spans="1:11" ht="18" customHeight="1">
      <c r="A154" s="6" t="s">
        <v>168</v>
      </c>
      <c r="B154" s="2" t="s">
        <v>28</v>
      </c>
      <c r="F154" s="64">
        <f>K152/F121</f>
        <v>0.14301047480218079</v>
      </c>
    </row>
    <row r="155" spans="1:11" ht="18" customHeight="1">
      <c r="A155" s="6" t="s">
        <v>169</v>
      </c>
      <c r="B155" s="2" t="s">
        <v>72</v>
      </c>
      <c r="F155" s="64">
        <f>K152/F127</f>
        <v>1.2350535565986502</v>
      </c>
      <c r="G155" s="2"/>
    </row>
    <row r="156" spans="1:11" ht="18" customHeight="1">
      <c r="G156" s="2"/>
    </row>
  </sheetData>
  <sheetProtection password="EF72" sheet="1" objects="1" scenarios="1"/>
  <mergeCells count="30">
    <mergeCell ref="B135:D135"/>
    <mergeCell ref="B62:D62"/>
    <mergeCell ref="B90:C90"/>
    <mergeCell ref="B94:D94"/>
    <mergeCell ref="B95:D95"/>
    <mergeCell ref="B96:D96"/>
    <mergeCell ref="B103:C103"/>
    <mergeCell ref="B104:D104"/>
    <mergeCell ref="B105:D105"/>
    <mergeCell ref="B106:D106"/>
    <mergeCell ref="B133:D133"/>
    <mergeCell ref="B134:D134"/>
    <mergeCell ref="B53:D53"/>
    <mergeCell ref="C11:G11"/>
    <mergeCell ref="B13:H13"/>
    <mergeCell ref="B30:D30"/>
    <mergeCell ref="B31:D31"/>
    <mergeCell ref="B34:D34"/>
    <mergeCell ref="B41:C41"/>
    <mergeCell ref="B44:D44"/>
    <mergeCell ref="B45:D45"/>
    <mergeCell ref="B46:D46"/>
    <mergeCell ref="B47:D47"/>
    <mergeCell ref="B52:C52"/>
    <mergeCell ref="C10:G10"/>
    <mergeCell ref="D2:H2"/>
    <mergeCell ref="C5:G5"/>
    <mergeCell ref="C6:G6"/>
    <mergeCell ref="C7:G7"/>
    <mergeCell ref="C9:G9"/>
  </mergeCells>
  <printOptions headings="1" gridLines="1"/>
  <pageMargins left="0.17" right="0.16" top="0.35" bottom="0.32" header="0.17" footer="0.17"/>
  <pageSetup scale="58"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31" zoomScale="70" zoomScaleNormal="50" zoomScaleSheetLayoutView="70" workbookViewId="0">
      <selection activeCell="K64" sqref="K64"/>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499</v>
      </c>
      <c r="D5" s="654"/>
      <c r="E5" s="654"/>
      <c r="F5" s="654"/>
      <c r="G5" s="655"/>
    </row>
    <row r="6" spans="1:11" ht="18" customHeight="1">
      <c r="B6" s="5" t="s">
        <v>3</v>
      </c>
      <c r="C6" s="671" t="s">
        <v>500</v>
      </c>
      <c r="D6" s="657"/>
      <c r="E6" s="657"/>
      <c r="F6" s="657"/>
      <c r="G6" s="658"/>
    </row>
    <row r="7" spans="1:11" ht="18" customHeight="1">
      <c r="B7" s="5" t="s">
        <v>4</v>
      </c>
      <c r="C7" s="659">
        <v>2110</v>
      </c>
      <c r="D7" s="660"/>
      <c r="E7" s="660"/>
      <c r="F7" s="660"/>
      <c r="G7" s="661"/>
    </row>
    <row r="9" spans="1:11" ht="18" customHeight="1">
      <c r="B9" s="5" t="s">
        <v>1</v>
      </c>
      <c r="C9" s="670" t="s">
        <v>501</v>
      </c>
      <c r="D9" s="654"/>
      <c r="E9" s="654"/>
      <c r="F9" s="654"/>
      <c r="G9" s="655"/>
    </row>
    <row r="10" spans="1:11" ht="18" customHeight="1">
      <c r="B10" s="5" t="s">
        <v>2</v>
      </c>
      <c r="C10" s="674" t="s">
        <v>502</v>
      </c>
      <c r="D10" s="663"/>
      <c r="E10" s="663"/>
      <c r="F10" s="663"/>
      <c r="G10" s="664"/>
    </row>
    <row r="11" spans="1:11" ht="18" customHeight="1">
      <c r="B11" s="5" t="s">
        <v>32</v>
      </c>
      <c r="C11" s="670" t="s">
        <v>503</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8320086</v>
      </c>
      <c r="I18" s="50">
        <v>0</v>
      </c>
      <c r="J18" s="15">
        <v>7114714</v>
      </c>
      <c r="K18" s="16">
        <f>(H18+I18)-J18</f>
        <v>1205372</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11313</v>
      </c>
      <c r="G21" s="14">
        <v>33605</v>
      </c>
      <c r="H21" s="15">
        <v>688863</v>
      </c>
      <c r="I21" s="50">
        <f t="shared" ref="I21:I34" si="0">H21*F$114</f>
        <v>412835.59590000001</v>
      </c>
      <c r="J21" s="15">
        <v>73643</v>
      </c>
      <c r="K21" s="16">
        <f t="shared" ref="K21:K34" si="1">(H21+I21)-J21</f>
        <v>1028055.5959000001</v>
      </c>
    </row>
    <row r="22" spans="1:11" ht="18" customHeight="1">
      <c r="A22" s="5" t="s">
        <v>76</v>
      </c>
      <c r="B22" t="s">
        <v>6</v>
      </c>
      <c r="F22" s="14"/>
      <c r="G22" s="14"/>
      <c r="H22" s="15"/>
      <c r="I22" s="50">
        <f t="shared" si="0"/>
        <v>0</v>
      </c>
      <c r="J22" s="15"/>
      <c r="K22" s="16">
        <f t="shared" si="1"/>
        <v>0</v>
      </c>
    </row>
    <row r="23" spans="1:11" ht="18" customHeight="1">
      <c r="A23" s="5" t="s">
        <v>77</v>
      </c>
      <c r="B23" t="s">
        <v>43</v>
      </c>
      <c r="F23" s="14">
        <v>4209</v>
      </c>
      <c r="G23" s="14">
        <v>4528</v>
      </c>
      <c r="H23" s="15">
        <v>320659</v>
      </c>
      <c r="I23" s="50">
        <f t="shared" si="0"/>
        <v>192170.93870000003</v>
      </c>
      <c r="J23" s="15">
        <v>396678</v>
      </c>
      <c r="K23" s="16">
        <f t="shared" si="1"/>
        <v>116151.93870000006</v>
      </c>
    </row>
    <row r="24" spans="1:11" ht="18" customHeight="1">
      <c r="A24" s="5" t="s">
        <v>78</v>
      </c>
      <c r="B24" t="s">
        <v>44</v>
      </c>
      <c r="F24" s="14">
        <v>16188</v>
      </c>
      <c r="G24" s="14">
        <v>3940</v>
      </c>
      <c r="H24" s="15">
        <v>420246</v>
      </c>
      <c r="I24" s="50">
        <f t="shared" si="0"/>
        <v>251853.42780000003</v>
      </c>
      <c r="J24" s="15">
        <v>179140</v>
      </c>
      <c r="K24" s="16">
        <f t="shared" si="1"/>
        <v>492959.42780000006</v>
      </c>
    </row>
    <row r="25" spans="1:11" ht="18" customHeight="1">
      <c r="A25" s="5" t="s">
        <v>79</v>
      </c>
      <c r="B25" t="s">
        <v>5</v>
      </c>
      <c r="F25" s="14"/>
      <c r="G25" s="14"/>
      <c r="H25" s="15"/>
      <c r="I25" s="50">
        <f t="shared" si="0"/>
        <v>0</v>
      </c>
      <c r="J25" s="15"/>
      <c r="K25" s="16">
        <f t="shared" si="1"/>
        <v>0</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9000</v>
      </c>
      <c r="G29" s="14">
        <v>3174</v>
      </c>
      <c r="H29" s="15">
        <v>451022</v>
      </c>
      <c r="I29" s="50">
        <f t="shared" si="0"/>
        <v>270297.48460000003</v>
      </c>
      <c r="J29" s="15">
        <v>333643</v>
      </c>
      <c r="K29" s="16">
        <f t="shared" si="1"/>
        <v>387676.48460000008</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247"/>
      <c r="C32" s="248"/>
      <c r="D32" s="249"/>
      <c r="F32" s="14"/>
      <c r="G32" s="342" t="s">
        <v>85</v>
      </c>
      <c r="H32" s="15"/>
      <c r="I32" s="50">
        <f t="shared" si="0"/>
        <v>0</v>
      </c>
      <c r="J32" s="15"/>
      <c r="K32" s="16">
        <f t="shared" si="1"/>
        <v>0</v>
      </c>
    </row>
    <row r="33" spans="1:11" ht="18" customHeight="1">
      <c r="A33" s="5" t="s">
        <v>135</v>
      </c>
      <c r="B33" s="247"/>
      <c r="C33" s="248"/>
      <c r="D33" s="249"/>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40710</v>
      </c>
      <c r="G36" s="18">
        <f t="shared" si="2"/>
        <v>45247</v>
      </c>
      <c r="H36" s="18">
        <f t="shared" si="2"/>
        <v>1880790</v>
      </c>
      <c r="I36" s="16">
        <f t="shared" si="2"/>
        <v>1127157.4470000002</v>
      </c>
      <c r="J36" s="16">
        <f t="shared" si="2"/>
        <v>983104</v>
      </c>
      <c r="K36" s="16">
        <f t="shared" si="2"/>
        <v>2024843.4470000002</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v>0</v>
      </c>
      <c r="J40" s="15"/>
      <c r="K40" s="16">
        <f t="shared" ref="K40:K47" si="3">(H40+I40)-J40</f>
        <v>0</v>
      </c>
    </row>
    <row r="41" spans="1:11" ht="18" customHeight="1">
      <c r="A41" s="5" t="s">
        <v>88</v>
      </c>
      <c r="B41" s="641" t="s">
        <v>50</v>
      </c>
      <c r="C41" s="649"/>
      <c r="F41" s="14"/>
      <c r="G41" s="14"/>
      <c r="H41" s="15"/>
      <c r="I41" s="50">
        <v>0</v>
      </c>
      <c r="J41" s="15"/>
      <c r="K41" s="16">
        <f t="shared" si="3"/>
        <v>0</v>
      </c>
    </row>
    <row r="42" spans="1:11" ht="18" customHeight="1">
      <c r="A42" s="5" t="s">
        <v>89</v>
      </c>
      <c r="B42" s="341" t="s">
        <v>11</v>
      </c>
      <c r="F42" s="14"/>
      <c r="G42" s="14"/>
      <c r="H42" s="15"/>
      <c r="I42" s="50">
        <v>0</v>
      </c>
      <c r="J42" s="15"/>
      <c r="K42" s="16">
        <f t="shared" si="3"/>
        <v>0</v>
      </c>
    </row>
    <row r="43" spans="1:11" ht="18" customHeight="1">
      <c r="A43" s="5" t="s">
        <v>90</v>
      </c>
      <c r="B43" s="343" t="s">
        <v>10</v>
      </c>
      <c r="C43" s="10"/>
      <c r="D43" s="10"/>
      <c r="F43" s="14">
        <v>0</v>
      </c>
      <c r="G43" s="14">
        <v>0</v>
      </c>
      <c r="H43" s="15">
        <v>50053</v>
      </c>
      <c r="I43" s="50">
        <v>0</v>
      </c>
      <c r="J43" s="15"/>
      <c r="K43" s="16">
        <f t="shared" si="3"/>
        <v>50053</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0</v>
      </c>
      <c r="G49" s="23">
        <f t="shared" si="4"/>
        <v>0</v>
      </c>
      <c r="H49" s="16">
        <f t="shared" si="4"/>
        <v>50053</v>
      </c>
      <c r="I49" s="16">
        <f t="shared" si="4"/>
        <v>0</v>
      </c>
      <c r="J49" s="16">
        <f t="shared" si="4"/>
        <v>0</v>
      </c>
      <c r="K49" s="16">
        <f t="shared" si="4"/>
        <v>50053</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504</v>
      </c>
      <c r="C53" s="648"/>
      <c r="D53" s="644"/>
      <c r="F53" s="14">
        <v>52000</v>
      </c>
      <c r="G53" s="14">
        <v>9423</v>
      </c>
      <c r="H53" s="15">
        <v>2002560</v>
      </c>
      <c r="I53" s="50">
        <f t="shared" ref="I53:I62" si="5">H53*F$114</f>
        <v>1200134.2080000001</v>
      </c>
      <c r="J53" s="15"/>
      <c r="K53" s="16">
        <f t="shared" ref="K53:K62" si="6">(H53+I53)-J53</f>
        <v>3202694.2080000001</v>
      </c>
    </row>
    <row r="54" spans="1:11" ht="18" customHeight="1">
      <c r="A54" s="5" t="s">
        <v>93</v>
      </c>
      <c r="B54" s="244" t="s">
        <v>505</v>
      </c>
      <c r="C54" s="245"/>
      <c r="D54" s="246"/>
      <c r="F54" s="14">
        <v>8760</v>
      </c>
      <c r="G54" s="14"/>
      <c r="H54" s="15">
        <v>731000</v>
      </c>
      <c r="I54" s="50">
        <f t="shared" si="5"/>
        <v>438088.30000000005</v>
      </c>
      <c r="J54" s="15"/>
      <c r="K54" s="16">
        <f t="shared" si="6"/>
        <v>1169088.3</v>
      </c>
    </row>
    <row r="55" spans="1:11" ht="18" customHeight="1">
      <c r="A55" s="5" t="s">
        <v>94</v>
      </c>
      <c r="B55" s="642" t="s">
        <v>506</v>
      </c>
      <c r="C55" s="643"/>
      <c r="D55" s="644"/>
      <c r="F55" s="14">
        <v>157680</v>
      </c>
      <c r="G55" s="14"/>
      <c r="H55" s="15">
        <v>2195472</v>
      </c>
      <c r="I55" s="50">
        <f t="shared" si="5"/>
        <v>1315746.3696000001</v>
      </c>
      <c r="J55" s="15"/>
      <c r="K55" s="16">
        <f t="shared" si="6"/>
        <v>3511218.3695999999</v>
      </c>
    </row>
    <row r="56" spans="1:11" ht="18" customHeight="1">
      <c r="A56" s="5" t="s">
        <v>95</v>
      </c>
      <c r="B56" s="642" t="s">
        <v>507</v>
      </c>
      <c r="C56" s="643"/>
      <c r="D56" s="644"/>
      <c r="F56" s="14">
        <v>17520</v>
      </c>
      <c r="G56" s="14"/>
      <c r="H56" s="15">
        <v>950000</v>
      </c>
      <c r="I56" s="50">
        <f t="shared" si="5"/>
        <v>569335</v>
      </c>
      <c r="J56" s="15"/>
      <c r="K56" s="16">
        <f t="shared" si="6"/>
        <v>1519335</v>
      </c>
    </row>
    <row r="57" spans="1:11" ht="18" customHeight="1">
      <c r="A57" s="5" t="s">
        <v>96</v>
      </c>
      <c r="B57" s="642" t="s">
        <v>508</v>
      </c>
      <c r="C57" s="643"/>
      <c r="D57" s="644"/>
      <c r="F57" s="14">
        <v>8760</v>
      </c>
      <c r="G57" s="14"/>
      <c r="H57" s="15">
        <v>876996</v>
      </c>
      <c r="I57" s="50">
        <f t="shared" si="5"/>
        <v>525583.70280000009</v>
      </c>
      <c r="J57" s="15"/>
      <c r="K57" s="16">
        <f t="shared" si="6"/>
        <v>1402579.7028000001</v>
      </c>
    </row>
    <row r="58" spans="1:11" ht="18" customHeight="1">
      <c r="A58" s="5" t="s">
        <v>97</v>
      </c>
      <c r="B58" s="244" t="s">
        <v>509</v>
      </c>
      <c r="C58" s="245"/>
      <c r="D58" s="246"/>
      <c r="F58" s="14"/>
      <c r="G58" s="14"/>
      <c r="H58" s="15">
        <v>256307</v>
      </c>
      <c r="I58" s="50">
        <v>0</v>
      </c>
      <c r="J58" s="15"/>
      <c r="K58" s="16">
        <f t="shared" si="6"/>
        <v>256307</v>
      </c>
    </row>
    <row r="59" spans="1:11" ht="18" customHeight="1">
      <c r="A59" s="5" t="s">
        <v>98</v>
      </c>
      <c r="B59" s="642" t="s">
        <v>510</v>
      </c>
      <c r="C59" s="643"/>
      <c r="D59" s="644"/>
      <c r="F59" s="14">
        <v>10448</v>
      </c>
      <c r="G59" s="14"/>
      <c r="H59" s="15">
        <v>672000</v>
      </c>
      <c r="I59" s="50">
        <f t="shared" si="5"/>
        <v>402729.60000000003</v>
      </c>
      <c r="J59" s="15"/>
      <c r="K59" s="16">
        <f t="shared" si="6"/>
        <v>1074729.6000000001</v>
      </c>
    </row>
    <row r="60" spans="1:11" ht="18" customHeight="1">
      <c r="A60" s="5" t="s">
        <v>99</v>
      </c>
      <c r="B60" s="244" t="s">
        <v>511</v>
      </c>
      <c r="C60" s="245"/>
      <c r="D60" s="246"/>
      <c r="F60" s="14"/>
      <c r="G60" s="14"/>
      <c r="H60" s="15">
        <v>158426</v>
      </c>
      <c r="I60" s="50">
        <v>0</v>
      </c>
      <c r="J60" s="15"/>
      <c r="K60" s="16">
        <f t="shared" si="6"/>
        <v>158426</v>
      </c>
    </row>
    <row r="61" spans="1:11" ht="18" customHeight="1">
      <c r="A61" s="5" t="s">
        <v>100</v>
      </c>
      <c r="B61" s="244" t="s">
        <v>512</v>
      </c>
      <c r="C61" s="245"/>
      <c r="D61" s="246"/>
      <c r="F61" s="14">
        <v>4660</v>
      </c>
      <c r="G61" s="14">
        <v>2861</v>
      </c>
      <c r="H61" s="15">
        <v>156343</v>
      </c>
      <c r="I61" s="50">
        <f t="shared" si="5"/>
        <v>93696.35990000001</v>
      </c>
      <c r="J61" s="15">
        <v>124345</v>
      </c>
      <c r="K61" s="16">
        <f t="shared" si="6"/>
        <v>125694.35990000001</v>
      </c>
    </row>
    <row r="62" spans="1:11" ht="18" customHeight="1">
      <c r="A62" s="5" t="s">
        <v>101</v>
      </c>
      <c r="B62" s="642" t="s">
        <v>513</v>
      </c>
      <c r="C62" s="643"/>
      <c r="D62" s="644"/>
      <c r="F62" s="14">
        <v>4738</v>
      </c>
      <c r="G62" s="14">
        <v>3632</v>
      </c>
      <c r="H62" s="15">
        <v>472857</v>
      </c>
      <c r="I62" s="50">
        <f t="shared" si="5"/>
        <v>283383.20010000002</v>
      </c>
      <c r="J62" s="15">
        <v>462580</v>
      </c>
      <c r="K62" s="16">
        <f t="shared" si="6"/>
        <v>293660.20010000002</v>
      </c>
    </row>
    <row r="63" spans="1:11" ht="18" customHeight="1">
      <c r="A63" s="5"/>
      <c r="I63" s="46"/>
    </row>
    <row r="64" spans="1:11" ht="18" customHeight="1">
      <c r="A64" s="5" t="s">
        <v>144</v>
      </c>
      <c r="B64" s="2" t="s">
        <v>145</v>
      </c>
      <c r="E64" s="2" t="s">
        <v>7</v>
      </c>
      <c r="F64" s="18">
        <f t="shared" ref="F64:K64" si="7">SUM(F53:F62)</f>
        <v>264566</v>
      </c>
      <c r="G64" s="18">
        <f t="shared" si="7"/>
        <v>15916</v>
      </c>
      <c r="H64" s="16">
        <f t="shared" si="7"/>
        <v>8471961</v>
      </c>
      <c r="I64" s="16">
        <f t="shared" si="7"/>
        <v>4828696.7403999995</v>
      </c>
      <c r="J64" s="16">
        <f t="shared" si="7"/>
        <v>586925</v>
      </c>
      <c r="K64" s="16">
        <f t="shared" si="7"/>
        <v>12713732.740399998</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244"/>
      <c r="C70" s="245"/>
      <c r="D70" s="246"/>
      <c r="E70" s="2"/>
      <c r="F70" s="35"/>
      <c r="G70" s="35"/>
      <c r="H70" s="36"/>
      <c r="I70" s="50">
        <v>0</v>
      </c>
      <c r="J70" s="36"/>
      <c r="K70" s="16">
        <f>(H70+I70)-J70</f>
        <v>0</v>
      </c>
    </row>
    <row r="71" spans="1:11" ht="18" customHeight="1">
      <c r="A71" s="5" t="s">
        <v>179</v>
      </c>
      <c r="B71" s="244"/>
      <c r="C71" s="245"/>
      <c r="D71" s="246"/>
      <c r="E71" s="2"/>
      <c r="F71" s="35"/>
      <c r="G71" s="35"/>
      <c r="H71" s="36"/>
      <c r="I71" s="50">
        <v>0</v>
      </c>
      <c r="J71" s="36"/>
      <c r="K71" s="16">
        <f>(H71+I71)-J71</f>
        <v>0</v>
      </c>
    </row>
    <row r="72" spans="1:11" ht="18" customHeight="1">
      <c r="A72" s="5" t="s">
        <v>180</v>
      </c>
      <c r="B72" s="32"/>
      <c r="C72" s="33"/>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8">SUM(F68:F72)</f>
        <v>0</v>
      </c>
      <c r="G74" s="21">
        <f t="shared" si="8"/>
        <v>0</v>
      </c>
      <c r="H74" s="21">
        <f t="shared" si="8"/>
        <v>0</v>
      </c>
      <c r="I74" s="53">
        <f t="shared" si="8"/>
        <v>0</v>
      </c>
      <c r="J74" s="21">
        <f t="shared" si="8"/>
        <v>0</v>
      </c>
      <c r="K74" s="17">
        <f t="shared" si="8"/>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v>0</v>
      </c>
      <c r="G77" s="14">
        <v>0</v>
      </c>
      <c r="H77" s="15">
        <v>286765</v>
      </c>
      <c r="I77" s="50">
        <v>0</v>
      </c>
      <c r="J77" s="15"/>
      <c r="K77" s="16">
        <f>(H77+I77)-J77</f>
        <v>286765</v>
      </c>
    </row>
    <row r="78" spans="1:11" ht="18" customHeight="1">
      <c r="A78" s="5" t="s">
        <v>108</v>
      </c>
      <c r="B78" s="341" t="s">
        <v>55</v>
      </c>
      <c r="F78" s="14"/>
      <c r="G78" s="14"/>
      <c r="H78" s="15"/>
      <c r="I78" s="50">
        <v>0</v>
      </c>
      <c r="J78" s="15"/>
      <c r="K78" s="16">
        <f>(H78+I78)-J78</f>
        <v>0</v>
      </c>
    </row>
    <row r="79" spans="1:11" ht="18" customHeight="1">
      <c r="A79" s="5" t="s">
        <v>109</v>
      </c>
      <c r="B79" s="341" t="s">
        <v>13</v>
      </c>
      <c r="F79" s="14"/>
      <c r="G79" s="14"/>
      <c r="H79" s="15"/>
      <c r="I79" s="50">
        <v>0</v>
      </c>
      <c r="J79" s="15"/>
      <c r="K79" s="16">
        <f>(H79+I79)-J79</f>
        <v>0</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9">SUM(F77:F80)</f>
        <v>0</v>
      </c>
      <c r="G82" s="21">
        <f t="shared" si="9"/>
        <v>0</v>
      </c>
      <c r="H82" s="17">
        <f t="shared" si="9"/>
        <v>286765</v>
      </c>
      <c r="I82" s="17">
        <f t="shared" si="9"/>
        <v>0</v>
      </c>
      <c r="J82" s="17">
        <f t="shared" si="9"/>
        <v>0</v>
      </c>
      <c r="K82" s="17">
        <f t="shared" si="9"/>
        <v>286765</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0">H86*F$114</f>
        <v>0</v>
      </c>
      <c r="J86" s="15"/>
      <c r="K86" s="16">
        <f t="shared" ref="K86:K96" si="11">(H86+I86)-J86</f>
        <v>0</v>
      </c>
    </row>
    <row r="87" spans="1:11" ht="18" customHeight="1">
      <c r="A87" s="5" t="s">
        <v>114</v>
      </c>
      <c r="B87" s="341" t="s">
        <v>14</v>
      </c>
      <c r="F87" s="14"/>
      <c r="G87" s="14"/>
      <c r="H87" s="15"/>
      <c r="I87" s="50">
        <f t="shared" si="10"/>
        <v>0</v>
      </c>
      <c r="J87" s="15"/>
      <c r="K87" s="16">
        <f t="shared" si="11"/>
        <v>0</v>
      </c>
    </row>
    <row r="88" spans="1:11" ht="18" customHeight="1">
      <c r="A88" s="5" t="s">
        <v>115</v>
      </c>
      <c r="B88" s="341" t="s">
        <v>116</v>
      </c>
      <c r="F88" s="14"/>
      <c r="G88" s="14"/>
      <c r="H88" s="15">
        <v>70529</v>
      </c>
      <c r="I88" s="50">
        <f t="shared" si="10"/>
        <v>42268.029700000006</v>
      </c>
      <c r="J88" s="15">
        <v>40000</v>
      </c>
      <c r="K88" s="16">
        <f t="shared" si="11"/>
        <v>72797.029700000014</v>
      </c>
    </row>
    <row r="89" spans="1:11" ht="18" customHeight="1">
      <c r="A89" s="5" t="s">
        <v>117</v>
      </c>
      <c r="B89" s="341" t="s">
        <v>58</v>
      </c>
      <c r="F89" s="14"/>
      <c r="G89" s="14"/>
      <c r="H89" s="15"/>
      <c r="I89" s="50">
        <f t="shared" si="10"/>
        <v>0</v>
      </c>
      <c r="J89" s="15"/>
      <c r="K89" s="16">
        <f t="shared" si="11"/>
        <v>0</v>
      </c>
    </row>
    <row r="90" spans="1:11" ht="18" customHeight="1">
      <c r="A90" s="5" t="s">
        <v>118</v>
      </c>
      <c r="B90" s="641" t="s">
        <v>59</v>
      </c>
      <c r="C90" s="649"/>
      <c r="F90" s="14"/>
      <c r="G90" s="14"/>
      <c r="H90" s="15"/>
      <c r="I90" s="50">
        <f t="shared" si="10"/>
        <v>0</v>
      </c>
      <c r="J90" s="15"/>
      <c r="K90" s="16">
        <f t="shared" si="11"/>
        <v>0</v>
      </c>
    </row>
    <row r="91" spans="1:11" ht="18" customHeight="1">
      <c r="A91" s="5" t="s">
        <v>119</v>
      </c>
      <c r="B91" s="341" t="s">
        <v>60</v>
      </c>
      <c r="F91" s="14"/>
      <c r="G91" s="14"/>
      <c r="H91" s="15"/>
      <c r="I91" s="50">
        <f t="shared" si="10"/>
        <v>0</v>
      </c>
      <c r="J91" s="15"/>
      <c r="K91" s="16">
        <f t="shared" si="11"/>
        <v>0</v>
      </c>
    </row>
    <row r="92" spans="1:11" ht="18" customHeight="1">
      <c r="A92" s="5" t="s">
        <v>120</v>
      </c>
      <c r="B92" s="341" t="s">
        <v>121</v>
      </c>
      <c r="F92" s="38"/>
      <c r="G92" s="38"/>
      <c r="H92" s="39"/>
      <c r="I92" s="50">
        <f t="shared" si="10"/>
        <v>0</v>
      </c>
      <c r="J92" s="39"/>
      <c r="K92" s="16">
        <f t="shared" si="11"/>
        <v>0</v>
      </c>
    </row>
    <row r="93" spans="1:11" ht="18" customHeight="1">
      <c r="A93" s="5" t="s">
        <v>122</v>
      </c>
      <c r="B93" s="341" t="s">
        <v>123</v>
      </c>
      <c r="F93" s="14"/>
      <c r="G93" s="14"/>
      <c r="H93" s="15"/>
      <c r="I93" s="50">
        <f t="shared" si="10"/>
        <v>0</v>
      </c>
      <c r="J93" s="15"/>
      <c r="K93" s="16">
        <f t="shared" si="11"/>
        <v>0</v>
      </c>
    </row>
    <row r="94" spans="1:11" ht="18" customHeight="1">
      <c r="A94" s="5" t="s">
        <v>124</v>
      </c>
      <c r="B94" s="642"/>
      <c r="C94" s="643"/>
      <c r="D94" s="644"/>
      <c r="F94" s="14"/>
      <c r="G94" s="14"/>
      <c r="H94" s="15"/>
      <c r="I94" s="50">
        <f t="shared" si="10"/>
        <v>0</v>
      </c>
      <c r="J94" s="15"/>
      <c r="K94" s="16">
        <f t="shared" si="11"/>
        <v>0</v>
      </c>
    </row>
    <row r="95" spans="1:11" ht="18" customHeight="1">
      <c r="A95" s="5" t="s">
        <v>125</v>
      </c>
      <c r="B95" s="642"/>
      <c r="C95" s="643"/>
      <c r="D95" s="644"/>
      <c r="F95" s="14"/>
      <c r="G95" s="14"/>
      <c r="H95" s="15"/>
      <c r="I95" s="50">
        <f t="shared" si="10"/>
        <v>0</v>
      </c>
      <c r="J95" s="15"/>
      <c r="K95" s="16">
        <f t="shared" si="11"/>
        <v>0</v>
      </c>
    </row>
    <row r="96" spans="1:11" ht="18" customHeight="1">
      <c r="A96" s="5" t="s">
        <v>126</v>
      </c>
      <c r="B96" s="642"/>
      <c r="C96" s="643"/>
      <c r="D96" s="644"/>
      <c r="F96" s="14"/>
      <c r="G96" s="14"/>
      <c r="H96" s="15"/>
      <c r="I96" s="50">
        <f t="shared" si="10"/>
        <v>0</v>
      </c>
      <c r="J96" s="15"/>
      <c r="K96" s="16">
        <f t="shared" si="11"/>
        <v>0</v>
      </c>
    </row>
    <row r="97" spans="1:11" ht="18" customHeight="1">
      <c r="A97" s="5"/>
      <c r="B97" s="341"/>
    </row>
    <row r="98" spans="1:11" ht="18" customHeight="1">
      <c r="A98" s="6" t="s">
        <v>150</v>
      </c>
      <c r="B98" s="2" t="s">
        <v>151</v>
      </c>
      <c r="E98" s="2" t="s">
        <v>7</v>
      </c>
      <c r="F98" s="18">
        <f t="shared" ref="F98:K98" si="12">SUM(F86:F96)</f>
        <v>0</v>
      </c>
      <c r="G98" s="18">
        <f t="shared" si="12"/>
        <v>0</v>
      </c>
      <c r="H98" s="18">
        <f t="shared" si="12"/>
        <v>70529</v>
      </c>
      <c r="I98" s="18">
        <f t="shared" si="12"/>
        <v>42268.029700000006</v>
      </c>
      <c r="J98" s="18">
        <f t="shared" si="12"/>
        <v>40000</v>
      </c>
      <c r="K98" s="18">
        <f t="shared" si="12"/>
        <v>72797.029700000014</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c r="G102" s="14"/>
      <c r="H102" s="15"/>
      <c r="I102" s="50">
        <f>H102*F$114</f>
        <v>0</v>
      </c>
      <c r="J102" s="15"/>
      <c r="K102" s="16">
        <f>(H102+I102)-J102</f>
        <v>0</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3">SUM(F102:F106)</f>
        <v>0</v>
      </c>
      <c r="G108" s="18">
        <f t="shared" si="13"/>
        <v>0</v>
      </c>
      <c r="H108" s="16">
        <f t="shared" si="13"/>
        <v>0</v>
      </c>
      <c r="I108" s="16">
        <f t="shared" si="13"/>
        <v>0</v>
      </c>
      <c r="J108" s="16">
        <f t="shared" si="13"/>
        <v>0</v>
      </c>
      <c r="K108" s="16">
        <f t="shared" si="13"/>
        <v>0</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14227000</v>
      </c>
    </row>
    <row r="112" spans="1:11" ht="18" customHeight="1">
      <c r="B112" s="2"/>
      <c r="E112" s="2"/>
      <c r="F112" s="22"/>
    </row>
    <row r="113" spans="1:6" ht="18" customHeight="1">
      <c r="A113" s="6"/>
      <c r="B113" s="2" t="s">
        <v>15</v>
      </c>
    </row>
    <row r="114" spans="1:6" ht="18" customHeight="1">
      <c r="A114" s="5" t="s">
        <v>171</v>
      </c>
      <c r="B114" s="341" t="s">
        <v>35</v>
      </c>
      <c r="F114" s="25">
        <v>0.59930000000000005</v>
      </c>
    </row>
    <row r="115" spans="1:6" ht="18" customHeight="1">
      <c r="A115" s="5"/>
      <c r="B115" s="2"/>
    </row>
    <row r="116" spans="1:6" ht="18" customHeight="1">
      <c r="A116" s="5" t="s">
        <v>170</v>
      </c>
      <c r="B116" s="2" t="s">
        <v>16</v>
      </c>
    </row>
    <row r="117" spans="1:6" ht="18" customHeight="1">
      <c r="A117" s="5" t="s">
        <v>172</v>
      </c>
      <c r="B117" s="341" t="s">
        <v>17</v>
      </c>
      <c r="F117" s="15">
        <v>313232000</v>
      </c>
    </row>
    <row r="118" spans="1:6" ht="18" customHeight="1">
      <c r="A118" s="5" t="s">
        <v>173</v>
      </c>
      <c r="B118" t="s">
        <v>18</v>
      </c>
      <c r="F118" s="15">
        <v>9175000</v>
      </c>
    </row>
    <row r="119" spans="1:6" ht="18" customHeight="1">
      <c r="A119" s="5" t="s">
        <v>174</v>
      </c>
      <c r="B119" s="2" t="s">
        <v>19</v>
      </c>
      <c r="F119" s="17">
        <f>SUM(F117:F118)</f>
        <v>322407000</v>
      </c>
    </row>
    <row r="120" spans="1:6" ht="18" customHeight="1">
      <c r="A120" s="5"/>
      <c r="B120" s="2"/>
    </row>
    <row r="121" spans="1:6" ht="18" customHeight="1">
      <c r="A121" s="5" t="s">
        <v>167</v>
      </c>
      <c r="B121" s="2" t="s">
        <v>36</v>
      </c>
      <c r="F121" s="15">
        <v>319313000</v>
      </c>
    </row>
    <row r="122" spans="1:6" ht="18" customHeight="1">
      <c r="A122" s="5"/>
    </row>
    <row r="123" spans="1:6" ht="18" customHeight="1">
      <c r="A123" s="5" t="s">
        <v>175</v>
      </c>
      <c r="B123" s="2" t="s">
        <v>20</v>
      </c>
      <c r="F123" s="15">
        <f>F119-F121</f>
        <v>3094000</v>
      </c>
    </row>
    <row r="124" spans="1:6" ht="18" customHeight="1">
      <c r="A124" s="5"/>
    </row>
    <row r="125" spans="1:6" ht="18" customHeight="1">
      <c r="A125" s="5" t="s">
        <v>176</v>
      </c>
      <c r="B125" s="2" t="s">
        <v>21</v>
      </c>
      <c r="F125" s="15">
        <v>13354000</v>
      </c>
    </row>
    <row r="126" spans="1:6" ht="18" customHeight="1">
      <c r="A126" s="5"/>
    </row>
    <row r="127" spans="1:6" ht="18" customHeight="1">
      <c r="A127" s="5" t="s">
        <v>177</v>
      </c>
      <c r="B127" s="2" t="s">
        <v>22</v>
      </c>
      <c r="F127" s="15">
        <f>F123+F125</f>
        <v>16448000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4">SUM(F131:F135)</f>
        <v>0</v>
      </c>
      <c r="G137" s="18">
        <f t="shared" si="14"/>
        <v>0</v>
      </c>
      <c r="H137" s="16">
        <f t="shared" si="14"/>
        <v>0</v>
      </c>
      <c r="I137" s="16">
        <f t="shared" si="14"/>
        <v>0</v>
      </c>
      <c r="J137" s="16">
        <f t="shared" si="14"/>
        <v>0</v>
      </c>
      <c r="K137" s="16">
        <f t="shared" si="14"/>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5">F36</f>
        <v>40710</v>
      </c>
      <c r="G141" s="41">
        <f t="shared" si="15"/>
        <v>45247</v>
      </c>
      <c r="H141" s="41">
        <f t="shared" si="15"/>
        <v>1880790</v>
      </c>
      <c r="I141" s="41">
        <f t="shared" si="15"/>
        <v>1127157.4470000002</v>
      </c>
      <c r="J141" s="41">
        <f t="shared" si="15"/>
        <v>983104</v>
      </c>
      <c r="K141" s="41">
        <f t="shared" si="15"/>
        <v>2024843.4470000002</v>
      </c>
    </row>
    <row r="142" spans="1:11" ht="18" customHeight="1">
      <c r="A142" s="5" t="s">
        <v>142</v>
      </c>
      <c r="B142" s="2" t="s">
        <v>65</v>
      </c>
      <c r="F142" s="41">
        <f t="shared" ref="F142:K142" si="16">F49</f>
        <v>0</v>
      </c>
      <c r="G142" s="41">
        <f t="shared" si="16"/>
        <v>0</v>
      </c>
      <c r="H142" s="41">
        <f t="shared" si="16"/>
        <v>50053</v>
      </c>
      <c r="I142" s="41">
        <f t="shared" si="16"/>
        <v>0</v>
      </c>
      <c r="J142" s="41">
        <f t="shared" si="16"/>
        <v>0</v>
      </c>
      <c r="K142" s="41">
        <f t="shared" si="16"/>
        <v>50053</v>
      </c>
    </row>
    <row r="143" spans="1:11" ht="18" customHeight="1">
      <c r="A143" s="5" t="s">
        <v>144</v>
      </c>
      <c r="B143" s="2" t="s">
        <v>66</v>
      </c>
      <c r="F143" s="41">
        <f t="shared" ref="F143:K143" si="17">F64</f>
        <v>264566</v>
      </c>
      <c r="G143" s="41">
        <f t="shared" si="17"/>
        <v>15916</v>
      </c>
      <c r="H143" s="41">
        <f t="shared" si="17"/>
        <v>8471961</v>
      </c>
      <c r="I143" s="41">
        <f t="shared" si="17"/>
        <v>4828696.7403999995</v>
      </c>
      <c r="J143" s="41">
        <f t="shared" si="17"/>
        <v>586925</v>
      </c>
      <c r="K143" s="41">
        <f t="shared" si="17"/>
        <v>12713732.740399998</v>
      </c>
    </row>
    <row r="144" spans="1:11" ht="18" customHeight="1">
      <c r="A144" s="5" t="s">
        <v>146</v>
      </c>
      <c r="B144" s="2" t="s">
        <v>67</v>
      </c>
      <c r="F144" s="41">
        <f t="shared" ref="F144:K144" si="18">F74</f>
        <v>0</v>
      </c>
      <c r="G144" s="41">
        <f t="shared" si="18"/>
        <v>0</v>
      </c>
      <c r="H144" s="41">
        <f t="shared" si="18"/>
        <v>0</v>
      </c>
      <c r="I144" s="41">
        <f t="shared" si="18"/>
        <v>0</v>
      </c>
      <c r="J144" s="41">
        <f t="shared" si="18"/>
        <v>0</v>
      </c>
      <c r="K144" s="41">
        <f t="shared" si="18"/>
        <v>0</v>
      </c>
    </row>
    <row r="145" spans="1:11" ht="18" customHeight="1">
      <c r="A145" s="5" t="s">
        <v>148</v>
      </c>
      <c r="B145" s="2" t="s">
        <v>68</v>
      </c>
      <c r="F145" s="41">
        <f t="shared" ref="F145:K145" si="19">F82</f>
        <v>0</v>
      </c>
      <c r="G145" s="41">
        <f t="shared" si="19"/>
        <v>0</v>
      </c>
      <c r="H145" s="41">
        <f t="shared" si="19"/>
        <v>286765</v>
      </c>
      <c r="I145" s="41">
        <f t="shared" si="19"/>
        <v>0</v>
      </c>
      <c r="J145" s="41">
        <f t="shared" si="19"/>
        <v>0</v>
      </c>
      <c r="K145" s="41">
        <f t="shared" si="19"/>
        <v>286765</v>
      </c>
    </row>
    <row r="146" spans="1:11" ht="18" customHeight="1">
      <c r="A146" s="5" t="s">
        <v>150</v>
      </c>
      <c r="B146" s="2" t="s">
        <v>69</v>
      </c>
      <c r="F146" s="41">
        <f t="shared" ref="F146:K146" si="20">F98</f>
        <v>0</v>
      </c>
      <c r="G146" s="41">
        <f t="shared" si="20"/>
        <v>0</v>
      </c>
      <c r="H146" s="41">
        <f t="shared" si="20"/>
        <v>70529</v>
      </c>
      <c r="I146" s="41">
        <f t="shared" si="20"/>
        <v>42268.029700000006</v>
      </c>
      <c r="J146" s="41">
        <f t="shared" si="20"/>
        <v>40000</v>
      </c>
      <c r="K146" s="41">
        <f t="shared" si="20"/>
        <v>72797.029700000014</v>
      </c>
    </row>
    <row r="147" spans="1:11" ht="18" customHeight="1">
      <c r="A147" s="5" t="s">
        <v>153</v>
      </c>
      <c r="B147" s="2" t="s">
        <v>61</v>
      </c>
      <c r="F147" s="18">
        <f t="shared" ref="F147:K147" si="21">F108</f>
        <v>0</v>
      </c>
      <c r="G147" s="18">
        <f t="shared" si="21"/>
        <v>0</v>
      </c>
      <c r="H147" s="18">
        <f t="shared" si="21"/>
        <v>0</v>
      </c>
      <c r="I147" s="18">
        <f t="shared" si="21"/>
        <v>0</v>
      </c>
      <c r="J147" s="18">
        <f t="shared" si="21"/>
        <v>0</v>
      </c>
      <c r="K147" s="18">
        <f t="shared" si="21"/>
        <v>0</v>
      </c>
    </row>
    <row r="148" spans="1:11" ht="18" customHeight="1">
      <c r="A148" s="5" t="s">
        <v>155</v>
      </c>
      <c r="B148" s="2" t="s">
        <v>70</v>
      </c>
      <c r="F148" s="42" t="s">
        <v>73</v>
      </c>
      <c r="G148" s="42" t="s">
        <v>73</v>
      </c>
      <c r="H148" s="43" t="s">
        <v>73</v>
      </c>
      <c r="I148" s="43" t="s">
        <v>73</v>
      </c>
      <c r="J148" s="43" t="s">
        <v>73</v>
      </c>
      <c r="K148" s="37">
        <f>F111</f>
        <v>14227000</v>
      </c>
    </row>
    <row r="149" spans="1:11" ht="18" customHeight="1">
      <c r="A149" s="5" t="s">
        <v>163</v>
      </c>
      <c r="B149" s="2" t="s">
        <v>71</v>
      </c>
      <c r="F149" s="18">
        <f t="shared" ref="F149:K149" si="22">F137</f>
        <v>0</v>
      </c>
      <c r="G149" s="18">
        <f t="shared" si="22"/>
        <v>0</v>
      </c>
      <c r="H149" s="18">
        <f t="shared" si="22"/>
        <v>0</v>
      </c>
      <c r="I149" s="18">
        <f t="shared" si="22"/>
        <v>0</v>
      </c>
      <c r="J149" s="18">
        <f t="shared" si="22"/>
        <v>0</v>
      </c>
      <c r="K149" s="18">
        <f t="shared" si="22"/>
        <v>0</v>
      </c>
    </row>
    <row r="150" spans="1:11" ht="18" customHeight="1">
      <c r="A150" s="5" t="s">
        <v>185</v>
      </c>
      <c r="B150" s="2" t="s">
        <v>186</v>
      </c>
      <c r="F150" s="42" t="s">
        <v>73</v>
      </c>
      <c r="G150" s="42" t="s">
        <v>73</v>
      </c>
      <c r="H150" s="18">
        <f>H18</f>
        <v>8320086</v>
      </c>
      <c r="I150" s="18">
        <f>I18</f>
        <v>0</v>
      </c>
      <c r="J150" s="18">
        <f>J18</f>
        <v>7114714</v>
      </c>
      <c r="K150" s="18">
        <f>K18</f>
        <v>1205372</v>
      </c>
    </row>
    <row r="151" spans="1:11" ht="18" customHeight="1">
      <c r="B151" s="2"/>
      <c r="F151" s="48"/>
      <c r="G151" s="48"/>
      <c r="H151" s="48"/>
      <c r="I151" s="48"/>
      <c r="J151" s="48"/>
      <c r="K151" s="48"/>
    </row>
    <row r="152" spans="1:11" ht="18" customHeight="1">
      <c r="A152" s="6" t="s">
        <v>165</v>
      </c>
      <c r="B152" s="2" t="s">
        <v>26</v>
      </c>
      <c r="F152" s="49">
        <f t="shared" ref="F152:K152" si="23">SUM(F141:F150)</f>
        <v>305276</v>
      </c>
      <c r="G152" s="49">
        <f t="shared" si="23"/>
        <v>61163</v>
      </c>
      <c r="H152" s="49">
        <f t="shared" si="23"/>
        <v>19080184</v>
      </c>
      <c r="I152" s="49">
        <f t="shared" si="23"/>
        <v>5998122.2171</v>
      </c>
      <c r="J152" s="49">
        <f t="shared" si="23"/>
        <v>8724743</v>
      </c>
      <c r="K152" s="49">
        <f t="shared" si="23"/>
        <v>30580563.217099998</v>
      </c>
    </row>
    <row r="154" spans="1:11" ht="18" customHeight="1">
      <c r="A154" s="6" t="s">
        <v>168</v>
      </c>
      <c r="B154" s="2" t="s">
        <v>28</v>
      </c>
      <c r="F154" s="348">
        <f>K152/F121</f>
        <v>9.5769865984472916E-2</v>
      </c>
    </row>
    <row r="155" spans="1:11" ht="18" customHeight="1">
      <c r="A155" s="6" t="s">
        <v>169</v>
      </c>
      <c r="B155" s="2" t="s">
        <v>72</v>
      </c>
      <c r="F155" s="348">
        <f>K152/F127</f>
        <v>1.8592268492886672</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40" zoomScale="70" zoomScaleNormal="50" zoomScaleSheetLayoutView="70" workbookViewId="0">
      <selection activeCell="K64" sqref="K64"/>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840</v>
      </c>
      <c r="D5" s="654"/>
      <c r="E5" s="654"/>
      <c r="F5" s="654"/>
      <c r="G5" s="655"/>
    </row>
    <row r="6" spans="1:11" ht="18" customHeight="1">
      <c r="B6" s="5" t="s">
        <v>3</v>
      </c>
      <c r="C6" s="671" t="s">
        <v>841</v>
      </c>
      <c r="D6" s="657"/>
      <c r="E6" s="657"/>
      <c r="F6" s="657"/>
      <c r="G6" s="658"/>
    </row>
    <row r="7" spans="1:11" ht="18" customHeight="1">
      <c r="B7" s="5" t="s">
        <v>4</v>
      </c>
      <c r="C7" s="659">
        <v>875</v>
      </c>
      <c r="D7" s="660"/>
      <c r="E7" s="660"/>
      <c r="F7" s="660"/>
      <c r="G7" s="661"/>
    </row>
    <row r="9" spans="1:11" ht="18" customHeight="1">
      <c r="B9" s="5" t="s">
        <v>1</v>
      </c>
      <c r="C9" s="670" t="s">
        <v>842</v>
      </c>
      <c r="D9" s="654"/>
      <c r="E9" s="654"/>
      <c r="F9" s="654"/>
      <c r="G9" s="655"/>
    </row>
    <row r="10" spans="1:11" ht="18" customHeight="1">
      <c r="B10" s="5" t="s">
        <v>2</v>
      </c>
      <c r="C10" s="674" t="s">
        <v>843</v>
      </c>
      <c r="D10" s="663"/>
      <c r="E10" s="663"/>
      <c r="F10" s="663"/>
      <c r="G10" s="664"/>
    </row>
    <row r="11" spans="1:11" ht="18" customHeight="1">
      <c r="B11" s="5" t="s">
        <v>32</v>
      </c>
      <c r="C11" s="670" t="s">
        <v>844</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2"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2810771</v>
      </c>
      <c r="I18" s="50">
        <v>0</v>
      </c>
      <c r="J18" s="15">
        <v>2403560</v>
      </c>
      <c r="K18" s="16">
        <f>(H18+I18)-J18</f>
        <v>407211</v>
      </c>
    </row>
    <row r="19" spans="1:11" ht="45.2"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2002.7249999999999</v>
      </c>
      <c r="G21" s="14">
        <v>84253.8</v>
      </c>
      <c r="H21" s="14">
        <v>91105.2</v>
      </c>
      <c r="I21" s="14">
        <v>126.89999999999999</v>
      </c>
      <c r="J21" s="14">
        <v>150</v>
      </c>
      <c r="K21" s="16">
        <f t="shared" ref="K21:K34" si="0">(H21+I21)-J21</f>
        <v>91082.099999999991</v>
      </c>
    </row>
    <row r="22" spans="1:11" ht="18" customHeight="1">
      <c r="A22" s="5" t="s">
        <v>76</v>
      </c>
      <c r="B22" t="s">
        <v>6</v>
      </c>
      <c r="F22" s="14">
        <v>209.32499999999999</v>
      </c>
      <c r="G22" s="14">
        <v>1224.5999999999999</v>
      </c>
      <c r="H22" s="14">
        <v>13326.9</v>
      </c>
      <c r="I22" s="14">
        <v>3178.7999999999997</v>
      </c>
      <c r="J22" s="14">
        <v>0</v>
      </c>
      <c r="K22" s="16">
        <f t="shared" si="0"/>
        <v>16505.7</v>
      </c>
    </row>
    <row r="23" spans="1:11" ht="18" customHeight="1">
      <c r="A23" s="5" t="s">
        <v>77</v>
      </c>
      <c r="B23" t="s">
        <v>43</v>
      </c>
      <c r="F23" s="14">
        <v>12.15</v>
      </c>
      <c r="G23" s="14">
        <v>75.899999999999991</v>
      </c>
      <c r="H23" s="14">
        <v>3765.8999999999996</v>
      </c>
      <c r="I23" s="14">
        <v>3412.5</v>
      </c>
      <c r="J23" s="14">
        <v>0</v>
      </c>
      <c r="K23" s="16">
        <f t="shared" si="0"/>
        <v>7178.4</v>
      </c>
    </row>
    <row r="24" spans="1:11" ht="18" customHeight="1">
      <c r="A24" s="5" t="s">
        <v>78</v>
      </c>
      <c r="B24" t="s">
        <v>44</v>
      </c>
      <c r="F24" s="14">
        <v>6383.04</v>
      </c>
      <c r="G24" s="14">
        <v>3013.2</v>
      </c>
      <c r="H24" s="14">
        <v>226494.3</v>
      </c>
      <c r="I24" s="50">
        <f t="shared" ref="I24:I34" si="1">H24*F$114</f>
        <v>148240.51934999999</v>
      </c>
      <c r="J24" s="14">
        <v>91675.8</v>
      </c>
      <c r="K24" s="16">
        <f t="shared" si="0"/>
        <v>283059.01935000002</v>
      </c>
    </row>
    <row r="25" spans="1:11" ht="18" customHeight="1">
      <c r="A25" s="5" t="s">
        <v>79</v>
      </c>
      <c r="B25" t="s">
        <v>5</v>
      </c>
      <c r="F25" s="14">
        <v>20.774999999999999</v>
      </c>
      <c r="G25" s="14">
        <v>164.4</v>
      </c>
      <c r="H25" s="14">
        <v>623.4</v>
      </c>
      <c r="I25" s="50">
        <f t="shared" si="1"/>
        <v>408.01529999999997</v>
      </c>
      <c r="J25" s="14">
        <v>0</v>
      </c>
      <c r="K25" s="16">
        <f t="shared" si="0"/>
        <v>1031.4152999999999</v>
      </c>
    </row>
    <row r="26" spans="1:11" ht="18" customHeight="1">
      <c r="A26" s="5" t="s">
        <v>80</v>
      </c>
      <c r="B26" t="s">
        <v>45</v>
      </c>
      <c r="F26" s="14"/>
      <c r="G26" s="14"/>
      <c r="H26" s="15"/>
      <c r="I26" s="50">
        <f t="shared" si="1"/>
        <v>0</v>
      </c>
      <c r="J26" s="15"/>
      <c r="K26" s="16">
        <f t="shared" si="0"/>
        <v>0</v>
      </c>
    </row>
    <row r="27" spans="1:11" ht="18" customHeight="1">
      <c r="A27" s="5" t="s">
        <v>81</v>
      </c>
      <c r="B27" t="s">
        <v>46</v>
      </c>
      <c r="F27" s="14"/>
      <c r="G27" s="14"/>
      <c r="H27" s="15"/>
      <c r="I27" s="50">
        <f t="shared" si="1"/>
        <v>0</v>
      </c>
      <c r="J27" s="15"/>
      <c r="K27" s="16">
        <f t="shared" si="0"/>
        <v>0</v>
      </c>
    </row>
    <row r="28" spans="1:11" ht="18" customHeight="1">
      <c r="A28" s="5" t="s">
        <v>82</v>
      </c>
      <c r="B28" t="s">
        <v>47</v>
      </c>
      <c r="F28" s="14">
        <v>658.65</v>
      </c>
      <c r="G28" s="14">
        <v>29.099999999999998</v>
      </c>
      <c r="H28" s="14">
        <v>13458</v>
      </c>
      <c r="I28" s="50">
        <f t="shared" si="1"/>
        <v>8808.2610000000004</v>
      </c>
      <c r="J28" s="14">
        <v>0</v>
      </c>
      <c r="K28" s="16">
        <f t="shared" si="0"/>
        <v>22266.260999999999</v>
      </c>
    </row>
    <row r="29" spans="1:11" ht="18" customHeight="1">
      <c r="A29" s="5" t="s">
        <v>83</v>
      </c>
      <c r="B29" t="s">
        <v>48</v>
      </c>
      <c r="F29" s="14">
        <v>940.72499999999991</v>
      </c>
      <c r="G29" s="14">
        <v>69</v>
      </c>
      <c r="H29" s="14">
        <v>193726.5</v>
      </c>
      <c r="I29" s="50">
        <f t="shared" si="1"/>
        <v>126793.99424999999</v>
      </c>
      <c r="J29" s="14">
        <v>0</v>
      </c>
      <c r="K29" s="16">
        <f t="shared" si="0"/>
        <v>320520.49424999999</v>
      </c>
    </row>
    <row r="30" spans="1:11" ht="18" customHeight="1">
      <c r="A30" s="5" t="s">
        <v>84</v>
      </c>
      <c r="B30" s="636"/>
      <c r="C30" s="637"/>
      <c r="D30" s="638"/>
      <c r="F30" s="14">
        <v>62.4</v>
      </c>
      <c r="G30" s="14">
        <v>0</v>
      </c>
      <c r="H30" s="14">
        <v>451.8</v>
      </c>
      <c r="I30" s="50">
        <f t="shared" si="1"/>
        <v>295.70310000000001</v>
      </c>
      <c r="J30" s="14">
        <v>0</v>
      </c>
      <c r="K30" s="16">
        <f t="shared" si="0"/>
        <v>747.50310000000002</v>
      </c>
    </row>
    <row r="31" spans="1:11" ht="18" customHeight="1">
      <c r="A31" s="5" t="s">
        <v>133</v>
      </c>
      <c r="B31" s="636"/>
      <c r="C31" s="637"/>
      <c r="D31" s="638"/>
      <c r="F31" s="14"/>
      <c r="G31" s="14"/>
      <c r="H31" s="15"/>
      <c r="I31" s="50">
        <f t="shared" si="1"/>
        <v>0</v>
      </c>
      <c r="J31" s="15"/>
      <c r="K31" s="16">
        <f t="shared" si="0"/>
        <v>0</v>
      </c>
    </row>
    <row r="32" spans="1:11" ht="18" customHeight="1">
      <c r="A32" s="5" t="s">
        <v>134</v>
      </c>
      <c r="B32" s="363"/>
      <c r="C32" s="364"/>
      <c r="D32" s="365"/>
      <c r="F32" s="14"/>
      <c r="G32" s="342" t="s">
        <v>85</v>
      </c>
      <c r="H32" s="15"/>
      <c r="I32" s="50">
        <f t="shared" si="1"/>
        <v>0</v>
      </c>
      <c r="J32" s="15"/>
      <c r="K32" s="16">
        <f t="shared" si="0"/>
        <v>0</v>
      </c>
    </row>
    <row r="33" spans="1:11" ht="18" customHeight="1">
      <c r="A33" s="5" t="s">
        <v>135</v>
      </c>
      <c r="B33" s="363"/>
      <c r="C33" s="364"/>
      <c r="D33" s="365"/>
      <c r="F33" s="14"/>
      <c r="G33" s="342" t="s">
        <v>85</v>
      </c>
      <c r="H33" s="15"/>
      <c r="I33" s="50">
        <f t="shared" si="1"/>
        <v>0</v>
      </c>
      <c r="J33" s="15"/>
      <c r="K33" s="16">
        <f t="shared" si="0"/>
        <v>0</v>
      </c>
    </row>
    <row r="34" spans="1:11" ht="18" customHeight="1">
      <c r="A34" s="5" t="s">
        <v>136</v>
      </c>
      <c r="B34" s="636"/>
      <c r="C34" s="637"/>
      <c r="D34" s="638"/>
      <c r="F34" s="14"/>
      <c r="G34" s="342" t="s">
        <v>85</v>
      </c>
      <c r="H34" s="15"/>
      <c r="I34" s="50">
        <f t="shared" si="1"/>
        <v>0</v>
      </c>
      <c r="J34" s="15"/>
      <c r="K34" s="16">
        <f t="shared" si="0"/>
        <v>0</v>
      </c>
    </row>
    <row r="35" spans="1:11" ht="18" customHeight="1">
      <c r="K35" s="44"/>
    </row>
    <row r="36" spans="1:11" ht="18" customHeight="1">
      <c r="A36" s="6" t="s">
        <v>137</v>
      </c>
      <c r="B36" s="2" t="s">
        <v>138</v>
      </c>
      <c r="E36" s="2" t="s">
        <v>7</v>
      </c>
      <c r="F36" s="18">
        <f t="shared" ref="F36:K36" si="2">SUM(F21:F34)</f>
        <v>10289.789999999999</v>
      </c>
      <c r="G36" s="18">
        <f t="shared" si="2"/>
        <v>88830</v>
      </c>
      <c r="H36" s="18">
        <f t="shared" si="2"/>
        <v>542952</v>
      </c>
      <c r="I36" s="16">
        <f t="shared" si="2"/>
        <v>291264.69299999997</v>
      </c>
      <c r="J36" s="16">
        <f t="shared" si="2"/>
        <v>91825.8</v>
      </c>
      <c r="K36" s="16">
        <f t="shared" si="2"/>
        <v>742390.89300000004</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2129.4</v>
      </c>
      <c r="G40" s="14">
        <v>0</v>
      </c>
      <c r="H40" s="14">
        <v>153357.6</v>
      </c>
      <c r="I40" s="50">
        <f t="shared" ref="I40:I42" si="3">H40*F$114</f>
        <v>100372.54919999999</v>
      </c>
      <c r="J40" s="14">
        <v>0</v>
      </c>
      <c r="K40" s="16">
        <f t="shared" ref="K40:K47" si="4">(H40+I40)-J40</f>
        <v>253730.14919999999</v>
      </c>
    </row>
    <row r="41" spans="1:11" ht="18" customHeight="1">
      <c r="A41" s="5" t="s">
        <v>88</v>
      </c>
      <c r="B41" s="641" t="s">
        <v>50</v>
      </c>
      <c r="C41" s="649"/>
      <c r="F41" s="14">
        <v>4986.3</v>
      </c>
      <c r="G41" s="14">
        <v>3.3</v>
      </c>
      <c r="H41" s="14">
        <v>185072.4</v>
      </c>
      <c r="I41" s="50">
        <f t="shared" si="3"/>
        <v>121129.88579999999</v>
      </c>
      <c r="J41" s="14">
        <v>0</v>
      </c>
      <c r="K41" s="16">
        <f t="shared" si="4"/>
        <v>306202.28579999995</v>
      </c>
    </row>
    <row r="42" spans="1:11" ht="18" customHeight="1">
      <c r="A42" s="5" t="s">
        <v>89</v>
      </c>
      <c r="B42" s="341" t="s">
        <v>11</v>
      </c>
      <c r="F42" s="14">
        <v>13844.85</v>
      </c>
      <c r="G42" s="14">
        <v>50.4</v>
      </c>
      <c r="H42" s="14">
        <v>526048.19999999995</v>
      </c>
      <c r="I42" s="50">
        <f t="shared" si="3"/>
        <v>344298.54689999996</v>
      </c>
      <c r="J42" s="14">
        <v>573</v>
      </c>
      <c r="K42" s="16">
        <f t="shared" si="4"/>
        <v>869773.74689999991</v>
      </c>
    </row>
    <row r="43" spans="1:11" ht="18" customHeight="1">
      <c r="A43" s="5" t="s">
        <v>90</v>
      </c>
      <c r="B43" s="343" t="s">
        <v>10</v>
      </c>
      <c r="C43" s="10"/>
      <c r="D43" s="10"/>
      <c r="F43" s="14"/>
      <c r="G43" s="14"/>
      <c r="H43" s="15"/>
      <c r="I43" s="50">
        <v>0</v>
      </c>
      <c r="J43" s="15"/>
      <c r="K43" s="16">
        <f t="shared" si="4"/>
        <v>0</v>
      </c>
    </row>
    <row r="44" spans="1:11" ht="18" customHeight="1">
      <c r="A44" s="5" t="s">
        <v>91</v>
      </c>
      <c r="B44" s="636"/>
      <c r="C44" s="637"/>
      <c r="D44" s="638"/>
      <c r="F44" s="54"/>
      <c r="G44" s="54"/>
      <c r="H44" s="54"/>
      <c r="I44" s="55">
        <v>0</v>
      </c>
      <c r="J44" s="54"/>
      <c r="K44" s="56">
        <f t="shared" si="4"/>
        <v>0</v>
      </c>
    </row>
    <row r="45" spans="1:11" ht="18" customHeight="1">
      <c r="A45" s="5" t="s">
        <v>139</v>
      </c>
      <c r="B45" s="636"/>
      <c r="C45" s="637"/>
      <c r="D45" s="638"/>
      <c r="F45" s="14"/>
      <c r="G45" s="14"/>
      <c r="H45" s="15"/>
      <c r="I45" s="50">
        <v>0</v>
      </c>
      <c r="J45" s="15"/>
      <c r="K45" s="16">
        <f t="shared" si="4"/>
        <v>0</v>
      </c>
    </row>
    <row r="46" spans="1:11" ht="18" customHeight="1">
      <c r="A46" s="5" t="s">
        <v>140</v>
      </c>
      <c r="B46" s="636"/>
      <c r="C46" s="637"/>
      <c r="D46" s="638"/>
      <c r="F46" s="14"/>
      <c r="G46" s="14"/>
      <c r="H46" s="15"/>
      <c r="I46" s="50">
        <v>0</v>
      </c>
      <c r="J46" s="15"/>
      <c r="K46" s="16">
        <f t="shared" si="4"/>
        <v>0</v>
      </c>
    </row>
    <row r="47" spans="1:11" ht="18" customHeight="1">
      <c r="A47" s="5" t="s">
        <v>141</v>
      </c>
      <c r="B47" s="636"/>
      <c r="C47" s="637"/>
      <c r="D47" s="638"/>
      <c r="F47" s="14"/>
      <c r="G47" s="14"/>
      <c r="H47" s="15"/>
      <c r="I47" s="50">
        <v>0</v>
      </c>
      <c r="J47" s="15"/>
      <c r="K47" s="16">
        <f t="shared" si="4"/>
        <v>0</v>
      </c>
    </row>
    <row r="49" spans="1:11" ht="18" customHeight="1">
      <c r="A49" s="6" t="s">
        <v>142</v>
      </c>
      <c r="B49" s="2" t="s">
        <v>143</v>
      </c>
      <c r="E49" s="2" t="s">
        <v>7</v>
      </c>
      <c r="F49" s="23">
        <f t="shared" ref="F49:K49" si="5">SUM(F40:F47)</f>
        <v>20960.550000000003</v>
      </c>
      <c r="G49" s="23">
        <f t="shared" si="5"/>
        <v>53.699999999999996</v>
      </c>
      <c r="H49" s="16">
        <f t="shared" si="5"/>
        <v>864478.2</v>
      </c>
      <c r="I49" s="16">
        <f t="shared" si="5"/>
        <v>565800.98190000001</v>
      </c>
      <c r="J49" s="16">
        <f t="shared" si="5"/>
        <v>573</v>
      </c>
      <c r="K49" s="16">
        <f t="shared" si="5"/>
        <v>1429706.1818999997</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845</v>
      </c>
      <c r="C53" s="648"/>
      <c r="D53" s="644"/>
      <c r="F53" s="14"/>
      <c r="G53" s="14"/>
      <c r="H53" s="15">
        <v>809257</v>
      </c>
      <c r="I53" s="50">
        <v>0</v>
      </c>
      <c r="J53" s="15"/>
      <c r="K53" s="16">
        <f t="shared" ref="K53:K62" si="6">(H53+I53)-J53</f>
        <v>809257</v>
      </c>
    </row>
    <row r="54" spans="1:11" ht="18" customHeight="1">
      <c r="A54" s="5" t="s">
        <v>93</v>
      </c>
      <c r="B54" s="360" t="s">
        <v>846</v>
      </c>
      <c r="C54" s="361"/>
      <c r="D54" s="362"/>
      <c r="F54" s="14"/>
      <c r="G54" s="14"/>
      <c r="H54" s="15">
        <v>898354</v>
      </c>
      <c r="I54" s="50">
        <v>0</v>
      </c>
      <c r="J54" s="15"/>
      <c r="K54" s="16">
        <f t="shared" si="6"/>
        <v>898354</v>
      </c>
    </row>
    <row r="55" spans="1:11" ht="18" customHeight="1">
      <c r="A55" s="5" t="s">
        <v>94</v>
      </c>
      <c r="B55" s="642"/>
      <c r="C55" s="643"/>
      <c r="D55" s="644"/>
      <c r="F55" s="14"/>
      <c r="G55" s="14"/>
      <c r="H55" s="15"/>
      <c r="I55" s="50">
        <v>0</v>
      </c>
      <c r="J55" s="15"/>
      <c r="K55" s="16">
        <f t="shared" si="6"/>
        <v>0</v>
      </c>
    </row>
    <row r="56" spans="1:11" ht="18" customHeight="1">
      <c r="A56" s="5" t="s">
        <v>95</v>
      </c>
      <c r="B56" s="642"/>
      <c r="C56" s="643"/>
      <c r="D56" s="644"/>
      <c r="F56" s="14"/>
      <c r="G56" s="14"/>
      <c r="H56" s="15"/>
      <c r="I56" s="50">
        <v>0</v>
      </c>
      <c r="J56" s="15"/>
      <c r="K56" s="16">
        <f t="shared" si="6"/>
        <v>0</v>
      </c>
    </row>
    <row r="57" spans="1:11" ht="18" customHeight="1">
      <c r="A57" s="5" t="s">
        <v>96</v>
      </c>
      <c r="B57" s="642"/>
      <c r="C57" s="643"/>
      <c r="D57" s="644"/>
      <c r="F57" s="14"/>
      <c r="G57" s="14"/>
      <c r="H57" s="15"/>
      <c r="I57" s="50">
        <v>0</v>
      </c>
      <c r="J57" s="15"/>
      <c r="K57" s="16">
        <f t="shared" si="6"/>
        <v>0</v>
      </c>
    </row>
    <row r="58" spans="1:11" ht="18" customHeight="1">
      <c r="A58" s="5" t="s">
        <v>97</v>
      </c>
      <c r="B58" s="360"/>
      <c r="C58" s="361"/>
      <c r="D58" s="362"/>
      <c r="F58" s="14"/>
      <c r="G58" s="14"/>
      <c r="H58" s="15"/>
      <c r="I58" s="50">
        <v>0</v>
      </c>
      <c r="J58" s="15"/>
      <c r="K58" s="16">
        <f t="shared" si="6"/>
        <v>0</v>
      </c>
    </row>
    <row r="59" spans="1:11" ht="18" customHeight="1">
      <c r="A59" s="5" t="s">
        <v>98</v>
      </c>
      <c r="B59" s="642" t="s">
        <v>847</v>
      </c>
      <c r="C59" s="643"/>
      <c r="D59" s="644"/>
      <c r="F59" s="14">
        <v>31.049999999999997</v>
      </c>
      <c r="G59" s="14">
        <v>0</v>
      </c>
      <c r="H59" s="14">
        <v>4555.5</v>
      </c>
      <c r="I59" s="50">
        <v>0</v>
      </c>
      <c r="J59" s="14">
        <v>0</v>
      </c>
      <c r="K59" s="16">
        <f t="shared" si="6"/>
        <v>4555.5</v>
      </c>
    </row>
    <row r="60" spans="1:11" ht="18" customHeight="1">
      <c r="A60" s="5" t="s">
        <v>99</v>
      </c>
      <c r="B60" s="360"/>
      <c r="C60" s="361"/>
      <c r="D60" s="362"/>
      <c r="F60" s="14"/>
      <c r="G60" s="14"/>
      <c r="H60" s="15"/>
      <c r="I60" s="50">
        <v>0</v>
      </c>
      <c r="J60" s="15"/>
      <c r="K60" s="16">
        <f t="shared" si="6"/>
        <v>0</v>
      </c>
    </row>
    <row r="61" spans="1:11" ht="18" customHeight="1">
      <c r="A61" s="5" t="s">
        <v>100</v>
      </c>
      <c r="B61" s="360" t="s">
        <v>848</v>
      </c>
      <c r="C61" s="361"/>
      <c r="D61" s="362"/>
      <c r="F61" s="14">
        <v>4.2</v>
      </c>
      <c r="G61" s="14">
        <v>27</v>
      </c>
      <c r="H61" s="14">
        <v>315.89999999999998</v>
      </c>
      <c r="I61" s="50">
        <v>0</v>
      </c>
      <c r="J61" s="14">
        <v>0</v>
      </c>
      <c r="K61" s="16">
        <f t="shared" si="6"/>
        <v>315.89999999999998</v>
      </c>
    </row>
    <row r="62" spans="1:11" ht="18" customHeight="1">
      <c r="A62" s="5" t="s">
        <v>101</v>
      </c>
      <c r="B62" s="642"/>
      <c r="C62" s="643"/>
      <c r="D62" s="644"/>
      <c r="F62" s="14"/>
      <c r="G62" s="14"/>
      <c r="H62" s="15"/>
      <c r="I62" s="50">
        <v>0</v>
      </c>
      <c r="J62" s="15"/>
      <c r="K62" s="16">
        <f t="shared" si="6"/>
        <v>0</v>
      </c>
    </row>
    <row r="63" spans="1:11" ht="18" customHeight="1">
      <c r="A63" s="5"/>
      <c r="I63" s="46"/>
    </row>
    <row r="64" spans="1:11" ht="18" customHeight="1">
      <c r="A64" s="5" t="s">
        <v>144</v>
      </c>
      <c r="B64" s="2" t="s">
        <v>145</v>
      </c>
      <c r="E64" s="2" t="s">
        <v>7</v>
      </c>
      <c r="F64" s="18">
        <f t="shared" ref="F64:K64" si="7">SUM(F53:F62)</f>
        <v>35.25</v>
      </c>
      <c r="G64" s="18">
        <f t="shared" si="7"/>
        <v>27</v>
      </c>
      <c r="H64" s="16">
        <f t="shared" si="7"/>
        <v>1712482.4</v>
      </c>
      <c r="I64" s="16">
        <f t="shared" si="7"/>
        <v>0</v>
      </c>
      <c r="J64" s="16">
        <f t="shared" si="7"/>
        <v>0</v>
      </c>
      <c r="K64" s="16">
        <f t="shared" si="7"/>
        <v>1712482.4</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14">
        <v>3218.1899999999996</v>
      </c>
      <c r="G68" s="14">
        <v>0</v>
      </c>
      <c r="H68" s="14">
        <v>103165.8</v>
      </c>
      <c r="I68" s="50">
        <f t="shared" ref="I68" si="8">H68*F$114</f>
        <v>67522.016099999993</v>
      </c>
      <c r="J68" s="14">
        <v>0</v>
      </c>
      <c r="K68" s="16">
        <f>(H68+I68)-J68</f>
        <v>170687.8161</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9">SUM(F68:F72)</f>
        <v>3218.1899999999996</v>
      </c>
      <c r="G74" s="21">
        <f t="shared" si="9"/>
        <v>0</v>
      </c>
      <c r="H74" s="21">
        <f t="shared" si="9"/>
        <v>103165.8</v>
      </c>
      <c r="I74" s="53">
        <f t="shared" si="9"/>
        <v>67522.016099999993</v>
      </c>
      <c r="J74" s="21">
        <f t="shared" si="9"/>
        <v>0</v>
      </c>
      <c r="K74" s="17">
        <f t="shared" si="9"/>
        <v>170687.8161</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v>3</v>
      </c>
      <c r="G77" s="14">
        <v>0</v>
      </c>
      <c r="H77" s="14">
        <v>5573.0999999999995</v>
      </c>
      <c r="I77" s="50">
        <v>0</v>
      </c>
      <c r="J77" s="14">
        <v>0</v>
      </c>
      <c r="K77" s="16">
        <f>(H77+I77)-J77</f>
        <v>5573.0999999999995</v>
      </c>
    </row>
    <row r="78" spans="1:11" ht="18" customHeight="1">
      <c r="A78" s="5" t="s">
        <v>108</v>
      </c>
      <c r="B78" s="341" t="s">
        <v>55</v>
      </c>
      <c r="F78" s="14"/>
      <c r="G78" s="14"/>
      <c r="H78" s="15"/>
      <c r="I78" s="50">
        <v>0</v>
      </c>
      <c r="J78" s="15"/>
      <c r="K78" s="16">
        <f>(H78+I78)-J78</f>
        <v>0</v>
      </c>
    </row>
    <row r="79" spans="1:11" ht="18" customHeight="1">
      <c r="A79" s="5" t="s">
        <v>109</v>
      </c>
      <c r="B79" s="341" t="s">
        <v>13</v>
      </c>
      <c r="F79" s="14">
        <v>352.86599999999999</v>
      </c>
      <c r="G79" s="14">
        <v>107.39999999999999</v>
      </c>
      <c r="H79" s="14">
        <v>38886.6</v>
      </c>
      <c r="I79" s="50">
        <v>0</v>
      </c>
      <c r="J79" s="14">
        <v>0</v>
      </c>
      <c r="K79" s="16">
        <f>(H79+I79)-J79</f>
        <v>38886.6</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10">SUM(F77:F80)</f>
        <v>355.86599999999999</v>
      </c>
      <c r="G82" s="21">
        <f t="shared" si="10"/>
        <v>107.39999999999999</v>
      </c>
      <c r="H82" s="17">
        <f t="shared" si="10"/>
        <v>44459.7</v>
      </c>
      <c r="I82" s="17">
        <f t="shared" si="10"/>
        <v>0</v>
      </c>
      <c r="J82" s="17">
        <f t="shared" si="10"/>
        <v>0</v>
      </c>
      <c r="K82" s="17">
        <f t="shared" si="10"/>
        <v>44459.7</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1">H86*F$114</f>
        <v>0</v>
      </c>
      <c r="J86" s="15"/>
      <c r="K86" s="16">
        <f t="shared" ref="K86:K96" si="12">(H86+I86)-J86</f>
        <v>0</v>
      </c>
    </row>
    <row r="87" spans="1:11" ht="18" customHeight="1">
      <c r="A87" s="5" t="s">
        <v>114</v>
      </c>
      <c r="B87" s="341" t="s">
        <v>14</v>
      </c>
      <c r="F87" s="14">
        <v>4.8</v>
      </c>
      <c r="G87" s="14">
        <v>0</v>
      </c>
      <c r="H87" s="14">
        <v>497.7</v>
      </c>
      <c r="I87" s="50">
        <f t="shared" si="11"/>
        <v>325.74464999999998</v>
      </c>
      <c r="J87" s="14">
        <v>0</v>
      </c>
      <c r="K87" s="16">
        <f t="shared" si="12"/>
        <v>823.44464999999991</v>
      </c>
    </row>
    <row r="88" spans="1:11" ht="18" customHeight="1">
      <c r="A88" s="5" t="s">
        <v>115</v>
      </c>
      <c r="B88" s="341" t="s">
        <v>116</v>
      </c>
      <c r="F88" s="14">
        <v>60.3</v>
      </c>
      <c r="G88" s="14">
        <v>0</v>
      </c>
      <c r="H88" s="14">
        <v>17101.8</v>
      </c>
      <c r="I88" s="50">
        <f t="shared" si="11"/>
        <v>11193.1281</v>
      </c>
      <c r="J88" s="14">
        <v>13500</v>
      </c>
      <c r="K88" s="16">
        <f t="shared" si="12"/>
        <v>14794.928099999997</v>
      </c>
    </row>
    <row r="89" spans="1:11" ht="18" customHeight="1">
      <c r="A89" s="5" t="s">
        <v>117</v>
      </c>
      <c r="B89" s="341" t="s">
        <v>58</v>
      </c>
      <c r="F89" s="14">
        <v>48</v>
      </c>
      <c r="G89" s="14">
        <v>0</v>
      </c>
      <c r="H89" s="14">
        <v>2488.7999999999997</v>
      </c>
      <c r="I89" s="50">
        <f t="shared" si="11"/>
        <v>1628.9195999999997</v>
      </c>
      <c r="J89" s="14">
        <v>0</v>
      </c>
      <c r="K89" s="16">
        <f t="shared" si="12"/>
        <v>4117.7195999999994</v>
      </c>
    </row>
    <row r="90" spans="1:11" ht="18" customHeight="1">
      <c r="A90" s="5" t="s">
        <v>118</v>
      </c>
      <c r="B90" s="641" t="s">
        <v>59</v>
      </c>
      <c r="C90" s="649"/>
      <c r="F90" s="14">
        <v>1.2</v>
      </c>
      <c r="G90" s="14">
        <v>0</v>
      </c>
      <c r="H90" s="14">
        <v>124.5</v>
      </c>
      <c r="I90" s="50">
        <f t="shared" si="11"/>
        <v>81.485249999999994</v>
      </c>
      <c r="J90" s="14">
        <v>0</v>
      </c>
      <c r="K90" s="16">
        <f t="shared" si="12"/>
        <v>205.98525000000001</v>
      </c>
    </row>
    <row r="91" spans="1:11" ht="18" customHeight="1">
      <c r="A91" s="5" t="s">
        <v>119</v>
      </c>
      <c r="B91" s="341" t="s">
        <v>60</v>
      </c>
      <c r="F91" s="14">
        <v>113.85</v>
      </c>
      <c r="G91" s="14">
        <v>22.5</v>
      </c>
      <c r="H91" s="14">
        <v>10482.299999999999</v>
      </c>
      <c r="I91" s="50">
        <f t="shared" si="11"/>
        <v>6860.6653499999993</v>
      </c>
      <c r="J91" s="14">
        <v>0</v>
      </c>
      <c r="K91" s="16">
        <f t="shared" si="12"/>
        <v>17342.965349999999</v>
      </c>
    </row>
    <row r="92" spans="1:11" ht="18" customHeight="1">
      <c r="A92" s="5" t="s">
        <v>120</v>
      </c>
      <c r="B92" s="341" t="s">
        <v>121</v>
      </c>
      <c r="F92" s="38"/>
      <c r="G92" s="38"/>
      <c r="H92" s="39"/>
      <c r="I92" s="50">
        <f t="shared" si="11"/>
        <v>0</v>
      </c>
      <c r="J92" s="39"/>
      <c r="K92" s="16">
        <f t="shared" si="12"/>
        <v>0</v>
      </c>
    </row>
    <row r="93" spans="1:11" ht="18" customHeight="1">
      <c r="A93" s="5" t="s">
        <v>122</v>
      </c>
      <c r="B93" s="341" t="s">
        <v>123</v>
      </c>
      <c r="F93" s="14">
        <v>29.849999999999998</v>
      </c>
      <c r="G93" s="14">
        <v>33.299999999999997</v>
      </c>
      <c r="H93" s="14">
        <v>780.6</v>
      </c>
      <c r="I93" s="50">
        <f t="shared" si="11"/>
        <v>510.90269999999998</v>
      </c>
      <c r="J93" s="14">
        <v>0</v>
      </c>
      <c r="K93" s="16">
        <f t="shared" si="12"/>
        <v>1291.5027</v>
      </c>
    </row>
    <row r="94" spans="1:11" ht="18" customHeight="1">
      <c r="A94" s="5" t="s">
        <v>124</v>
      </c>
      <c r="B94" s="642"/>
      <c r="C94" s="643"/>
      <c r="D94" s="644"/>
      <c r="F94" s="14"/>
      <c r="G94" s="14"/>
      <c r="H94" s="15"/>
      <c r="I94" s="50">
        <f t="shared" si="11"/>
        <v>0</v>
      </c>
      <c r="J94" s="15"/>
      <c r="K94" s="16">
        <f t="shared" si="12"/>
        <v>0</v>
      </c>
    </row>
    <row r="95" spans="1:11" ht="18" customHeight="1">
      <c r="A95" s="5" t="s">
        <v>125</v>
      </c>
      <c r="B95" s="642"/>
      <c r="C95" s="643"/>
      <c r="D95" s="644"/>
      <c r="F95" s="14"/>
      <c r="G95" s="14"/>
      <c r="H95" s="15"/>
      <c r="I95" s="50">
        <f t="shared" si="11"/>
        <v>0</v>
      </c>
      <c r="J95" s="15"/>
      <c r="K95" s="16">
        <f t="shared" si="12"/>
        <v>0</v>
      </c>
    </row>
    <row r="96" spans="1:11" ht="18" customHeight="1">
      <c r="A96" s="5" t="s">
        <v>126</v>
      </c>
      <c r="B96" s="642"/>
      <c r="C96" s="643"/>
      <c r="D96" s="644"/>
      <c r="F96" s="14"/>
      <c r="G96" s="14"/>
      <c r="H96" s="15"/>
      <c r="I96" s="50">
        <f t="shared" si="11"/>
        <v>0</v>
      </c>
      <c r="J96" s="15"/>
      <c r="K96" s="16">
        <f t="shared" si="12"/>
        <v>0</v>
      </c>
    </row>
    <row r="97" spans="1:11" ht="18" customHeight="1">
      <c r="A97" s="5"/>
      <c r="B97" s="341"/>
    </row>
    <row r="98" spans="1:11" ht="18" customHeight="1">
      <c r="A98" s="6" t="s">
        <v>150</v>
      </c>
      <c r="B98" s="2" t="s">
        <v>151</v>
      </c>
      <c r="E98" s="2" t="s">
        <v>7</v>
      </c>
      <c r="F98" s="18">
        <f t="shared" ref="F98:K98" si="13">SUM(F86:F96)</f>
        <v>258</v>
      </c>
      <c r="G98" s="18">
        <f t="shared" si="13"/>
        <v>55.8</v>
      </c>
      <c r="H98" s="18">
        <f t="shared" si="13"/>
        <v>31475.699999999997</v>
      </c>
      <c r="I98" s="18">
        <f t="shared" si="13"/>
        <v>20600.845649999996</v>
      </c>
      <c r="J98" s="18">
        <f t="shared" si="13"/>
        <v>13500</v>
      </c>
      <c r="K98" s="18">
        <f t="shared" si="13"/>
        <v>38576.545649999993</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941.4</v>
      </c>
      <c r="G102" s="14">
        <v>0.3</v>
      </c>
      <c r="H102" s="14">
        <v>31930.5</v>
      </c>
      <c r="I102" s="50">
        <f>H102*F$114</f>
        <v>20898.51225</v>
      </c>
      <c r="J102" s="14">
        <v>0</v>
      </c>
      <c r="K102" s="16">
        <f>(H102+I102)-J102</f>
        <v>52829.01225</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4">SUM(F102:F106)</f>
        <v>941.4</v>
      </c>
      <c r="G108" s="18">
        <f t="shared" si="14"/>
        <v>0.3</v>
      </c>
      <c r="H108" s="16">
        <f t="shared" si="14"/>
        <v>31930.5</v>
      </c>
      <c r="I108" s="16">
        <f t="shared" si="14"/>
        <v>20898.51225</v>
      </c>
      <c r="J108" s="16">
        <f t="shared" si="14"/>
        <v>0</v>
      </c>
      <c r="K108" s="16">
        <f t="shared" si="14"/>
        <v>52829.01225</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3428179</v>
      </c>
    </row>
    <row r="112" spans="1:11" ht="18" customHeight="1">
      <c r="B112" s="2"/>
      <c r="E112" s="2"/>
      <c r="F112" s="22"/>
    </row>
    <row r="113" spans="1:6" ht="18" customHeight="1">
      <c r="A113" s="6"/>
      <c r="B113" s="2" t="s">
        <v>15</v>
      </c>
    </row>
    <row r="114" spans="1:6" ht="18" customHeight="1">
      <c r="A114" s="5" t="s">
        <v>171</v>
      </c>
      <c r="B114" s="341" t="s">
        <v>35</v>
      </c>
      <c r="F114" s="25">
        <v>0.65449999999999997</v>
      </c>
    </row>
    <row r="115" spans="1:6" ht="18" customHeight="1">
      <c r="A115" s="5"/>
      <c r="B115" s="2"/>
    </row>
    <row r="116" spans="1:6" ht="18" customHeight="1">
      <c r="A116" s="5" t="s">
        <v>170</v>
      </c>
      <c r="B116" s="2" t="s">
        <v>16</v>
      </c>
    </row>
    <row r="117" spans="1:6" ht="18" customHeight="1">
      <c r="A117" s="5" t="s">
        <v>172</v>
      </c>
      <c r="B117" s="341" t="s">
        <v>17</v>
      </c>
      <c r="F117" s="15">
        <v>84058000</v>
      </c>
    </row>
    <row r="118" spans="1:6" ht="18" customHeight="1">
      <c r="A118" s="5" t="s">
        <v>173</v>
      </c>
      <c r="B118" t="s">
        <v>18</v>
      </c>
      <c r="F118" s="15">
        <v>2737000</v>
      </c>
    </row>
    <row r="119" spans="1:6" ht="18" customHeight="1">
      <c r="A119" s="5" t="s">
        <v>174</v>
      </c>
      <c r="B119" s="2" t="s">
        <v>19</v>
      </c>
      <c r="F119" s="17">
        <f>SUM(F117:F118)</f>
        <v>86795000</v>
      </c>
    </row>
    <row r="120" spans="1:6" ht="18" customHeight="1">
      <c r="A120" s="5"/>
      <c r="B120" s="2"/>
    </row>
    <row r="121" spans="1:6" ht="18" customHeight="1">
      <c r="A121" s="5" t="s">
        <v>167</v>
      </c>
      <c r="B121" s="2" t="s">
        <v>36</v>
      </c>
      <c r="F121" s="15">
        <v>80416000</v>
      </c>
    </row>
    <row r="122" spans="1:6" ht="18" customHeight="1">
      <c r="A122" s="5"/>
    </row>
    <row r="123" spans="1:6" ht="18" customHeight="1">
      <c r="A123" s="5" t="s">
        <v>175</v>
      </c>
      <c r="B123" s="2" t="s">
        <v>20</v>
      </c>
      <c r="F123" s="15">
        <v>6378000</v>
      </c>
    </row>
    <row r="124" spans="1:6" ht="18" customHeight="1">
      <c r="A124" s="5"/>
    </row>
    <row r="125" spans="1:6" ht="18" customHeight="1">
      <c r="A125" s="5" t="s">
        <v>176</v>
      </c>
      <c r="B125" s="2" t="s">
        <v>21</v>
      </c>
      <c r="F125" s="15">
        <v>5769000</v>
      </c>
    </row>
    <row r="126" spans="1:6" ht="18" customHeight="1">
      <c r="A126" s="5"/>
    </row>
    <row r="127" spans="1:6" ht="18" customHeight="1">
      <c r="A127" s="5" t="s">
        <v>177</v>
      </c>
      <c r="B127" s="2" t="s">
        <v>22</v>
      </c>
      <c r="F127" s="15">
        <v>12147000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5">SUM(F131:F135)</f>
        <v>0</v>
      </c>
      <c r="G137" s="18">
        <f t="shared" si="15"/>
        <v>0</v>
      </c>
      <c r="H137" s="16">
        <f t="shared" si="15"/>
        <v>0</v>
      </c>
      <c r="I137" s="16">
        <f t="shared" si="15"/>
        <v>0</v>
      </c>
      <c r="J137" s="16">
        <f t="shared" si="15"/>
        <v>0</v>
      </c>
      <c r="K137" s="16">
        <f t="shared" si="15"/>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6">F36</f>
        <v>10289.789999999999</v>
      </c>
      <c r="G141" s="41">
        <f t="shared" si="16"/>
        <v>88830</v>
      </c>
      <c r="H141" s="41">
        <f t="shared" si="16"/>
        <v>542952</v>
      </c>
      <c r="I141" s="41">
        <f t="shared" si="16"/>
        <v>291264.69299999997</v>
      </c>
      <c r="J141" s="41">
        <f t="shared" si="16"/>
        <v>91825.8</v>
      </c>
      <c r="K141" s="41">
        <f t="shared" si="16"/>
        <v>742390.89300000004</v>
      </c>
    </row>
    <row r="142" spans="1:11" ht="18" customHeight="1">
      <c r="A142" s="5" t="s">
        <v>142</v>
      </c>
      <c r="B142" s="2" t="s">
        <v>65</v>
      </c>
      <c r="F142" s="41">
        <f t="shared" ref="F142:K142" si="17">F49</f>
        <v>20960.550000000003</v>
      </c>
      <c r="G142" s="41">
        <f t="shared" si="17"/>
        <v>53.699999999999996</v>
      </c>
      <c r="H142" s="41">
        <f t="shared" si="17"/>
        <v>864478.2</v>
      </c>
      <c r="I142" s="41">
        <f t="shared" si="17"/>
        <v>565800.98190000001</v>
      </c>
      <c r="J142" s="41">
        <f t="shared" si="17"/>
        <v>573</v>
      </c>
      <c r="K142" s="41">
        <f t="shared" si="17"/>
        <v>1429706.1818999997</v>
      </c>
    </row>
    <row r="143" spans="1:11" ht="18" customHeight="1">
      <c r="A143" s="5" t="s">
        <v>144</v>
      </c>
      <c r="B143" s="2" t="s">
        <v>66</v>
      </c>
      <c r="F143" s="41">
        <f t="shared" ref="F143:K143" si="18">F64</f>
        <v>35.25</v>
      </c>
      <c r="G143" s="41">
        <f t="shared" si="18"/>
        <v>27</v>
      </c>
      <c r="H143" s="41">
        <f t="shared" si="18"/>
        <v>1712482.4</v>
      </c>
      <c r="I143" s="41">
        <f t="shared" si="18"/>
        <v>0</v>
      </c>
      <c r="J143" s="41">
        <f t="shared" si="18"/>
        <v>0</v>
      </c>
      <c r="K143" s="41">
        <f t="shared" si="18"/>
        <v>1712482.4</v>
      </c>
    </row>
    <row r="144" spans="1:11" ht="18" customHeight="1">
      <c r="A144" s="5" t="s">
        <v>146</v>
      </c>
      <c r="B144" s="2" t="s">
        <v>67</v>
      </c>
      <c r="F144" s="41">
        <f t="shared" ref="F144:K144" si="19">F74</f>
        <v>3218.1899999999996</v>
      </c>
      <c r="G144" s="41">
        <f t="shared" si="19"/>
        <v>0</v>
      </c>
      <c r="H144" s="41">
        <f t="shared" si="19"/>
        <v>103165.8</v>
      </c>
      <c r="I144" s="41">
        <f t="shared" si="19"/>
        <v>67522.016099999993</v>
      </c>
      <c r="J144" s="41">
        <f t="shared" si="19"/>
        <v>0</v>
      </c>
      <c r="K144" s="41">
        <f t="shared" si="19"/>
        <v>170687.8161</v>
      </c>
    </row>
    <row r="145" spans="1:11" ht="18" customHeight="1">
      <c r="A145" s="5" t="s">
        <v>148</v>
      </c>
      <c r="B145" s="2" t="s">
        <v>68</v>
      </c>
      <c r="F145" s="41">
        <f t="shared" ref="F145:K145" si="20">F82</f>
        <v>355.86599999999999</v>
      </c>
      <c r="G145" s="41">
        <f t="shared" si="20"/>
        <v>107.39999999999999</v>
      </c>
      <c r="H145" s="41">
        <f t="shared" si="20"/>
        <v>44459.7</v>
      </c>
      <c r="I145" s="41">
        <f t="shared" si="20"/>
        <v>0</v>
      </c>
      <c r="J145" s="41">
        <f t="shared" si="20"/>
        <v>0</v>
      </c>
      <c r="K145" s="41">
        <f t="shared" si="20"/>
        <v>44459.7</v>
      </c>
    </row>
    <row r="146" spans="1:11" ht="18" customHeight="1">
      <c r="A146" s="5" t="s">
        <v>150</v>
      </c>
      <c r="B146" s="2" t="s">
        <v>69</v>
      </c>
      <c r="F146" s="41">
        <f t="shared" ref="F146:K146" si="21">F98</f>
        <v>258</v>
      </c>
      <c r="G146" s="41">
        <f t="shared" si="21"/>
        <v>55.8</v>
      </c>
      <c r="H146" s="41">
        <f t="shared" si="21"/>
        <v>31475.699999999997</v>
      </c>
      <c r="I146" s="41">
        <f t="shared" si="21"/>
        <v>20600.845649999996</v>
      </c>
      <c r="J146" s="41">
        <f t="shared" si="21"/>
        <v>13500</v>
      </c>
      <c r="K146" s="41">
        <f t="shared" si="21"/>
        <v>38576.545649999993</v>
      </c>
    </row>
    <row r="147" spans="1:11" ht="18" customHeight="1">
      <c r="A147" s="5" t="s">
        <v>153</v>
      </c>
      <c r="B147" s="2" t="s">
        <v>61</v>
      </c>
      <c r="F147" s="18">
        <f t="shared" ref="F147:K147" si="22">F108</f>
        <v>941.4</v>
      </c>
      <c r="G147" s="18">
        <f t="shared" si="22"/>
        <v>0.3</v>
      </c>
      <c r="H147" s="18">
        <f t="shared" si="22"/>
        <v>31930.5</v>
      </c>
      <c r="I147" s="18">
        <f t="shared" si="22"/>
        <v>20898.51225</v>
      </c>
      <c r="J147" s="18">
        <f t="shared" si="22"/>
        <v>0</v>
      </c>
      <c r="K147" s="18">
        <f t="shared" si="22"/>
        <v>52829.01225</v>
      </c>
    </row>
    <row r="148" spans="1:11" ht="18" customHeight="1">
      <c r="A148" s="5" t="s">
        <v>155</v>
      </c>
      <c r="B148" s="2" t="s">
        <v>70</v>
      </c>
      <c r="F148" s="42" t="s">
        <v>73</v>
      </c>
      <c r="G148" s="42" t="s">
        <v>73</v>
      </c>
      <c r="H148" s="43" t="s">
        <v>73</v>
      </c>
      <c r="I148" s="43" t="s">
        <v>73</v>
      </c>
      <c r="J148" s="43" t="s">
        <v>73</v>
      </c>
      <c r="K148" s="37">
        <f>F111</f>
        <v>3428179</v>
      </c>
    </row>
    <row r="149" spans="1:11" ht="18" customHeight="1">
      <c r="A149" s="5" t="s">
        <v>163</v>
      </c>
      <c r="B149" s="2" t="s">
        <v>71</v>
      </c>
      <c r="F149" s="18">
        <f t="shared" ref="F149:K149" si="23">F137</f>
        <v>0</v>
      </c>
      <c r="G149" s="18">
        <f t="shared" si="23"/>
        <v>0</v>
      </c>
      <c r="H149" s="18">
        <f t="shared" si="23"/>
        <v>0</v>
      </c>
      <c r="I149" s="18">
        <f t="shared" si="23"/>
        <v>0</v>
      </c>
      <c r="J149" s="18">
        <f t="shared" si="23"/>
        <v>0</v>
      </c>
      <c r="K149" s="18">
        <f t="shared" si="23"/>
        <v>0</v>
      </c>
    </row>
    <row r="150" spans="1:11" ht="18" customHeight="1">
      <c r="A150" s="5" t="s">
        <v>185</v>
      </c>
      <c r="B150" s="2" t="s">
        <v>186</v>
      </c>
      <c r="F150" s="42" t="s">
        <v>73</v>
      </c>
      <c r="G150" s="42" t="s">
        <v>73</v>
      </c>
      <c r="H150" s="18">
        <f>H18</f>
        <v>2810771</v>
      </c>
      <c r="I150" s="18">
        <f>I18</f>
        <v>0</v>
      </c>
      <c r="J150" s="18">
        <f>J18</f>
        <v>2403560</v>
      </c>
      <c r="K150" s="18">
        <f>K18</f>
        <v>407211</v>
      </c>
    </row>
    <row r="151" spans="1:11" ht="18" customHeight="1">
      <c r="B151" s="2"/>
      <c r="F151" s="48"/>
      <c r="G151" s="48"/>
      <c r="H151" s="48"/>
      <c r="I151" s="48"/>
      <c r="J151" s="48"/>
      <c r="K151" s="48"/>
    </row>
    <row r="152" spans="1:11" ht="18" customHeight="1">
      <c r="A152" s="6" t="s">
        <v>165</v>
      </c>
      <c r="B152" s="2" t="s">
        <v>26</v>
      </c>
      <c r="F152" s="49">
        <f t="shared" ref="F152:K152" si="24">SUM(F141:F150)</f>
        <v>36059.046000000009</v>
      </c>
      <c r="G152" s="49">
        <f t="shared" si="24"/>
        <v>89074.2</v>
      </c>
      <c r="H152" s="49">
        <f t="shared" si="24"/>
        <v>6141715.2999999998</v>
      </c>
      <c r="I152" s="49">
        <f t="shared" si="24"/>
        <v>966087.04890000005</v>
      </c>
      <c r="J152" s="49">
        <f t="shared" si="24"/>
        <v>2509458.7999999998</v>
      </c>
      <c r="K152" s="49">
        <f t="shared" si="24"/>
        <v>8026522.5489000008</v>
      </c>
    </row>
    <row r="154" spans="1:11" ht="18" customHeight="1">
      <c r="A154" s="6" t="s">
        <v>168</v>
      </c>
      <c r="B154" s="2" t="s">
        <v>28</v>
      </c>
      <c r="F154" s="348">
        <f>K152/F121</f>
        <v>9.9812506825756084E-2</v>
      </c>
    </row>
    <row r="155" spans="1:11" ht="18" customHeight="1">
      <c r="A155" s="6" t="s">
        <v>169</v>
      </c>
      <c r="B155" s="2" t="s">
        <v>72</v>
      </c>
      <c r="F155" s="348">
        <f>K152/F127</f>
        <v>0.66078229594961724</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46" zoomScale="80" zoomScaleNormal="80" zoomScaleSheetLayoutView="70" workbookViewId="0">
      <selection activeCell="K64" sqref="K64"/>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689</v>
      </c>
      <c r="D5" s="654"/>
      <c r="E5" s="654"/>
      <c r="F5" s="654"/>
      <c r="G5" s="655"/>
    </row>
    <row r="6" spans="1:11" ht="18" customHeight="1">
      <c r="B6" s="5" t="s">
        <v>3</v>
      </c>
      <c r="C6" s="671" t="s">
        <v>690</v>
      </c>
      <c r="D6" s="657"/>
      <c r="E6" s="657"/>
      <c r="F6" s="657"/>
      <c r="G6" s="658"/>
    </row>
    <row r="7" spans="1:11" ht="18" customHeight="1">
      <c r="B7" s="5" t="s">
        <v>4</v>
      </c>
      <c r="C7" s="676" t="s">
        <v>691</v>
      </c>
      <c r="D7" s="660"/>
      <c r="E7" s="660"/>
      <c r="F7" s="660"/>
      <c r="G7" s="661"/>
    </row>
    <row r="9" spans="1:11" ht="18" customHeight="1">
      <c r="B9" s="5" t="s">
        <v>1</v>
      </c>
      <c r="C9" s="670" t="s">
        <v>692</v>
      </c>
      <c r="D9" s="654"/>
      <c r="E9" s="654"/>
      <c r="F9" s="654"/>
      <c r="G9" s="655"/>
    </row>
    <row r="10" spans="1:11" ht="18" customHeight="1">
      <c r="B10" s="5" t="s">
        <v>2</v>
      </c>
      <c r="C10" s="674" t="s">
        <v>693</v>
      </c>
      <c r="D10" s="663"/>
      <c r="E10" s="663"/>
      <c r="F10" s="663"/>
      <c r="G10" s="664"/>
    </row>
    <row r="11" spans="1:11" ht="18" customHeight="1">
      <c r="B11" s="5" t="s">
        <v>32</v>
      </c>
      <c r="C11" s="670" t="s">
        <v>694</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12235642</v>
      </c>
      <c r="I18" s="50">
        <v>0</v>
      </c>
      <c r="J18" s="15">
        <v>10463004</v>
      </c>
      <c r="K18" s="16">
        <f>(H18+I18)-J18</f>
        <v>1772638</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46682</v>
      </c>
      <c r="G21" s="14">
        <v>2089</v>
      </c>
      <c r="H21" s="15">
        <v>1203839</v>
      </c>
      <c r="I21" s="50">
        <f t="shared" ref="I21:I34" si="0">H21*F$114</f>
        <v>841483.46099999989</v>
      </c>
      <c r="J21" s="15">
        <v>109549</v>
      </c>
      <c r="K21" s="16">
        <f t="shared" ref="K21:K34" si="1">(H21+I21)-J21</f>
        <v>1935773.4609999999</v>
      </c>
    </row>
    <row r="22" spans="1:11" ht="18" customHeight="1">
      <c r="A22" s="5" t="s">
        <v>76</v>
      </c>
      <c r="B22" t="s">
        <v>6</v>
      </c>
      <c r="F22" s="14"/>
      <c r="G22" s="14"/>
      <c r="H22" s="15"/>
      <c r="I22" s="50">
        <f t="shared" si="0"/>
        <v>0</v>
      </c>
      <c r="J22" s="15"/>
      <c r="K22" s="16">
        <f t="shared" si="1"/>
        <v>0</v>
      </c>
    </row>
    <row r="23" spans="1:11" ht="18" customHeight="1">
      <c r="A23" s="5" t="s">
        <v>77</v>
      </c>
      <c r="B23" t="s">
        <v>43</v>
      </c>
      <c r="F23" s="14"/>
      <c r="G23" s="14"/>
      <c r="H23" s="15"/>
      <c r="I23" s="50">
        <f t="shared" si="0"/>
        <v>0</v>
      </c>
      <c r="J23" s="15"/>
      <c r="K23" s="16">
        <f t="shared" si="1"/>
        <v>0</v>
      </c>
    </row>
    <row r="24" spans="1:11" ht="18" customHeight="1">
      <c r="A24" s="5" t="s">
        <v>78</v>
      </c>
      <c r="B24" t="s">
        <v>44</v>
      </c>
      <c r="F24" s="14">
        <v>3294</v>
      </c>
      <c r="G24" s="14">
        <v>25340</v>
      </c>
      <c r="H24" s="15">
        <v>1545746</v>
      </c>
      <c r="I24" s="50">
        <f t="shared" si="0"/>
        <v>1080476.4539999999</v>
      </c>
      <c r="J24" s="15"/>
      <c r="K24" s="16">
        <f t="shared" si="1"/>
        <v>2626222.4539999999</v>
      </c>
    </row>
    <row r="25" spans="1:11" ht="18" customHeight="1">
      <c r="A25" s="5" t="s">
        <v>79</v>
      </c>
      <c r="B25" t="s">
        <v>5</v>
      </c>
      <c r="F25" s="14"/>
      <c r="G25" s="14"/>
      <c r="H25" s="15"/>
      <c r="I25" s="50">
        <f t="shared" si="0"/>
        <v>0</v>
      </c>
      <c r="J25" s="15"/>
      <c r="K25" s="16">
        <f t="shared" si="1"/>
        <v>0</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1040</v>
      </c>
      <c r="G29" s="14"/>
      <c r="H29" s="15">
        <v>936383</v>
      </c>
      <c r="I29" s="50">
        <f t="shared" si="0"/>
        <v>654531.71699999995</v>
      </c>
      <c r="J29" s="15"/>
      <c r="K29" s="16">
        <f t="shared" si="1"/>
        <v>1590914.7169999999</v>
      </c>
    </row>
    <row r="30" spans="1:11" ht="18" customHeight="1">
      <c r="A30" s="5" t="s">
        <v>84</v>
      </c>
      <c r="B30" s="636" t="s">
        <v>695</v>
      </c>
      <c r="C30" s="637"/>
      <c r="D30" s="638"/>
      <c r="F30" s="14">
        <v>320</v>
      </c>
      <c r="G30" s="14"/>
      <c r="H30" s="15">
        <v>470307</v>
      </c>
      <c r="I30" s="50">
        <f t="shared" si="0"/>
        <v>328744.59299999999</v>
      </c>
      <c r="J30" s="15"/>
      <c r="K30" s="16">
        <f t="shared" si="1"/>
        <v>799051.59299999999</v>
      </c>
    </row>
    <row r="31" spans="1:11" ht="18" customHeight="1">
      <c r="A31" s="5" t="s">
        <v>133</v>
      </c>
      <c r="B31" s="636"/>
      <c r="C31" s="637"/>
      <c r="D31" s="638"/>
      <c r="F31" s="14"/>
      <c r="G31" s="14"/>
      <c r="H31" s="15"/>
      <c r="I31" s="50">
        <f t="shared" si="0"/>
        <v>0</v>
      </c>
      <c r="J31" s="15"/>
      <c r="K31" s="16">
        <f t="shared" si="1"/>
        <v>0</v>
      </c>
    </row>
    <row r="32" spans="1:11" ht="18" customHeight="1">
      <c r="A32" s="5" t="s">
        <v>134</v>
      </c>
      <c r="B32" s="363"/>
      <c r="C32" s="364"/>
      <c r="D32" s="365"/>
      <c r="F32" s="14"/>
      <c r="G32" s="342" t="s">
        <v>85</v>
      </c>
      <c r="H32" s="15"/>
      <c r="I32" s="50">
        <f t="shared" si="0"/>
        <v>0</v>
      </c>
      <c r="J32" s="15"/>
      <c r="K32" s="16">
        <f t="shared" si="1"/>
        <v>0</v>
      </c>
    </row>
    <row r="33" spans="1:11" ht="18" customHeight="1">
      <c r="A33" s="5" t="s">
        <v>135</v>
      </c>
      <c r="B33" s="363"/>
      <c r="C33" s="364"/>
      <c r="D33" s="365"/>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51336</v>
      </c>
      <c r="G36" s="18">
        <f t="shared" si="2"/>
        <v>27429</v>
      </c>
      <c r="H36" s="18">
        <f t="shared" si="2"/>
        <v>4156275</v>
      </c>
      <c r="I36" s="16">
        <f t="shared" si="2"/>
        <v>2905236.2249999996</v>
      </c>
      <c r="J36" s="16">
        <f t="shared" si="2"/>
        <v>109549</v>
      </c>
      <c r="K36" s="16">
        <f t="shared" si="2"/>
        <v>6951962.2250000006</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51828</v>
      </c>
      <c r="G40" s="14"/>
      <c r="H40" s="15">
        <v>7795181</v>
      </c>
      <c r="I40" s="50">
        <f t="shared" ref="I40:I47" si="3">H40*F$114</f>
        <v>5448831.5189999994</v>
      </c>
      <c r="J40" s="15"/>
      <c r="K40" s="16">
        <f t="shared" ref="K40:K47" si="4">(H40+I40)-J40</f>
        <v>13244012.518999999</v>
      </c>
    </row>
    <row r="41" spans="1:11" ht="18" customHeight="1">
      <c r="A41" s="5" t="s">
        <v>88</v>
      </c>
      <c r="B41" s="641" t="s">
        <v>50</v>
      </c>
      <c r="C41" s="649"/>
      <c r="F41" s="14">
        <v>834</v>
      </c>
      <c r="G41" s="14"/>
      <c r="H41" s="15">
        <v>120200</v>
      </c>
      <c r="I41" s="50">
        <f t="shared" si="3"/>
        <v>84019.799999999988</v>
      </c>
      <c r="J41" s="15"/>
      <c r="K41" s="16">
        <f t="shared" si="4"/>
        <v>204219.8</v>
      </c>
    </row>
    <row r="42" spans="1:11" ht="18" customHeight="1">
      <c r="A42" s="5" t="s">
        <v>89</v>
      </c>
      <c r="B42" s="341" t="s">
        <v>11</v>
      </c>
      <c r="F42" s="14">
        <v>4617</v>
      </c>
      <c r="G42" s="14">
        <v>22</v>
      </c>
      <c r="H42" s="15">
        <v>372580</v>
      </c>
      <c r="I42" s="50">
        <f t="shared" si="3"/>
        <v>260433.41999999998</v>
      </c>
      <c r="J42" s="15"/>
      <c r="K42" s="16">
        <f t="shared" si="4"/>
        <v>633013.41999999993</v>
      </c>
    </row>
    <row r="43" spans="1:11" ht="18" customHeight="1">
      <c r="A43" s="5" t="s">
        <v>90</v>
      </c>
      <c r="B43" s="343" t="s">
        <v>10</v>
      </c>
      <c r="C43" s="10"/>
      <c r="D43" s="10"/>
      <c r="F43" s="14"/>
      <c r="G43" s="14"/>
      <c r="H43" s="15"/>
      <c r="I43" s="50">
        <f t="shared" si="3"/>
        <v>0</v>
      </c>
      <c r="J43" s="15"/>
      <c r="K43" s="16">
        <f t="shared" si="4"/>
        <v>0</v>
      </c>
    </row>
    <row r="44" spans="1:11" ht="18" customHeight="1">
      <c r="A44" s="5" t="s">
        <v>91</v>
      </c>
      <c r="B44" s="636"/>
      <c r="C44" s="637"/>
      <c r="D44" s="638"/>
      <c r="F44" s="54"/>
      <c r="G44" s="54"/>
      <c r="H44" s="54"/>
      <c r="I44" s="50">
        <f t="shared" si="3"/>
        <v>0</v>
      </c>
      <c r="J44" s="54"/>
      <c r="K44" s="56">
        <f t="shared" si="4"/>
        <v>0</v>
      </c>
    </row>
    <row r="45" spans="1:11" ht="18" customHeight="1">
      <c r="A45" s="5" t="s">
        <v>139</v>
      </c>
      <c r="B45" s="636"/>
      <c r="C45" s="637"/>
      <c r="D45" s="638"/>
      <c r="F45" s="14"/>
      <c r="G45" s="14"/>
      <c r="H45" s="15"/>
      <c r="I45" s="50">
        <f t="shared" si="3"/>
        <v>0</v>
      </c>
      <c r="J45" s="15"/>
      <c r="K45" s="16">
        <f t="shared" si="4"/>
        <v>0</v>
      </c>
    </row>
    <row r="46" spans="1:11" ht="18" customHeight="1">
      <c r="A46" s="5" t="s">
        <v>140</v>
      </c>
      <c r="B46" s="636"/>
      <c r="C46" s="637"/>
      <c r="D46" s="638"/>
      <c r="F46" s="14"/>
      <c r="G46" s="14"/>
      <c r="H46" s="15"/>
      <c r="I46" s="50">
        <f t="shared" si="3"/>
        <v>0</v>
      </c>
      <c r="J46" s="15"/>
      <c r="K46" s="16">
        <f t="shared" si="4"/>
        <v>0</v>
      </c>
    </row>
    <row r="47" spans="1:11" ht="18" customHeight="1">
      <c r="A47" s="5" t="s">
        <v>141</v>
      </c>
      <c r="B47" s="636"/>
      <c r="C47" s="637"/>
      <c r="D47" s="638"/>
      <c r="F47" s="14"/>
      <c r="G47" s="14"/>
      <c r="H47" s="15"/>
      <c r="I47" s="50">
        <f t="shared" si="3"/>
        <v>0</v>
      </c>
      <c r="J47" s="15"/>
      <c r="K47" s="16">
        <f t="shared" si="4"/>
        <v>0</v>
      </c>
    </row>
    <row r="49" spans="1:11" ht="18" customHeight="1">
      <c r="A49" s="6" t="s">
        <v>142</v>
      </c>
      <c r="B49" s="2" t="s">
        <v>143</v>
      </c>
      <c r="E49" s="2" t="s">
        <v>7</v>
      </c>
      <c r="F49" s="23">
        <f t="shared" ref="F49:K49" si="5">SUM(F40:F47)</f>
        <v>57279</v>
      </c>
      <c r="G49" s="23">
        <f t="shared" si="5"/>
        <v>22</v>
      </c>
      <c r="H49" s="16">
        <f t="shared" si="5"/>
        <v>8287961</v>
      </c>
      <c r="I49" s="16">
        <f t="shared" si="5"/>
        <v>5793284.7389999991</v>
      </c>
      <c r="J49" s="16">
        <f t="shared" si="5"/>
        <v>0</v>
      </c>
      <c r="K49" s="16">
        <f t="shared" si="5"/>
        <v>14081245.739</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696</v>
      </c>
      <c r="C53" s="648"/>
      <c r="D53" s="644"/>
      <c r="F53" s="14"/>
      <c r="G53" s="14">
        <f>H53/51</f>
        <v>39473.784313725489</v>
      </c>
      <c r="H53" s="15">
        <v>2013163</v>
      </c>
      <c r="I53" s="50">
        <f t="shared" ref="I53:I62" si="6">H53*F$114</f>
        <v>1407200.9369999999</v>
      </c>
      <c r="J53" s="15"/>
      <c r="K53" s="16">
        <f t="shared" ref="K53:K62" si="7">(H53+I53)-J53</f>
        <v>3420363.9369999999</v>
      </c>
    </row>
    <row r="54" spans="1:11" ht="18" customHeight="1">
      <c r="A54" s="5" t="s">
        <v>93</v>
      </c>
      <c r="B54" s="360" t="s">
        <v>697</v>
      </c>
      <c r="C54" s="361"/>
      <c r="D54" s="362"/>
      <c r="F54" s="14"/>
      <c r="G54" s="14">
        <f>+H54/475</f>
        <v>3729.898947368421</v>
      </c>
      <c r="H54" s="15">
        <v>1771702</v>
      </c>
      <c r="I54" s="50">
        <f t="shared" si="6"/>
        <v>1238419.6979999999</v>
      </c>
      <c r="J54" s="15"/>
      <c r="K54" s="16">
        <f t="shared" si="7"/>
        <v>3010121.6979999999</v>
      </c>
    </row>
    <row r="55" spans="1:11" ht="18" customHeight="1">
      <c r="A55" s="5" t="s">
        <v>94</v>
      </c>
      <c r="B55" s="642" t="s">
        <v>698</v>
      </c>
      <c r="C55" s="643"/>
      <c r="D55" s="644"/>
      <c r="F55" s="14"/>
      <c r="G55" s="14"/>
      <c r="H55" s="15">
        <v>790919</v>
      </c>
      <c r="I55" s="50">
        <f t="shared" si="6"/>
        <v>552852.38099999994</v>
      </c>
      <c r="J55" s="15"/>
      <c r="K55" s="16">
        <f t="shared" si="7"/>
        <v>1343771.3810000001</v>
      </c>
    </row>
    <row r="56" spans="1:11" ht="18" customHeight="1">
      <c r="A56" s="5" t="s">
        <v>95</v>
      </c>
      <c r="B56" s="642" t="s">
        <v>699</v>
      </c>
      <c r="C56" s="643"/>
      <c r="D56" s="644"/>
      <c r="F56" s="14">
        <v>9333</v>
      </c>
      <c r="G56" s="14">
        <f>+H56/460</f>
        <v>2231.7413043478259</v>
      </c>
      <c r="H56" s="15">
        <v>1026601</v>
      </c>
      <c r="I56" s="50">
        <f t="shared" si="6"/>
        <v>717594.09899999993</v>
      </c>
      <c r="J56" s="15"/>
      <c r="K56" s="16">
        <f t="shared" si="7"/>
        <v>1744195.0989999999</v>
      </c>
    </row>
    <row r="57" spans="1:11" ht="18" customHeight="1">
      <c r="A57" s="5" t="s">
        <v>96</v>
      </c>
      <c r="B57" s="642" t="s">
        <v>700</v>
      </c>
      <c r="C57" s="643"/>
      <c r="D57" s="644"/>
      <c r="F57" s="14">
        <v>22461</v>
      </c>
      <c r="G57" s="14">
        <v>1837</v>
      </c>
      <c r="H57" s="15">
        <v>1265969</v>
      </c>
      <c r="I57" s="50">
        <f t="shared" si="6"/>
        <v>884912.33099999989</v>
      </c>
      <c r="J57" s="15">
        <v>1019190</v>
      </c>
      <c r="K57" s="16">
        <f t="shared" si="7"/>
        <v>1131691.3309999998</v>
      </c>
    </row>
    <row r="58" spans="1:11" ht="18" customHeight="1">
      <c r="A58" s="5" t="s">
        <v>97</v>
      </c>
      <c r="B58" s="360" t="s">
        <v>701</v>
      </c>
      <c r="C58" s="361"/>
      <c r="D58" s="362"/>
      <c r="F58" s="14">
        <v>4146</v>
      </c>
      <c r="G58" s="14">
        <v>481</v>
      </c>
      <c r="H58" s="15">
        <v>368900</v>
      </c>
      <c r="I58" s="50">
        <f t="shared" si="6"/>
        <v>257861.09999999998</v>
      </c>
      <c r="J58" s="15">
        <v>294252</v>
      </c>
      <c r="K58" s="16">
        <f t="shared" si="7"/>
        <v>332509.09999999998</v>
      </c>
    </row>
    <row r="59" spans="1:11" ht="18" customHeight="1">
      <c r="A59" s="5" t="s">
        <v>98</v>
      </c>
      <c r="B59" s="642" t="s">
        <v>702</v>
      </c>
      <c r="C59" s="643"/>
      <c r="D59" s="644"/>
      <c r="F59" s="14"/>
      <c r="G59" s="14">
        <v>863</v>
      </c>
      <c r="H59" s="15">
        <v>120000</v>
      </c>
      <c r="I59" s="50">
        <f t="shared" si="6"/>
        <v>83880</v>
      </c>
      <c r="J59" s="15"/>
      <c r="K59" s="16">
        <f t="shared" si="7"/>
        <v>203880</v>
      </c>
    </row>
    <row r="60" spans="1:11" ht="18" customHeight="1">
      <c r="A60" s="5" t="s">
        <v>99</v>
      </c>
      <c r="B60" s="360"/>
      <c r="C60" s="361"/>
      <c r="D60" s="362"/>
      <c r="F60" s="14"/>
      <c r="G60" s="14"/>
      <c r="H60" s="15"/>
      <c r="I60" s="50">
        <f t="shared" si="6"/>
        <v>0</v>
      </c>
      <c r="J60" s="15"/>
      <c r="K60" s="16">
        <f t="shared" si="7"/>
        <v>0</v>
      </c>
    </row>
    <row r="61" spans="1:11" ht="18" customHeight="1">
      <c r="A61" s="5" t="s">
        <v>100</v>
      </c>
      <c r="B61" s="360"/>
      <c r="C61" s="361"/>
      <c r="D61" s="362"/>
      <c r="F61" s="14"/>
      <c r="G61" s="14"/>
      <c r="H61" s="15"/>
      <c r="I61" s="50">
        <f t="shared" si="6"/>
        <v>0</v>
      </c>
      <c r="J61" s="15"/>
      <c r="K61" s="16">
        <f t="shared" si="7"/>
        <v>0</v>
      </c>
    </row>
    <row r="62" spans="1:11" ht="18" customHeight="1">
      <c r="A62" s="5" t="s">
        <v>101</v>
      </c>
      <c r="B62" s="642"/>
      <c r="C62" s="643"/>
      <c r="D62" s="644"/>
      <c r="F62" s="14"/>
      <c r="G62" s="14"/>
      <c r="H62" s="15"/>
      <c r="I62" s="50">
        <f t="shared" si="6"/>
        <v>0</v>
      </c>
      <c r="J62" s="15"/>
      <c r="K62" s="16">
        <f t="shared" si="7"/>
        <v>0</v>
      </c>
    </row>
    <row r="63" spans="1:11" ht="18" customHeight="1">
      <c r="A63" s="5"/>
      <c r="I63" s="46"/>
    </row>
    <row r="64" spans="1:11" ht="18" customHeight="1">
      <c r="A64" s="5" t="s">
        <v>144</v>
      </c>
      <c r="B64" s="2" t="s">
        <v>145</v>
      </c>
      <c r="E64" s="2" t="s">
        <v>7</v>
      </c>
      <c r="F64" s="18">
        <f t="shared" ref="F64:K64" si="8">SUM(F53:F62)</f>
        <v>35940</v>
      </c>
      <c r="G64" s="18">
        <f t="shared" si="8"/>
        <v>48616.424565441732</v>
      </c>
      <c r="H64" s="16">
        <f t="shared" si="8"/>
        <v>7357254</v>
      </c>
      <c r="I64" s="16">
        <f t="shared" si="8"/>
        <v>5142720.5459999992</v>
      </c>
      <c r="J64" s="16">
        <f t="shared" si="8"/>
        <v>1313442</v>
      </c>
      <c r="K64" s="16">
        <f t="shared" si="8"/>
        <v>11186532.546</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v>49997</v>
      </c>
      <c r="I68" s="50">
        <f t="shared" ref="I68:I72" si="9">H68*F$114</f>
        <v>34947.902999999998</v>
      </c>
      <c r="J68" s="51"/>
      <c r="K68" s="16">
        <f>(H68+I68)-J68</f>
        <v>84944.902999999991</v>
      </c>
    </row>
    <row r="69" spans="1:11" ht="18" customHeight="1">
      <c r="A69" s="5" t="s">
        <v>104</v>
      </c>
      <c r="B69" s="341" t="s">
        <v>53</v>
      </c>
      <c r="F69" s="51"/>
      <c r="G69" s="51"/>
      <c r="H69" s="51"/>
      <c r="I69" s="50">
        <f t="shared" si="9"/>
        <v>0</v>
      </c>
      <c r="J69" s="51"/>
      <c r="K69" s="16">
        <f>(H69+I69)-J69</f>
        <v>0</v>
      </c>
    </row>
    <row r="70" spans="1:11" ht="18" customHeight="1">
      <c r="A70" s="5" t="s">
        <v>178</v>
      </c>
      <c r="B70" s="360"/>
      <c r="C70" s="361"/>
      <c r="D70" s="362"/>
      <c r="E70" s="2"/>
      <c r="F70" s="35"/>
      <c r="G70" s="35"/>
      <c r="H70" s="36"/>
      <c r="I70" s="50">
        <f t="shared" si="9"/>
        <v>0</v>
      </c>
      <c r="J70" s="36"/>
      <c r="K70" s="16">
        <f>(H70+I70)-J70</f>
        <v>0</v>
      </c>
    </row>
    <row r="71" spans="1:11" ht="18" customHeight="1">
      <c r="A71" s="5" t="s">
        <v>179</v>
      </c>
      <c r="B71" s="360"/>
      <c r="C71" s="361"/>
      <c r="D71" s="362"/>
      <c r="E71" s="2"/>
      <c r="F71" s="35"/>
      <c r="G71" s="35"/>
      <c r="H71" s="36"/>
      <c r="I71" s="50">
        <f t="shared" si="9"/>
        <v>0</v>
      </c>
      <c r="J71" s="36"/>
      <c r="K71" s="16">
        <f>(H71+I71)-J71</f>
        <v>0</v>
      </c>
    </row>
    <row r="72" spans="1:11" ht="18" customHeight="1">
      <c r="A72" s="5" t="s">
        <v>180</v>
      </c>
      <c r="B72" s="366"/>
      <c r="C72" s="367"/>
      <c r="D72" s="34"/>
      <c r="E72" s="2"/>
      <c r="F72" s="14"/>
      <c r="G72" s="14"/>
      <c r="H72" s="15"/>
      <c r="I72" s="50">
        <f t="shared" si="9"/>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10">SUM(F68:F72)</f>
        <v>0</v>
      </c>
      <c r="G74" s="21">
        <f t="shared" si="10"/>
        <v>0</v>
      </c>
      <c r="H74" s="21">
        <f t="shared" si="10"/>
        <v>49997</v>
      </c>
      <c r="I74" s="53">
        <f t="shared" si="10"/>
        <v>34947.902999999998</v>
      </c>
      <c r="J74" s="21">
        <f t="shared" si="10"/>
        <v>0</v>
      </c>
      <c r="K74" s="17">
        <f t="shared" si="10"/>
        <v>84944.902999999991</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v>1652507</v>
      </c>
      <c r="I77" s="50">
        <v>0</v>
      </c>
      <c r="J77" s="15"/>
      <c r="K77" s="16">
        <f>(H77+I77)-J77</f>
        <v>1652507</v>
      </c>
    </row>
    <row r="78" spans="1:11" ht="18" customHeight="1">
      <c r="A78" s="5" t="s">
        <v>108</v>
      </c>
      <c r="B78" s="341" t="s">
        <v>55</v>
      </c>
      <c r="F78" s="14"/>
      <c r="G78" s="14"/>
      <c r="H78" s="15"/>
      <c r="I78" s="50">
        <v>0</v>
      </c>
      <c r="J78" s="15"/>
      <c r="K78" s="16">
        <f>(H78+I78)-J78</f>
        <v>0</v>
      </c>
    </row>
    <row r="79" spans="1:11" ht="18" customHeight="1">
      <c r="A79" s="5" t="s">
        <v>109</v>
      </c>
      <c r="B79" s="341" t="s">
        <v>13</v>
      </c>
      <c r="F79" s="14">
        <v>1064</v>
      </c>
      <c r="G79" s="14">
        <v>511</v>
      </c>
      <c r="H79" s="15">
        <v>50441</v>
      </c>
      <c r="I79" s="50">
        <f t="shared" ref="I79" si="11">H79*F$114</f>
        <v>35258.258999999998</v>
      </c>
      <c r="J79" s="15"/>
      <c r="K79" s="16">
        <f>(H79+I79)-J79</f>
        <v>85699.258999999991</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12">SUM(F77:F80)</f>
        <v>1064</v>
      </c>
      <c r="G82" s="21">
        <f t="shared" si="12"/>
        <v>511</v>
      </c>
      <c r="H82" s="17">
        <f t="shared" si="12"/>
        <v>1702948</v>
      </c>
      <c r="I82" s="17">
        <f t="shared" si="12"/>
        <v>35258.258999999998</v>
      </c>
      <c r="J82" s="17">
        <f t="shared" si="12"/>
        <v>0</v>
      </c>
      <c r="K82" s="17">
        <f t="shared" si="12"/>
        <v>1738206.2590000001</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3">H86*F$114</f>
        <v>0</v>
      </c>
      <c r="J86" s="15"/>
      <c r="K86" s="16">
        <f t="shared" ref="K86:K96" si="14">(H86+I86)-J86</f>
        <v>0</v>
      </c>
    </row>
    <row r="87" spans="1:11" ht="18" customHeight="1">
      <c r="A87" s="5" t="s">
        <v>114</v>
      </c>
      <c r="B87" s="341" t="s">
        <v>14</v>
      </c>
      <c r="F87" s="14"/>
      <c r="G87" s="14"/>
      <c r="H87" s="15">
        <v>413249</v>
      </c>
      <c r="I87" s="50">
        <f t="shared" si="13"/>
        <v>288861.05099999998</v>
      </c>
      <c r="J87" s="15">
        <v>361691</v>
      </c>
      <c r="K87" s="16">
        <f t="shared" si="14"/>
        <v>340419.05099999998</v>
      </c>
    </row>
    <row r="88" spans="1:11" ht="18" customHeight="1">
      <c r="A88" s="5" t="s">
        <v>115</v>
      </c>
      <c r="B88" s="341" t="s">
        <v>116</v>
      </c>
      <c r="F88" s="14">
        <v>4532</v>
      </c>
      <c r="G88" s="14">
        <v>60</v>
      </c>
      <c r="H88" s="15">
        <v>182466</v>
      </c>
      <c r="I88" s="50">
        <f t="shared" si="13"/>
        <v>127543.734</v>
      </c>
      <c r="J88" s="15"/>
      <c r="K88" s="16">
        <f t="shared" si="14"/>
        <v>310009.734</v>
      </c>
    </row>
    <row r="89" spans="1:11" ht="18" customHeight="1">
      <c r="A89" s="5" t="s">
        <v>117</v>
      </c>
      <c r="B89" s="341" t="s">
        <v>58</v>
      </c>
      <c r="F89" s="14"/>
      <c r="G89" s="14"/>
      <c r="H89" s="15"/>
      <c r="I89" s="50">
        <f t="shared" si="13"/>
        <v>0</v>
      </c>
      <c r="J89" s="15"/>
      <c r="K89" s="16">
        <f t="shared" si="14"/>
        <v>0</v>
      </c>
    </row>
    <row r="90" spans="1:11" ht="18" customHeight="1">
      <c r="A90" s="5" t="s">
        <v>118</v>
      </c>
      <c r="B90" s="641" t="s">
        <v>59</v>
      </c>
      <c r="C90" s="649"/>
      <c r="F90" s="14">
        <v>2168</v>
      </c>
      <c r="G90" s="14">
        <v>22</v>
      </c>
      <c r="H90" s="15">
        <v>80261</v>
      </c>
      <c r="I90" s="50">
        <f t="shared" si="13"/>
        <v>56102.438999999998</v>
      </c>
      <c r="J90" s="15"/>
      <c r="K90" s="16">
        <f t="shared" si="14"/>
        <v>136363.43900000001</v>
      </c>
    </row>
    <row r="91" spans="1:11" ht="18" customHeight="1">
      <c r="A91" s="5" t="s">
        <v>119</v>
      </c>
      <c r="B91" s="341" t="s">
        <v>60</v>
      </c>
      <c r="F91" s="14"/>
      <c r="G91" s="14"/>
      <c r="H91" s="15"/>
      <c r="I91" s="50">
        <f t="shared" si="13"/>
        <v>0</v>
      </c>
      <c r="J91" s="15"/>
      <c r="K91" s="16">
        <f t="shared" si="14"/>
        <v>0</v>
      </c>
    </row>
    <row r="92" spans="1:11" ht="18" customHeight="1">
      <c r="A92" s="5" t="s">
        <v>120</v>
      </c>
      <c r="B92" s="341" t="s">
        <v>121</v>
      </c>
      <c r="F92" s="38"/>
      <c r="G92" s="38"/>
      <c r="H92" s="39"/>
      <c r="I92" s="50">
        <f t="shared" si="13"/>
        <v>0</v>
      </c>
      <c r="J92" s="39"/>
      <c r="K92" s="16">
        <f t="shared" si="14"/>
        <v>0</v>
      </c>
    </row>
    <row r="93" spans="1:11" ht="18" customHeight="1">
      <c r="A93" s="5" t="s">
        <v>122</v>
      </c>
      <c r="B93" s="341" t="s">
        <v>123</v>
      </c>
      <c r="F93" s="14">
        <v>440</v>
      </c>
      <c r="G93" s="14"/>
      <c r="H93" s="15">
        <v>53834</v>
      </c>
      <c r="I93" s="50">
        <f t="shared" si="13"/>
        <v>37629.966</v>
      </c>
      <c r="J93" s="15"/>
      <c r="K93" s="16">
        <f t="shared" si="14"/>
        <v>91463.966</v>
      </c>
    </row>
    <row r="94" spans="1:11" ht="18" customHeight="1">
      <c r="A94" s="5" t="s">
        <v>124</v>
      </c>
      <c r="B94" s="642"/>
      <c r="C94" s="643"/>
      <c r="D94" s="644"/>
      <c r="F94" s="14"/>
      <c r="G94" s="14"/>
      <c r="H94" s="15"/>
      <c r="I94" s="50">
        <f t="shared" si="13"/>
        <v>0</v>
      </c>
      <c r="J94" s="15"/>
      <c r="K94" s="16">
        <f t="shared" si="14"/>
        <v>0</v>
      </c>
    </row>
    <row r="95" spans="1:11" ht="18" customHeight="1">
      <c r="A95" s="5" t="s">
        <v>125</v>
      </c>
      <c r="B95" s="642"/>
      <c r="C95" s="643"/>
      <c r="D95" s="644"/>
      <c r="F95" s="14"/>
      <c r="G95" s="14"/>
      <c r="H95" s="15"/>
      <c r="I95" s="50">
        <f t="shared" si="13"/>
        <v>0</v>
      </c>
      <c r="J95" s="15"/>
      <c r="K95" s="16">
        <f t="shared" si="14"/>
        <v>0</v>
      </c>
    </row>
    <row r="96" spans="1:11" ht="18" customHeight="1">
      <c r="A96" s="5" t="s">
        <v>126</v>
      </c>
      <c r="B96" s="642"/>
      <c r="C96" s="643"/>
      <c r="D96" s="644"/>
      <c r="F96" s="14"/>
      <c r="G96" s="14"/>
      <c r="H96" s="15"/>
      <c r="I96" s="50">
        <f t="shared" si="13"/>
        <v>0</v>
      </c>
      <c r="J96" s="15"/>
      <c r="K96" s="16">
        <f t="shared" si="14"/>
        <v>0</v>
      </c>
    </row>
    <row r="97" spans="1:11" ht="18" customHeight="1">
      <c r="A97" s="5"/>
      <c r="B97" s="341"/>
    </row>
    <row r="98" spans="1:11" ht="18" customHeight="1">
      <c r="A98" s="6" t="s">
        <v>150</v>
      </c>
      <c r="B98" s="2" t="s">
        <v>151</v>
      </c>
      <c r="E98" s="2" t="s">
        <v>7</v>
      </c>
      <c r="F98" s="18">
        <f t="shared" ref="F98:K98" si="15">SUM(F86:F96)</f>
        <v>7140</v>
      </c>
      <c r="G98" s="18">
        <f t="shared" si="15"/>
        <v>82</v>
      </c>
      <c r="H98" s="18">
        <f t="shared" si="15"/>
        <v>729810</v>
      </c>
      <c r="I98" s="18">
        <f t="shared" si="15"/>
        <v>510137.19</v>
      </c>
      <c r="J98" s="18">
        <f t="shared" si="15"/>
        <v>361691</v>
      </c>
      <c r="K98" s="18">
        <f t="shared" si="15"/>
        <v>878256.19</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2785</v>
      </c>
      <c r="G102" s="14"/>
      <c r="H102" s="15">
        <v>142695</v>
      </c>
      <c r="I102" s="50">
        <f>H102*F$114</f>
        <v>99743.804999999993</v>
      </c>
      <c r="J102" s="15"/>
      <c r="K102" s="16">
        <f>(H102+I102)-J102</f>
        <v>242438.80499999999</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6">SUM(F102:F106)</f>
        <v>2785</v>
      </c>
      <c r="G108" s="18">
        <f t="shared" si="16"/>
        <v>0</v>
      </c>
      <c r="H108" s="16">
        <f t="shared" si="16"/>
        <v>142695</v>
      </c>
      <c r="I108" s="16">
        <f t="shared" si="16"/>
        <v>99743.804999999993</v>
      </c>
      <c r="J108" s="16">
        <f t="shared" si="16"/>
        <v>0</v>
      </c>
      <c r="K108" s="16">
        <f t="shared" si="16"/>
        <v>242438.80499999999</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24885600</v>
      </c>
    </row>
    <row r="112" spans="1:11" ht="18" customHeight="1">
      <c r="B112" s="2"/>
      <c r="E112" s="2"/>
      <c r="F112" s="22"/>
    </row>
    <row r="113" spans="1:6" ht="18" customHeight="1">
      <c r="A113" s="6"/>
      <c r="B113" s="2" t="s">
        <v>15</v>
      </c>
    </row>
    <row r="114" spans="1:6" ht="18" customHeight="1">
      <c r="A114" s="5" t="s">
        <v>171</v>
      </c>
      <c r="B114" s="341" t="s">
        <v>35</v>
      </c>
      <c r="F114" s="25">
        <v>0.69899999999999995</v>
      </c>
    </row>
    <row r="115" spans="1:6" ht="18" customHeight="1">
      <c r="A115" s="5"/>
      <c r="B115" s="2"/>
    </row>
    <row r="116" spans="1:6" ht="18" customHeight="1">
      <c r="A116" s="5" t="s">
        <v>170</v>
      </c>
      <c r="B116" s="2" t="s">
        <v>16</v>
      </c>
    </row>
    <row r="117" spans="1:6" ht="18" customHeight="1">
      <c r="A117" s="5" t="s">
        <v>172</v>
      </c>
      <c r="B117" s="341" t="s">
        <v>17</v>
      </c>
      <c r="F117" s="15">
        <v>409369300</v>
      </c>
    </row>
    <row r="118" spans="1:6" ht="18" customHeight="1">
      <c r="A118" s="5" t="s">
        <v>173</v>
      </c>
      <c r="B118" t="s">
        <v>18</v>
      </c>
      <c r="F118" s="15">
        <v>23845300</v>
      </c>
    </row>
    <row r="119" spans="1:6" ht="18" customHeight="1">
      <c r="A119" s="5" t="s">
        <v>174</v>
      </c>
      <c r="B119" s="2" t="s">
        <v>19</v>
      </c>
      <c r="F119" s="17">
        <f>SUM(F117:F118)</f>
        <v>433214600</v>
      </c>
    </row>
    <row r="120" spans="1:6" ht="18" customHeight="1">
      <c r="A120" s="5"/>
      <c r="B120" s="2"/>
    </row>
    <row r="121" spans="1:6" ht="18" customHeight="1">
      <c r="A121" s="5" t="s">
        <v>167</v>
      </c>
      <c r="B121" s="2" t="s">
        <v>36</v>
      </c>
      <c r="F121" s="15">
        <v>426907600</v>
      </c>
    </row>
    <row r="122" spans="1:6" ht="18" customHeight="1">
      <c r="A122" s="5"/>
    </row>
    <row r="123" spans="1:6" ht="18" customHeight="1">
      <c r="A123" s="5" t="s">
        <v>175</v>
      </c>
      <c r="B123" s="2" t="s">
        <v>20</v>
      </c>
      <c r="F123" s="15">
        <v>6307100</v>
      </c>
    </row>
    <row r="124" spans="1:6" ht="18" customHeight="1">
      <c r="A124" s="5"/>
    </row>
    <row r="125" spans="1:6" ht="18" customHeight="1">
      <c r="A125" s="5" t="s">
        <v>176</v>
      </c>
      <c r="B125" s="2" t="s">
        <v>21</v>
      </c>
      <c r="F125" s="15">
        <v>7739000</v>
      </c>
    </row>
    <row r="126" spans="1:6" ht="18" customHeight="1">
      <c r="A126" s="5"/>
    </row>
    <row r="127" spans="1:6" ht="18" customHeight="1">
      <c r="A127" s="5" t="s">
        <v>177</v>
      </c>
      <c r="B127" s="2" t="s">
        <v>22</v>
      </c>
      <c r="F127" s="15">
        <f>F123+F125</f>
        <v>14046100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7">SUM(F131:F135)</f>
        <v>0</v>
      </c>
      <c r="G137" s="18">
        <f t="shared" si="17"/>
        <v>0</v>
      </c>
      <c r="H137" s="16">
        <f t="shared" si="17"/>
        <v>0</v>
      </c>
      <c r="I137" s="16">
        <f t="shared" si="17"/>
        <v>0</v>
      </c>
      <c r="J137" s="16">
        <f t="shared" si="17"/>
        <v>0</v>
      </c>
      <c r="K137" s="16">
        <f t="shared" si="17"/>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8">F36</f>
        <v>51336</v>
      </c>
      <c r="G141" s="41">
        <f t="shared" si="18"/>
        <v>27429</v>
      </c>
      <c r="H141" s="41">
        <f t="shared" si="18"/>
        <v>4156275</v>
      </c>
      <c r="I141" s="41">
        <f t="shared" si="18"/>
        <v>2905236.2249999996</v>
      </c>
      <c r="J141" s="41">
        <f t="shared" si="18"/>
        <v>109549</v>
      </c>
      <c r="K141" s="41">
        <f t="shared" si="18"/>
        <v>6951962.2250000006</v>
      </c>
    </row>
    <row r="142" spans="1:11" ht="18" customHeight="1">
      <c r="A142" s="5" t="s">
        <v>142</v>
      </c>
      <c r="B142" s="2" t="s">
        <v>65</v>
      </c>
      <c r="F142" s="41">
        <f t="shared" ref="F142:K142" si="19">F49</f>
        <v>57279</v>
      </c>
      <c r="G142" s="41">
        <f t="shared" si="19"/>
        <v>22</v>
      </c>
      <c r="H142" s="41">
        <f t="shared" si="19"/>
        <v>8287961</v>
      </c>
      <c r="I142" s="41">
        <f t="shared" si="19"/>
        <v>5793284.7389999991</v>
      </c>
      <c r="J142" s="41">
        <f t="shared" si="19"/>
        <v>0</v>
      </c>
      <c r="K142" s="41">
        <f t="shared" si="19"/>
        <v>14081245.739</v>
      </c>
    </row>
    <row r="143" spans="1:11" ht="18" customHeight="1">
      <c r="A143" s="5" t="s">
        <v>144</v>
      </c>
      <c r="B143" s="2" t="s">
        <v>66</v>
      </c>
      <c r="F143" s="41">
        <f t="shared" ref="F143:K143" si="20">F64</f>
        <v>35940</v>
      </c>
      <c r="G143" s="41">
        <f t="shared" si="20"/>
        <v>48616.424565441732</v>
      </c>
      <c r="H143" s="41">
        <f t="shared" si="20"/>
        <v>7357254</v>
      </c>
      <c r="I143" s="41">
        <f t="shared" si="20"/>
        <v>5142720.5459999992</v>
      </c>
      <c r="J143" s="41">
        <f t="shared" si="20"/>
        <v>1313442</v>
      </c>
      <c r="K143" s="41">
        <f t="shared" si="20"/>
        <v>11186532.546</v>
      </c>
    </row>
    <row r="144" spans="1:11" ht="18" customHeight="1">
      <c r="A144" s="5" t="s">
        <v>146</v>
      </c>
      <c r="B144" s="2" t="s">
        <v>67</v>
      </c>
      <c r="F144" s="41">
        <f t="shared" ref="F144:K144" si="21">F74</f>
        <v>0</v>
      </c>
      <c r="G144" s="41">
        <f t="shared" si="21"/>
        <v>0</v>
      </c>
      <c r="H144" s="41">
        <f t="shared" si="21"/>
        <v>49997</v>
      </c>
      <c r="I144" s="41">
        <f t="shared" si="21"/>
        <v>34947.902999999998</v>
      </c>
      <c r="J144" s="41">
        <f t="shared" si="21"/>
        <v>0</v>
      </c>
      <c r="K144" s="41">
        <f t="shared" si="21"/>
        <v>84944.902999999991</v>
      </c>
    </row>
    <row r="145" spans="1:11" ht="18" customHeight="1">
      <c r="A145" s="5" t="s">
        <v>148</v>
      </c>
      <c r="B145" s="2" t="s">
        <v>68</v>
      </c>
      <c r="F145" s="41">
        <f t="shared" ref="F145:K145" si="22">F82</f>
        <v>1064</v>
      </c>
      <c r="G145" s="41">
        <f t="shared" si="22"/>
        <v>511</v>
      </c>
      <c r="H145" s="41">
        <f t="shared" si="22"/>
        <v>1702948</v>
      </c>
      <c r="I145" s="41">
        <f t="shared" si="22"/>
        <v>35258.258999999998</v>
      </c>
      <c r="J145" s="41">
        <f t="shared" si="22"/>
        <v>0</v>
      </c>
      <c r="K145" s="41">
        <f t="shared" si="22"/>
        <v>1738206.2590000001</v>
      </c>
    </row>
    <row r="146" spans="1:11" ht="18" customHeight="1">
      <c r="A146" s="5" t="s">
        <v>150</v>
      </c>
      <c r="B146" s="2" t="s">
        <v>69</v>
      </c>
      <c r="F146" s="41">
        <f t="shared" ref="F146:K146" si="23">F98</f>
        <v>7140</v>
      </c>
      <c r="G146" s="41">
        <f t="shared" si="23"/>
        <v>82</v>
      </c>
      <c r="H146" s="41">
        <f t="shared" si="23"/>
        <v>729810</v>
      </c>
      <c r="I146" s="41">
        <f t="shared" si="23"/>
        <v>510137.19</v>
      </c>
      <c r="J146" s="41">
        <f t="shared" si="23"/>
        <v>361691</v>
      </c>
      <c r="K146" s="41">
        <f t="shared" si="23"/>
        <v>878256.19</v>
      </c>
    </row>
    <row r="147" spans="1:11" ht="18" customHeight="1">
      <c r="A147" s="5" t="s">
        <v>153</v>
      </c>
      <c r="B147" s="2" t="s">
        <v>61</v>
      </c>
      <c r="F147" s="18">
        <f t="shared" ref="F147:K147" si="24">F108</f>
        <v>2785</v>
      </c>
      <c r="G147" s="18">
        <f t="shared" si="24"/>
        <v>0</v>
      </c>
      <c r="H147" s="18">
        <f t="shared" si="24"/>
        <v>142695</v>
      </c>
      <c r="I147" s="18">
        <f t="shared" si="24"/>
        <v>99743.804999999993</v>
      </c>
      <c r="J147" s="18">
        <f t="shared" si="24"/>
        <v>0</v>
      </c>
      <c r="K147" s="18">
        <f t="shared" si="24"/>
        <v>242438.80499999999</v>
      </c>
    </row>
    <row r="148" spans="1:11" ht="18" customHeight="1">
      <c r="A148" s="5" t="s">
        <v>155</v>
      </c>
      <c r="B148" s="2" t="s">
        <v>70</v>
      </c>
      <c r="F148" s="42" t="s">
        <v>73</v>
      </c>
      <c r="G148" s="42" t="s">
        <v>73</v>
      </c>
      <c r="H148" s="43" t="s">
        <v>73</v>
      </c>
      <c r="I148" s="43" t="s">
        <v>73</v>
      </c>
      <c r="J148" s="43" t="s">
        <v>73</v>
      </c>
      <c r="K148" s="37">
        <f>F111</f>
        <v>24885600</v>
      </c>
    </row>
    <row r="149" spans="1:11" ht="18" customHeight="1">
      <c r="A149" s="5" t="s">
        <v>163</v>
      </c>
      <c r="B149" s="2" t="s">
        <v>71</v>
      </c>
      <c r="F149" s="18">
        <f t="shared" ref="F149:K149" si="25">F137</f>
        <v>0</v>
      </c>
      <c r="G149" s="18">
        <f t="shared" si="25"/>
        <v>0</v>
      </c>
      <c r="H149" s="18">
        <f t="shared" si="25"/>
        <v>0</v>
      </c>
      <c r="I149" s="18">
        <f t="shared" si="25"/>
        <v>0</v>
      </c>
      <c r="J149" s="18">
        <f t="shared" si="25"/>
        <v>0</v>
      </c>
      <c r="K149" s="18">
        <f t="shared" si="25"/>
        <v>0</v>
      </c>
    </row>
    <row r="150" spans="1:11" ht="18" customHeight="1">
      <c r="A150" s="5" t="s">
        <v>185</v>
      </c>
      <c r="B150" s="2" t="s">
        <v>186</v>
      </c>
      <c r="F150" s="42" t="s">
        <v>73</v>
      </c>
      <c r="G150" s="42" t="s">
        <v>73</v>
      </c>
      <c r="H150" s="18">
        <f>H18</f>
        <v>12235642</v>
      </c>
      <c r="I150" s="18">
        <f>I18</f>
        <v>0</v>
      </c>
      <c r="J150" s="18">
        <f>J18</f>
        <v>10463004</v>
      </c>
      <c r="K150" s="18">
        <f>K18</f>
        <v>1772638</v>
      </c>
    </row>
    <row r="151" spans="1:11" ht="18" customHeight="1">
      <c r="B151" s="2"/>
      <c r="F151" s="48"/>
      <c r="G151" s="48"/>
      <c r="H151" s="48"/>
      <c r="I151" s="48"/>
      <c r="J151" s="48"/>
      <c r="K151" s="48"/>
    </row>
    <row r="152" spans="1:11" ht="18" customHeight="1">
      <c r="A152" s="6" t="s">
        <v>165</v>
      </c>
      <c r="B152" s="2" t="s">
        <v>26</v>
      </c>
      <c r="F152" s="49">
        <f t="shared" ref="F152:K152" si="26">SUM(F141:F150)</f>
        <v>155544</v>
      </c>
      <c r="G152" s="49">
        <f t="shared" si="26"/>
        <v>76660.424565441732</v>
      </c>
      <c r="H152" s="49">
        <f t="shared" si="26"/>
        <v>34662582</v>
      </c>
      <c r="I152" s="49">
        <f t="shared" si="26"/>
        <v>14521328.666999998</v>
      </c>
      <c r="J152" s="49">
        <f t="shared" si="26"/>
        <v>12247686</v>
      </c>
      <c r="K152" s="49">
        <f t="shared" si="26"/>
        <v>61821824.667000003</v>
      </c>
    </row>
    <row r="154" spans="1:11" ht="18" customHeight="1">
      <c r="A154" s="6" t="s">
        <v>168</v>
      </c>
      <c r="B154" s="2" t="s">
        <v>28</v>
      </c>
      <c r="F154" s="64">
        <f>K152/F121</f>
        <v>0.14481312740040234</v>
      </c>
    </row>
    <row r="155" spans="1:11" ht="18" customHeight="1">
      <c r="A155" s="6" t="s">
        <v>169</v>
      </c>
      <c r="B155" s="2" t="s">
        <v>72</v>
      </c>
      <c r="F155" s="64">
        <f>K152/F127</f>
        <v>4.4013515970269328</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6"/>
  <sheetViews>
    <sheetView topLeftCell="A46" zoomScale="80" zoomScaleNormal="80" workbookViewId="0">
      <selection activeCell="K64" sqref="K64"/>
    </sheetView>
  </sheetViews>
  <sheetFormatPr defaultColWidth="9" defaultRowHeight="12.75"/>
  <cols>
    <col min="1" max="1" width="8.28515625" style="177" customWidth="1"/>
    <col min="2" max="2" width="55.42578125" style="178" bestFit="1" customWidth="1"/>
    <col min="3" max="3" width="9.5703125" style="178" customWidth="1"/>
    <col min="4" max="4" width="9" style="178"/>
    <col min="5" max="5" width="12.42578125" style="178" customWidth="1"/>
    <col min="6" max="6" width="18.5703125" style="178" customWidth="1"/>
    <col min="7" max="7" width="23.5703125" style="178" customWidth="1"/>
    <col min="8" max="8" width="17.140625" style="178" customWidth="1"/>
    <col min="9" max="9" width="21.140625" style="178" customWidth="1"/>
    <col min="10" max="10" width="19.85546875" style="178" customWidth="1"/>
    <col min="11" max="11" width="17.5703125" style="178" customWidth="1"/>
    <col min="12" max="16384" width="9" style="178"/>
  </cols>
  <sheetData>
    <row r="1" spans="1:11" ht="18" customHeight="1">
      <c r="C1" s="179"/>
      <c r="D1" s="180"/>
      <c r="E1" s="179"/>
      <c r="F1" s="179"/>
      <c r="G1" s="179"/>
      <c r="H1" s="179"/>
      <c r="I1" s="179"/>
      <c r="J1" s="179"/>
      <c r="K1" s="179"/>
    </row>
    <row r="2" spans="1:11" ht="18" customHeight="1">
      <c r="D2" s="680" t="s">
        <v>371</v>
      </c>
      <c r="E2" s="681"/>
      <c r="F2" s="681"/>
      <c r="G2" s="681"/>
      <c r="H2" s="681"/>
    </row>
    <row r="3" spans="1:11" ht="18" customHeight="1">
      <c r="B3" s="181" t="s">
        <v>0</v>
      </c>
    </row>
    <row r="5" spans="1:11" ht="18" customHeight="1">
      <c r="B5" s="182" t="s">
        <v>40</v>
      </c>
      <c r="C5" s="682" t="s">
        <v>583</v>
      </c>
      <c r="D5" s="683"/>
      <c r="E5" s="683"/>
      <c r="F5" s="683"/>
      <c r="G5" s="684"/>
    </row>
    <row r="6" spans="1:11" ht="18" customHeight="1">
      <c r="B6" s="182" t="s">
        <v>3</v>
      </c>
      <c r="C6" s="685" t="s">
        <v>584</v>
      </c>
      <c r="D6" s="686"/>
      <c r="E6" s="686"/>
      <c r="F6" s="686"/>
      <c r="G6" s="687"/>
    </row>
    <row r="7" spans="1:11" ht="18" customHeight="1">
      <c r="B7" s="182" t="s">
        <v>4</v>
      </c>
      <c r="C7" s="688"/>
      <c r="D7" s="689"/>
      <c r="E7" s="689"/>
      <c r="F7" s="689"/>
      <c r="G7" s="690"/>
    </row>
    <row r="9" spans="1:11" ht="18" customHeight="1">
      <c r="B9" s="182" t="s">
        <v>1</v>
      </c>
      <c r="C9" s="682" t="s">
        <v>585</v>
      </c>
      <c r="D9" s="683"/>
      <c r="E9" s="683"/>
      <c r="F9" s="683"/>
      <c r="G9" s="684"/>
    </row>
    <row r="10" spans="1:11" ht="18" customHeight="1">
      <c r="B10" s="182" t="s">
        <v>2</v>
      </c>
      <c r="C10" s="677" t="s">
        <v>586</v>
      </c>
      <c r="D10" s="678"/>
      <c r="E10" s="678"/>
      <c r="F10" s="678"/>
      <c r="G10" s="679"/>
    </row>
    <row r="11" spans="1:11" ht="18" customHeight="1">
      <c r="B11" s="182" t="s">
        <v>32</v>
      </c>
      <c r="C11" s="694" t="s">
        <v>587</v>
      </c>
      <c r="D11" s="695"/>
      <c r="E11" s="695"/>
      <c r="F11" s="695"/>
      <c r="G11" s="695"/>
    </row>
    <row r="12" spans="1:11" ht="18" customHeight="1">
      <c r="B12" s="182"/>
      <c r="C12" s="182"/>
      <c r="D12" s="182"/>
      <c r="E12" s="182"/>
      <c r="F12" s="182"/>
      <c r="G12" s="182"/>
    </row>
    <row r="13" spans="1:11" ht="24.6" customHeight="1">
      <c r="B13" s="696"/>
      <c r="C13" s="697"/>
      <c r="D13" s="697"/>
      <c r="E13" s="697"/>
      <c r="F13" s="697"/>
      <c r="G13" s="697"/>
      <c r="H13" s="698"/>
      <c r="I13" s="179"/>
    </row>
    <row r="14" spans="1:11" ht="18" customHeight="1">
      <c r="B14" s="183"/>
    </row>
    <row r="15" spans="1:11" ht="18" customHeight="1">
      <c r="B15" s="183"/>
    </row>
    <row r="16" spans="1:11" ht="45" customHeight="1">
      <c r="A16" s="180" t="s">
        <v>181</v>
      </c>
      <c r="B16" s="179"/>
      <c r="C16" s="179"/>
      <c r="D16" s="179"/>
      <c r="E16" s="179"/>
      <c r="F16" s="184" t="s">
        <v>9</v>
      </c>
      <c r="G16" s="184" t="s">
        <v>37</v>
      </c>
      <c r="H16" s="184" t="s">
        <v>29</v>
      </c>
      <c r="I16" s="184" t="s">
        <v>30</v>
      </c>
      <c r="J16" s="184" t="s">
        <v>33</v>
      </c>
      <c r="K16" s="184" t="s">
        <v>34</v>
      </c>
    </row>
    <row r="17" spans="1:11" ht="18" customHeight="1">
      <c r="A17" s="185" t="s">
        <v>184</v>
      </c>
      <c r="B17" s="181" t="s">
        <v>182</v>
      </c>
    </row>
    <row r="18" spans="1:11" ht="18" customHeight="1">
      <c r="A18" s="182" t="s">
        <v>185</v>
      </c>
      <c r="B18" s="186" t="s">
        <v>183</v>
      </c>
      <c r="F18" s="187" t="s">
        <v>73</v>
      </c>
      <c r="G18" s="187" t="s">
        <v>73</v>
      </c>
      <c r="H18" s="188">
        <v>54213970.083440132</v>
      </c>
      <c r="I18" s="188">
        <v>0</v>
      </c>
      <c r="J18" s="188">
        <v>46359722.958161265</v>
      </c>
      <c r="K18" s="190">
        <v>7854247.1252788678</v>
      </c>
    </row>
    <row r="19" spans="1:11" ht="45" customHeight="1">
      <c r="A19" s="180" t="s">
        <v>8</v>
      </c>
      <c r="B19" s="179"/>
      <c r="C19" s="179"/>
      <c r="D19" s="179"/>
      <c r="E19" s="179"/>
      <c r="F19" s="184" t="s">
        <v>9</v>
      </c>
      <c r="G19" s="184" t="s">
        <v>37</v>
      </c>
      <c r="H19" s="184" t="s">
        <v>29</v>
      </c>
      <c r="I19" s="184" t="s">
        <v>30</v>
      </c>
      <c r="J19" s="184" t="s">
        <v>33</v>
      </c>
      <c r="K19" s="184" t="s">
        <v>34</v>
      </c>
    </row>
    <row r="20" spans="1:11" ht="18" customHeight="1">
      <c r="A20" s="185" t="s">
        <v>74</v>
      </c>
      <c r="B20" s="181" t="s">
        <v>41</v>
      </c>
    </row>
    <row r="21" spans="1:11" ht="18" customHeight="1">
      <c r="A21" s="182" t="s">
        <v>75</v>
      </c>
      <c r="B21" s="186" t="s">
        <v>42</v>
      </c>
      <c r="F21" s="187">
        <v>8424</v>
      </c>
      <c r="G21" s="187">
        <v>10278463</v>
      </c>
      <c r="H21" s="188">
        <v>827587.78</v>
      </c>
      <c r="I21" s="188">
        <v>373738.64144799998</v>
      </c>
      <c r="J21" s="188">
        <v>6070</v>
      </c>
      <c r="K21" s="190">
        <v>1195256.421448</v>
      </c>
    </row>
    <row r="22" spans="1:11" ht="18" customHeight="1">
      <c r="A22" s="182" t="s">
        <v>76</v>
      </c>
      <c r="B22" s="178" t="s">
        <v>6</v>
      </c>
      <c r="F22" s="187">
        <v>1538</v>
      </c>
      <c r="G22" s="187">
        <v>1434</v>
      </c>
      <c r="H22" s="188">
        <v>115063.6</v>
      </c>
      <c r="I22" s="188">
        <v>51962.721760000008</v>
      </c>
      <c r="J22" s="188">
        <v>2010</v>
      </c>
      <c r="K22" s="190">
        <v>165016.32176000002</v>
      </c>
    </row>
    <row r="23" spans="1:11" ht="18" customHeight="1">
      <c r="A23" s="182" t="s">
        <v>77</v>
      </c>
      <c r="B23" s="178" t="s">
        <v>43</v>
      </c>
      <c r="F23" s="187">
        <v>0</v>
      </c>
      <c r="G23" s="187">
        <v>0</v>
      </c>
      <c r="H23" s="188">
        <v>0</v>
      </c>
      <c r="I23" s="188">
        <v>0</v>
      </c>
      <c r="J23" s="188">
        <v>0</v>
      </c>
      <c r="K23" s="190">
        <v>0</v>
      </c>
    </row>
    <row r="24" spans="1:11" ht="18" customHeight="1">
      <c r="A24" s="182" t="s">
        <v>78</v>
      </c>
      <c r="B24" s="178" t="s">
        <v>44</v>
      </c>
      <c r="F24" s="187">
        <v>3347</v>
      </c>
      <c r="G24" s="187">
        <v>17181</v>
      </c>
      <c r="H24" s="188">
        <v>377857.24</v>
      </c>
      <c r="I24" s="188">
        <v>170640.32958399999</v>
      </c>
      <c r="J24" s="188">
        <v>70000</v>
      </c>
      <c r="K24" s="190">
        <v>478497.56958399992</v>
      </c>
    </row>
    <row r="25" spans="1:11" ht="18" customHeight="1">
      <c r="A25" s="182" t="s">
        <v>79</v>
      </c>
      <c r="B25" s="178" t="s">
        <v>5</v>
      </c>
      <c r="F25" s="187">
        <v>63</v>
      </c>
      <c r="G25" s="187">
        <v>126</v>
      </c>
      <c r="H25" s="188">
        <v>5556</v>
      </c>
      <c r="I25" s="188">
        <v>2509.0896000000002</v>
      </c>
      <c r="J25" s="188">
        <v>0</v>
      </c>
      <c r="K25" s="190">
        <v>8065.0896000000002</v>
      </c>
    </row>
    <row r="26" spans="1:11" ht="18" customHeight="1">
      <c r="A26" s="182" t="s">
        <v>80</v>
      </c>
      <c r="B26" s="178" t="s">
        <v>45</v>
      </c>
      <c r="F26" s="187">
        <v>120</v>
      </c>
      <c r="G26" s="187">
        <v>788</v>
      </c>
      <c r="H26" s="188">
        <v>12988</v>
      </c>
      <c r="I26" s="188">
        <v>5865.3807999999999</v>
      </c>
      <c r="J26" s="188">
        <v>0</v>
      </c>
      <c r="K26" s="190">
        <v>18853.380799999999</v>
      </c>
    </row>
    <row r="27" spans="1:11" ht="18" customHeight="1">
      <c r="A27" s="182" t="s">
        <v>81</v>
      </c>
      <c r="B27" s="178" t="s">
        <v>46</v>
      </c>
      <c r="F27" s="187">
        <v>0</v>
      </c>
      <c r="G27" s="187">
        <v>0</v>
      </c>
      <c r="H27" s="188">
        <v>0</v>
      </c>
      <c r="I27" s="188">
        <v>0</v>
      </c>
      <c r="J27" s="188">
        <v>0</v>
      </c>
      <c r="K27" s="190">
        <v>0</v>
      </c>
    </row>
    <row r="28" spans="1:11" ht="18" customHeight="1">
      <c r="A28" s="182" t="s">
        <v>82</v>
      </c>
      <c r="B28" s="178" t="s">
        <v>47</v>
      </c>
      <c r="F28" s="187">
        <v>15428</v>
      </c>
      <c r="G28" s="187">
        <v>4066</v>
      </c>
      <c r="H28" s="188">
        <v>765332.38</v>
      </c>
      <c r="I28" s="188">
        <v>345624.102808</v>
      </c>
      <c r="J28" s="188">
        <v>657624</v>
      </c>
      <c r="K28" s="190">
        <v>453332.48280799994</v>
      </c>
    </row>
    <row r="29" spans="1:11" ht="18" customHeight="1">
      <c r="A29" s="182" t="s">
        <v>83</v>
      </c>
      <c r="B29" s="178" t="s">
        <v>48</v>
      </c>
      <c r="F29" s="187">
        <v>42669</v>
      </c>
      <c r="G29" s="187">
        <v>36907</v>
      </c>
      <c r="H29" s="188">
        <v>5344220.5600000005</v>
      </c>
      <c r="I29" s="188">
        <v>1783434.1348960004</v>
      </c>
      <c r="J29" s="188">
        <v>139082</v>
      </c>
      <c r="K29" s="190">
        <v>6988572.6948960014</v>
      </c>
    </row>
    <row r="30" spans="1:11" ht="18" customHeight="1">
      <c r="A30" s="182" t="s">
        <v>84</v>
      </c>
      <c r="B30" s="699" t="s">
        <v>588</v>
      </c>
      <c r="C30" s="700"/>
      <c r="D30" s="701"/>
      <c r="F30" s="187">
        <v>1278</v>
      </c>
      <c r="G30" s="187">
        <v>3204</v>
      </c>
      <c r="H30" s="188">
        <v>367589.92</v>
      </c>
      <c r="I30" s="188">
        <v>166003.60787200002</v>
      </c>
      <c r="J30" s="188">
        <v>0</v>
      </c>
      <c r="K30" s="190">
        <v>533593.52787200001</v>
      </c>
    </row>
    <row r="31" spans="1:11" ht="18" customHeight="1">
      <c r="A31" s="182" t="s">
        <v>133</v>
      </c>
      <c r="B31" s="699"/>
      <c r="C31" s="700"/>
      <c r="D31" s="701"/>
      <c r="F31" s="187">
        <v>0</v>
      </c>
      <c r="G31" s="187">
        <v>0</v>
      </c>
      <c r="H31" s="188">
        <v>0</v>
      </c>
      <c r="I31" s="188">
        <v>0</v>
      </c>
      <c r="J31" s="188">
        <v>0</v>
      </c>
      <c r="K31" s="190">
        <v>0</v>
      </c>
    </row>
    <row r="32" spans="1:11" ht="18" customHeight="1">
      <c r="A32" s="182" t="s">
        <v>134</v>
      </c>
      <c r="B32" s="326"/>
      <c r="C32" s="327"/>
      <c r="D32" s="328"/>
      <c r="F32" s="187">
        <v>0</v>
      </c>
      <c r="G32" s="187">
        <v>0</v>
      </c>
      <c r="H32" s="188">
        <v>0</v>
      </c>
      <c r="I32" s="188">
        <v>0</v>
      </c>
      <c r="J32" s="188">
        <v>0</v>
      </c>
      <c r="K32" s="190">
        <v>0</v>
      </c>
    </row>
    <row r="33" spans="1:11" ht="18" customHeight="1">
      <c r="A33" s="182" t="s">
        <v>135</v>
      </c>
      <c r="B33" s="326"/>
      <c r="C33" s="327"/>
      <c r="D33" s="328"/>
      <c r="F33" s="187">
        <v>0</v>
      </c>
      <c r="G33" s="187">
        <v>0</v>
      </c>
      <c r="H33" s="188">
        <v>0</v>
      </c>
      <c r="I33" s="188">
        <v>0</v>
      </c>
      <c r="J33" s="188">
        <v>0</v>
      </c>
      <c r="K33" s="190">
        <v>0</v>
      </c>
    </row>
    <row r="34" spans="1:11" ht="18" customHeight="1">
      <c r="A34" s="182" t="s">
        <v>136</v>
      </c>
      <c r="B34" s="699"/>
      <c r="C34" s="700"/>
      <c r="D34" s="701"/>
      <c r="F34" s="187">
        <v>0</v>
      </c>
      <c r="G34" s="187">
        <v>0</v>
      </c>
      <c r="H34" s="188">
        <v>0</v>
      </c>
      <c r="I34" s="188">
        <v>0</v>
      </c>
      <c r="J34" s="188">
        <v>0</v>
      </c>
      <c r="K34" s="190">
        <v>0</v>
      </c>
    </row>
    <row r="35" spans="1:11" ht="18" customHeight="1">
      <c r="K35" s="195"/>
    </row>
    <row r="36" spans="1:11" ht="18" customHeight="1">
      <c r="A36" s="185" t="s">
        <v>137</v>
      </c>
      <c r="B36" s="181" t="s">
        <v>138</v>
      </c>
      <c r="E36" s="181" t="s">
        <v>7</v>
      </c>
      <c r="F36" s="196">
        <v>72867</v>
      </c>
      <c r="G36" s="196">
        <v>10342169</v>
      </c>
      <c r="H36" s="190">
        <v>7816195.4800000004</v>
      </c>
      <c r="I36" s="190">
        <v>2899778.0087680006</v>
      </c>
      <c r="J36" s="190">
        <v>874786</v>
      </c>
      <c r="K36" s="190">
        <v>9841187.4887680002</v>
      </c>
    </row>
    <row r="37" spans="1:11" ht="18" customHeight="1" thickBot="1">
      <c r="B37" s="181"/>
      <c r="F37" s="197"/>
      <c r="G37" s="197"/>
      <c r="H37" s="198"/>
      <c r="I37" s="198"/>
      <c r="J37" s="198"/>
      <c r="K37" s="199"/>
    </row>
    <row r="38" spans="1:11" ht="42.75" customHeight="1">
      <c r="F38" s="184" t="s">
        <v>9</v>
      </c>
      <c r="G38" s="184" t="s">
        <v>37</v>
      </c>
      <c r="H38" s="184" t="s">
        <v>29</v>
      </c>
      <c r="I38" s="184" t="s">
        <v>30</v>
      </c>
      <c r="J38" s="184" t="s">
        <v>33</v>
      </c>
      <c r="K38" s="184" t="s">
        <v>34</v>
      </c>
    </row>
    <row r="39" spans="1:11" ht="18.75" customHeight="1">
      <c r="A39" s="185" t="s">
        <v>86</v>
      </c>
      <c r="B39" s="181" t="s">
        <v>49</v>
      </c>
    </row>
    <row r="40" spans="1:11" ht="18" customHeight="1">
      <c r="A40" s="182" t="s">
        <v>87</v>
      </c>
      <c r="B40" s="178" t="s">
        <v>31</v>
      </c>
      <c r="F40" s="187">
        <v>1853568</v>
      </c>
      <c r="G40" s="187">
        <v>892.09999999999991</v>
      </c>
      <c r="H40" s="188">
        <v>103053794.40000001</v>
      </c>
      <c r="I40" s="188">
        <v>0</v>
      </c>
      <c r="J40" s="188">
        <v>0</v>
      </c>
      <c r="K40" s="190">
        <v>103053794.40000001</v>
      </c>
    </row>
    <row r="41" spans="1:11" ht="18" customHeight="1">
      <c r="A41" s="182" t="s">
        <v>88</v>
      </c>
      <c r="B41" s="702" t="s">
        <v>50</v>
      </c>
      <c r="C41" s="703"/>
      <c r="F41" s="187">
        <v>50688</v>
      </c>
      <c r="G41" s="187">
        <v>369</v>
      </c>
      <c r="H41" s="188">
        <v>2851022</v>
      </c>
      <c r="I41" s="188">
        <v>0</v>
      </c>
      <c r="J41" s="188">
        <v>0</v>
      </c>
      <c r="K41" s="190">
        <v>2851022</v>
      </c>
    </row>
    <row r="42" spans="1:11" ht="18" customHeight="1">
      <c r="A42" s="182" t="s">
        <v>89</v>
      </c>
      <c r="B42" s="186" t="s">
        <v>11</v>
      </c>
      <c r="F42" s="187">
        <v>75792.2</v>
      </c>
      <c r="G42" s="187">
        <v>335</v>
      </c>
      <c r="H42" s="188">
        <v>2802613.56</v>
      </c>
      <c r="I42" s="188">
        <v>0</v>
      </c>
      <c r="J42" s="188">
        <v>0</v>
      </c>
      <c r="K42" s="190">
        <v>2802613.56</v>
      </c>
    </row>
    <row r="43" spans="1:11" ht="18" customHeight="1">
      <c r="A43" s="182" t="s">
        <v>90</v>
      </c>
      <c r="B43" s="200" t="s">
        <v>10</v>
      </c>
      <c r="C43" s="201"/>
      <c r="D43" s="201"/>
      <c r="F43" s="187">
        <v>124</v>
      </c>
      <c r="G43" s="187">
        <v>35</v>
      </c>
      <c r="H43" s="188">
        <v>1859323.2</v>
      </c>
      <c r="I43" s="188">
        <v>0</v>
      </c>
      <c r="J43" s="188">
        <v>0</v>
      </c>
      <c r="K43" s="190">
        <v>1859323.2</v>
      </c>
    </row>
    <row r="44" spans="1:11" ht="18" customHeight="1">
      <c r="A44" s="182" t="s">
        <v>91</v>
      </c>
      <c r="B44" s="699" t="s">
        <v>589</v>
      </c>
      <c r="C44" s="700"/>
      <c r="D44" s="701"/>
      <c r="F44" s="187">
        <v>58726</v>
      </c>
      <c r="G44" s="187">
        <v>452</v>
      </c>
      <c r="H44" s="188">
        <v>2028070.56</v>
      </c>
      <c r="I44" s="188">
        <v>0</v>
      </c>
      <c r="J44" s="188">
        <v>5213</v>
      </c>
      <c r="K44" s="204">
        <v>2022857.56</v>
      </c>
    </row>
    <row r="45" spans="1:11" ht="18" customHeight="1">
      <c r="A45" s="182" t="s">
        <v>139</v>
      </c>
      <c r="B45" s="699"/>
      <c r="C45" s="700"/>
      <c r="D45" s="701"/>
      <c r="F45" s="187">
        <v>0</v>
      </c>
      <c r="G45" s="187">
        <v>0</v>
      </c>
      <c r="H45" s="188">
        <v>0</v>
      </c>
      <c r="I45" s="188">
        <v>0</v>
      </c>
      <c r="J45" s="188">
        <v>0</v>
      </c>
      <c r="K45" s="190">
        <v>0</v>
      </c>
    </row>
    <row r="46" spans="1:11" ht="18" customHeight="1">
      <c r="A46" s="182" t="s">
        <v>140</v>
      </c>
      <c r="B46" s="699"/>
      <c r="C46" s="700"/>
      <c r="D46" s="701"/>
      <c r="F46" s="187">
        <v>0</v>
      </c>
      <c r="G46" s="187">
        <v>0</v>
      </c>
      <c r="H46" s="188">
        <v>0</v>
      </c>
      <c r="I46" s="188">
        <v>0</v>
      </c>
      <c r="J46" s="188">
        <v>0</v>
      </c>
      <c r="K46" s="190">
        <v>0</v>
      </c>
    </row>
    <row r="47" spans="1:11" ht="18" customHeight="1">
      <c r="A47" s="182" t="s">
        <v>141</v>
      </c>
      <c r="B47" s="699"/>
      <c r="C47" s="700"/>
      <c r="D47" s="701"/>
      <c r="F47" s="187">
        <v>0</v>
      </c>
      <c r="G47" s="187">
        <v>0</v>
      </c>
      <c r="H47" s="188">
        <v>0</v>
      </c>
      <c r="I47" s="188">
        <v>0</v>
      </c>
      <c r="J47" s="188">
        <v>0</v>
      </c>
      <c r="K47" s="190">
        <v>0</v>
      </c>
    </row>
    <row r="49" spans="1:11" ht="18" customHeight="1">
      <c r="A49" s="185" t="s">
        <v>142</v>
      </c>
      <c r="B49" s="181" t="s">
        <v>143</v>
      </c>
      <c r="E49" s="181" t="s">
        <v>7</v>
      </c>
      <c r="F49" s="196">
        <v>2038898.2</v>
      </c>
      <c r="G49" s="196">
        <v>2083.1</v>
      </c>
      <c r="H49" s="190">
        <v>112594823.72000001</v>
      </c>
      <c r="I49" s="190">
        <v>0</v>
      </c>
      <c r="J49" s="190">
        <v>5213</v>
      </c>
      <c r="K49" s="190">
        <v>112589610.72000001</v>
      </c>
    </row>
    <row r="50" spans="1:11" ht="18" customHeight="1" thickBot="1">
      <c r="G50" s="206"/>
      <c r="H50" s="206"/>
      <c r="I50" s="206"/>
      <c r="J50" s="206"/>
      <c r="K50" s="206"/>
    </row>
    <row r="51" spans="1:11" ht="42.75" customHeight="1">
      <c r="F51" s="184" t="s">
        <v>9</v>
      </c>
      <c r="G51" s="184" t="s">
        <v>37</v>
      </c>
      <c r="H51" s="184" t="s">
        <v>29</v>
      </c>
      <c r="I51" s="184" t="s">
        <v>30</v>
      </c>
      <c r="J51" s="184" t="s">
        <v>33</v>
      </c>
      <c r="K51" s="184" t="s">
        <v>34</v>
      </c>
    </row>
    <row r="52" spans="1:11" ht="18" customHeight="1">
      <c r="A52" s="185" t="s">
        <v>92</v>
      </c>
      <c r="B52" s="704" t="s">
        <v>38</v>
      </c>
      <c r="C52" s="705"/>
    </row>
    <row r="53" spans="1:11" ht="18" customHeight="1">
      <c r="A53" s="182" t="s">
        <v>51</v>
      </c>
      <c r="B53" s="691" t="s">
        <v>590</v>
      </c>
      <c r="C53" s="692"/>
      <c r="D53" s="693"/>
      <c r="F53" s="187">
        <v>429</v>
      </c>
      <c r="G53" s="187">
        <v>893</v>
      </c>
      <c r="H53" s="188">
        <v>233749.54</v>
      </c>
      <c r="I53" s="188">
        <v>0</v>
      </c>
      <c r="J53" s="188">
        <v>144431</v>
      </c>
      <c r="K53" s="190">
        <v>89318.540000000008</v>
      </c>
    </row>
    <row r="54" spans="1:11" ht="18" customHeight="1">
      <c r="A54" s="182" t="s">
        <v>93</v>
      </c>
      <c r="B54" s="691" t="s">
        <v>591</v>
      </c>
      <c r="C54" s="692"/>
      <c r="D54" s="693"/>
      <c r="F54" s="187">
        <v>13842</v>
      </c>
      <c r="G54" s="187">
        <v>3003</v>
      </c>
      <c r="H54" s="188">
        <v>588680.66</v>
      </c>
      <c r="I54" s="188">
        <v>0</v>
      </c>
      <c r="J54" s="188">
        <v>148328</v>
      </c>
      <c r="K54" s="190">
        <v>440352.66000000003</v>
      </c>
    </row>
    <row r="55" spans="1:11" ht="18" customHeight="1">
      <c r="A55" s="182" t="s">
        <v>94</v>
      </c>
      <c r="B55" s="706" t="s">
        <v>592</v>
      </c>
      <c r="C55" s="707"/>
      <c r="D55" s="693"/>
      <c r="F55" s="187">
        <v>6722</v>
      </c>
      <c r="G55" s="187">
        <v>4001</v>
      </c>
      <c r="H55" s="188">
        <v>273581.71999999997</v>
      </c>
      <c r="I55" s="188">
        <v>0</v>
      </c>
      <c r="J55" s="188">
        <v>223945</v>
      </c>
      <c r="K55" s="190">
        <v>49636.719999999972</v>
      </c>
    </row>
    <row r="56" spans="1:11" ht="18" customHeight="1">
      <c r="A56" s="182" t="s">
        <v>95</v>
      </c>
      <c r="B56" s="706" t="s">
        <v>580</v>
      </c>
      <c r="C56" s="707"/>
      <c r="D56" s="693"/>
      <c r="F56" s="187">
        <v>749</v>
      </c>
      <c r="G56" s="187">
        <v>0</v>
      </c>
      <c r="H56" s="188">
        <v>110427.45</v>
      </c>
      <c r="I56" s="188">
        <v>0</v>
      </c>
      <c r="J56" s="188">
        <v>0</v>
      </c>
      <c r="K56" s="190">
        <v>110427.45</v>
      </c>
    </row>
    <row r="57" spans="1:11" ht="18" customHeight="1">
      <c r="A57" s="182" t="s">
        <v>96</v>
      </c>
      <c r="B57" s="706" t="s">
        <v>593</v>
      </c>
      <c r="C57" s="707"/>
      <c r="D57" s="693"/>
      <c r="F57" s="187">
        <v>1457</v>
      </c>
      <c r="G57" s="187">
        <v>1457</v>
      </c>
      <c r="H57" s="188">
        <v>43636.240000000005</v>
      </c>
      <c r="I57" s="188">
        <v>0</v>
      </c>
      <c r="J57" s="188">
        <v>0</v>
      </c>
      <c r="K57" s="190">
        <v>43636.240000000005</v>
      </c>
    </row>
    <row r="58" spans="1:11" ht="18" customHeight="1">
      <c r="A58" s="182" t="s">
        <v>97</v>
      </c>
      <c r="B58" s="708" t="s">
        <v>594</v>
      </c>
      <c r="C58" s="709"/>
      <c r="D58" s="710"/>
      <c r="F58" s="187">
        <v>1</v>
      </c>
      <c r="G58" s="187">
        <v>954</v>
      </c>
      <c r="H58" s="188">
        <v>97868</v>
      </c>
      <c r="I58" s="188">
        <v>0</v>
      </c>
      <c r="J58" s="188">
        <v>0</v>
      </c>
      <c r="K58" s="190">
        <v>97868</v>
      </c>
    </row>
    <row r="59" spans="1:11" ht="18" customHeight="1">
      <c r="A59" s="182" t="s">
        <v>98</v>
      </c>
      <c r="B59" s="706" t="s">
        <v>595</v>
      </c>
      <c r="C59" s="707"/>
      <c r="D59" s="693"/>
      <c r="F59" s="187">
        <v>1</v>
      </c>
      <c r="G59" s="187">
        <v>1116</v>
      </c>
      <c r="H59" s="188">
        <v>209239</v>
      </c>
      <c r="I59" s="188">
        <v>0</v>
      </c>
      <c r="J59" s="188">
        <v>0</v>
      </c>
      <c r="K59" s="190">
        <v>209239</v>
      </c>
    </row>
    <row r="60" spans="1:11" ht="18" customHeight="1">
      <c r="A60" s="182" t="s">
        <v>99</v>
      </c>
      <c r="B60" s="708" t="s">
        <v>596</v>
      </c>
      <c r="C60" s="711"/>
      <c r="D60" s="712"/>
      <c r="F60" s="187">
        <v>0</v>
      </c>
      <c r="G60" s="187">
        <v>14703</v>
      </c>
      <c r="H60" s="188">
        <v>653126</v>
      </c>
      <c r="I60" s="188">
        <v>0</v>
      </c>
      <c r="J60" s="188">
        <v>0</v>
      </c>
      <c r="K60" s="190">
        <v>653126</v>
      </c>
    </row>
    <row r="61" spans="1:11" ht="18" customHeight="1">
      <c r="A61" s="182" t="s">
        <v>100</v>
      </c>
      <c r="B61" s="706" t="s">
        <v>597</v>
      </c>
      <c r="C61" s="709"/>
      <c r="D61" s="710"/>
      <c r="F61" s="187">
        <v>1</v>
      </c>
      <c r="G61" s="187">
        <v>922</v>
      </c>
      <c r="H61" s="188">
        <v>60112.34</v>
      </c>
      <c r="I61" s="188">
        <v>0</v>
      </c>
      <c r="J61" s="188">
        <v>0</v>
      </c>
      <c r="K61" s="190">
        <v>60112.34</v>
      </c>
    </row>
    <row r="62" spans="1:11" ht="18" customHeight="1">
      <c r="A62" s="182" t="s">
        <v>101</v>
      </c>
      <c r="B62" s="706" t="s">
        <v>598</v>
      </c>
      <c r="C62" s="707"/>
      <c r="D62" s="693"/>
      <c r="F62" s="187">
        <v>108946</v>
      </c>
      <c r="G62" s="187">
        <v>90500</v>
      </c>
      <c r="H62" s="188">
        <v>19101338.760000002</v>
      </c>
      <c r="I62" s="188">
        <v>0</v>
      </c>
      <c r="J62" s="188">
        <v>3261970.85</v>
      </c>
      <c r="K62" s="190">
        <v>15839367.91</v>
      </c>
    </row>
    <row r="63" spans="1:11" ht="18" customHeight="1">
      <c r="A63" s="182"/>
      <c r="I63" s="212"/>
    </row>
    <row r="64" spans="1:11" ht="18" customHeight="1">
      <c r="A64" s="182" t="s">
        <v>144</v>
      </c>
      <c r="B64" s="181" t="s">
        <v>145</v>
      </c>
      <c r="E64" s="181" t="s">
        <v>7</v>
      </c>
      <c r="F64" s="196">
        <f>SUM(F53:F62)</f>
        <v>132148</v>
      </c>
      <c r="G64" s="196">
        <f t="shared" ref="G64:K64" si="0">SUM(G53:G62)</f>
        <v>117549</v>
      </c>
      <c r="H64" s="196">
        <f t="shared" si="0"/>
        <v>21371759.710000001</v>
      </c>
      <c r="I64" s="196">
        <f t="shared" si="0"/>
        <v>0</v>
      </c>
      <c r="J64" s="196">
        <f t="shared" si="0"/>
        <v>3778674.85</v>
      </c>
      <c r="K64" s="196">
        <f t="shared" si="0"/>
        <v>17593084.859999999</v>
      </c>
    </row>
    <row r="65" spans="1:11" ht="18" customHeight="1">
      <c r="F65" s="213"/>
      <c r="G65" s="213"/>
      <c r="H65" s="213"/>
      <c r="I65" s="213"/>
      <c r="J65" s="213"/>
      <c r="K65" s="213"/>
    </row>
    <row r="66" spans="1:11" ht="42.75" customHeight="1">
      <c r="F66" s="214" t="s">
        <v>9</v>
      </c>
      <c r="G66" s="214" t="s">
        <v>37</v>
      </c>
      <c r="H66" s="214" t="s">
        <v>29</v>
      </c>
      <c r="I66" s="214" t="s">
        <v>30</v>
      </c>
      <c r="J66" s="214" t="s">
        <v>33</v>
      </c>
      <c r="K66" s="214" t="s">
        <v>34</v>
      </c>
    </row>
    <row r="67" spans="1:11" ht="18" customHeight="1">
      <c r="A67" s="185" t="s">
        <v>102</v>
      </c>
      <c r="B67" s="181" t="s">
        <v>12</v>
      </c>
      <c r="F67" s="215"/>
      <c r="G67" s="215"/>
      <c r="H67" s="215"/>
      <c r="I67" s="216"/>
      <c r="J67" s="215"/>
      <c r="K67" s="217"/>
    </row>
    <row r="68" spans="1:11" ht="18" customHeight="1">
      <c r="A68" s="182" t="s">
        <v>103</v>
      </c>
      <c r="B68" s="178" t="s">
        <v>52</v>
      </c>
      <c r="F68" s="187">
        <v>0</v>
      </c>
      <c r="G68" s="187">
        <v>0</v>
      </c>
      <c r="H68" s="188">
        <v>0</v>
      </c>
      <c r="I68" s="188">
        <v>0</v>
      </c>
      <c r="J68" s="188">
        <v>0</v>
      </c>
      <c r="K68" s="190">
        <v>0</v>
      </c>
    </row>
    <row r="69" spans="1:11" ht="18" customHeight="1">
      <c r="A69" s="182" t="s">
        <v>104</v>
      </c>
      <c r="B69" s="186" t="s">
        <v>53</v>
      </c>
      <c r="F69" s="187">
        <v>24</v>
      </c>
      <c r="G69" s="187">
        <v>5</v>
      </c>
      <c r="H69" s="188">
        <v>76768.800000000003</v>
      </c>
      <c r="I69" s="188">
        <v>0</v>
      </c>
      <c r="J69" s="188">
        <v>0</v>
      </c>
      <c r="K69" s="190">
        <v>76768.800000000003</v>
      </c>
    </row>
    <row r="70" spans="1:11" ht="18" customHeight="1">
      <c r="A70" s="182" t="s">
        <v>178</v>
      </c>
      <c r="B70" s="329" t="s">
        <v>581</v>
      </c>
      <c r="C70" s="330"/>
      <c r="D70" s="331"/>
      <c r="E70" s="181"/>
      <c r="F70" s="187">
        <v>21745</v>
      </c>
      <c r="G70" s="187">
        <v>0</v>
      </c>
      <c r="H70" s="188">
        <v>907309.2</v>
      </c>
      <c r="I70" s="188">
        <v>0</v>
      </c>
      <c r="J70" s="188">
        <v>0</v>
      </c>
      <c r="K70" s="190">
        <v>907309.2</v>
      </c>
    </row>
    <row r="71" spans="1:11" ht="18" customHeight="1">
      <c r="A71" s="182" t="s">
        <v>179</v>
      </c>
      <c r="B71" s="329"/>
      <c r="C71" s="330"/>
      <c r="D71" s="331"/>
      <c r="E71" s="181"/>
      <c r="F71" s="187">
        <v>0</v>
      </c>
      <c r="G71" s="187">
        <v>0</v>
      </c>
      <c r="H71" s="188">
        <v>0</v>
      </c>
      <c r="I71" s="188">
        <v>0</v>
      </c>
      <c r="J71" s="188">
        <v>0</v>
      </c>
      <c r="K71" s="190">
        <v>0</v>
      </c>
    </row>
    <row r="72" spans="1:11" ht="18" customHeight="1">
      <c r="A72" s="182" t="s">
        <v>180</v>
      </c>
      <c r="B72" s="334"/>
      <c r="C72" s="333"/>
      <c r="D72" s="224"/>
      <c r="E72" s="181"/>
      <c r="F72" s="187">
        <v>0</v>
      </c>
      <c r="G72" s="187">
        <v>0</v>
      </c>
      <c r="H72" s="188">
        <v>0</v>
      </c>
      <c r="I72" s="188">
        <v>0</v>
      </c>
      <c r="J72" s="188">
        <v>0</v>
      </c>
      <c r="K72" s="190">
        <v>0</v>
      </c>
    </row>
    <row r="73" spans="1:11" ht="18" customHeight="1">
      <c r="A73" s="182"/>
      <c r="B73" s="186"/>
      <c r="E73" s="181"/>
      <c r="F73" s="225"/>
      <c r="G73" s="225"/>
      <c r="H73" s="226"/>
      <c r="I73" s="216"/>
      <c r="J73" s="226"/>
      <c r="K73" s="217"/>
    </row>
    <row r="74" spans="1:11" ht="18" customHeight="1">
      <c r="A74" s="185" t="s">
        <v>146</v>
      </c>
      <c r="B74" s="181" t="s">
        <v>147</v>
      </c>
      <c r="E74" s="181" t="s">
        <v>7</v>
      </c>
      <c r="F74" s="227">
        <v>21769</v>
      </c>
      <c r="G74" s="227">
        <v>5</v>
      </c>
      <c r="H74" s="229">
        <v>984078</v>
      </c>
      <c r="I74" s="228">
        <v>0</v>
      </c>
      <c r="J74" s="227">
        <v>0</v>
      </c>
      <c r="K74" s="229">
        <v>984078</v>
      </c>
    </row>
    <row r="75" spans="1:11" ht="42.75" customHeight="1">
      <c r="F75" s="184" t="s">
        <v>9</v>
      </c>
      <c r="G75" s="184" t="s">
        <v>37</v>
      </c>
      <c r="H75" s="184" t="s">
        <v>29</v>
      </c>
      <c r="I75" s="184" t="s">
        <v>30</v>
      </c>
      <c r="J75" s="184" t="s">
        <v>33</v>
      </c>
      <c r="K75" s="184" t="s">
        <v>34</v>
      </c>
    </row>
    <row r="76" spans="1:11" ht="18" customHeight="1">
      <c r="A76" s="185" t="s">
        <v>105</v>
      </c>
      <c r="B76" s="181" t="s">
        <v>106</v>
      </c>
    </row>
    <row r="77" spans="1:11" ht="18" customHeight="1">
      <c r="A77" s="182" t="s">
        <v>107</v>
      </c>
      <c r="B77" s="186" t="s">
        <v>54</v>
      </c>
      <c r="F77" s="187">
        <v>282</v>
      </c>
      <c r="G77" s="187">
        <v>7351</v>
      </c>
      <c r="H77" s="188">
        <v>2731576.2099999995</v>
      </c>
      <c r="I77" s="188">
        <v>0</v>
      </c>
      <c r="J77" s="188">
        <v>5571</v>
      </c>
      <c r="K77" s="190">
        <v>2726005.2099999995</v>
      </c>
    </row>
    <row r="78" spans="1:11" ht="18" customHeight="1">
      <c r="A78" s="182" t="s">
        <v>108</v>
      </c>
      <c r="B78" s="186" t="s">
        <v>55</v>
      </c>
      <c r="F78" s="187">
        <v>0</v>
      </c>
      <c r="G78" s="187">
        <v>0</v>
      </c>
      <c r="H78" s="188">
        <v>0</v>
      </c>
      <c r="I78" s="188">
        <v>0</v>
      </c>
      <c r="J78" s="188">
        <v>0</v>
      </c>
      <c r="K78" s="190">
        <v>0</v>
      </c>
    </row>
    <row r="79" spans="1:11" ht="18" customHeight="1">
      <c r="A79" s="182" t="s">
        <v>109</v>
      </c>
      <c r="B79" s="186" t="s">
        <v>13</v>
      </c>
      <c r="F79" s="187">
        <v>7209</v>
      </c>
      <c r="G79" s="187">
        <v>2896</v>
      </c>
      <c r="H79" s="188">
        <v>460722.52</v>
      </c>
      <c r="I79" s="188">
        <v>351.04499999999996</v>
      </c>
      <c r="J79" s="188">
        <v>41675</v>
      </c>
      <c r="K79" s="190">
        <v>419398.565</v>
      </c>
    </row>
    <row r="80" spans="1:11" ht="18" customHeight="1">
      <c r="A80" s="182" t="s">
        <v>110</v>
      </c>
      <c r="B80" s="186" t="s">
        <v>56</v>
      </c>
      <c r="F80" s="187">
        <v>7</v>
      </c>
      <c r="G80" s="187">
        <v>2</v>
      </c>
      <c r="H80" s="188">
        <v>316.24</v>
      </c>
      <c r="I80" s="188">
        <v>0</v>
      </c>
      <c r="J80" s="188">
        <v>0</v>
      </c>
      <c r="K80" s="190">
        <v>316.24</v>
      </c>
    </row>
    <row r="81" spans="1:11" ht="18" customHeight="1">
      <c r="A81" s="182"/>
      <c r="K81" s="230"/>
    </row>
    <row r="82" spans="1:11" ht="18" customHeight="1">
      <c r="A82" s="182" t="s">
        <v>148</v>
      </c>
      <c r="B82" s="181" t="s">
        <v>149</v>
      </c>
      <c r="E82" s="181" t="s">
        <v>7</v>
      </c>
      <c r="F82" s="390">
        <v>7498</v>
      </c>
      <c r="G82" s="390">
        <v>10249</v>
      </c>
      <c r="H82" s="229">
        <v>3192614.9699999997</v>
      </c>
      <c r="I82" s="229">
        <v>351.04499999999996</v>
      </c>
      <c r="J82" s="229">
        <v>47246</v>
      </c>
      <c r="K82" s="229">
        <v>3145720.0149999997</v>
      </c>
    </row>
    <row r="83" spans="1:11" ht="18" customHeight="1" thickBot="1">
      <c r="A83" s="182"/>
      <c r="F83" s="206"/>
      <c r="G83" s="206"/>
      <c r="H83" s="206"/>
      <c r="I83" s="206"/>
      <c r="J83" s="206"/>
      <c r="K83" s="206"/>
    </row>
    <row r="84" spans="1:11" ht="42.75" customHeight="1">
      <c r="F84" s="184" t="s">
        <v>9</v>
      </c>
      <c r="G84" s="184" t="s">
        <v>37</v>
      </c>
      <c r="H84" s="184" t="s">
        <v>29</v>
      </c>
      <c r="I84" s="184" t="s">
        <v>30</v>
      </c>
      <c r="J84" s="184" t="s">
        <v>33</v>
      </c>
      <c r="K84" s="184" t="s">
        <v>34</v>
      </c>
    </row>
    <row r="85" spans="1:11" ht="18" customHeight="1">
      <c r="A85" s="185" t="s">
        <v>111</v>
      </c>
      <c r="B85" s="181" t="s">
        <v>57</v>
      </c>
    </row>
    <row r="86" spans="1:11" ht="18" customHeight="1">
      <c r="A86" s="182" t="s">
        <v>112</v>
      </c>
      <c r="B86" s="186" t="s">
        <v>113</v>
      </c>
      <c r="F86" s="187">
        <v>144</v>
      </c>
      <c r="G86" s="187">
        <v>0</v>
      </c>
      <c r="H86" s="188">
        <v>14064.5</v>
      </c>
      <c r="I86" s="188">
        <v>6351.5281999999997</v>
      </c>
      <c r="J86" s="188">
        <v>0</v>
      </c>
      <c r="K86" s="190">
        <v>20416.028200000001</v>
      </c>
    </row>
    <row r="87" spans="1:11" ht="18" customHeight="1">
      <c r="A87" s="182" t="s">
        <v>114</v>
      </c>
      <c r="B87" s="186" t="s">
        <v>14</v>
      </c>
      <c r="F87" s="187">
        <v>747</v>
      </c>
      <c r="G87" s="187">
        <v>1</v>
      </c>
      <c r="H87" s="188">
        <v>78093.16</v>
      </c>
      <c r="I87" s="188">
        <v>35266.871056000004</v>
      </c>
      <c r="J87" s="188">
        <v>0</v>
      </c>
      <c r="K87" s="190">
        <v>113360.03105600001</v>
      </c>
    </row>
    <row r="88" spans="1:11" ht="18" customHeight="1">
      <c r="A88" s="182" t="s">
        <v>115</v>
      </c>
      <c r="B88" s="186" t="s">
        <v>116</v>
      </c>
      <c r="F88" s="187">
        <v>11973</v>
      </c>
      <c r="G88" s="187">
        <v>866</v>
      </c>
      <c r="H88" s="188">
        <v>435492.08</v>
      </c>
      <c r="I88" s="188">
        <v>196668.22332799999</v>
      </c>
      <c r="J88" s="188">
        <v>0</v>
      </c>
      <c r="K88" s="190">
        <v>632160.30332800001</v>
      </c>
    </row>
    <row r="89" spans="1:11" ht="18" customHeight="1">
      <c r="A89" s="182" t="s">
        <v>117</v>
      </c>
      <c r="B89" s="186" t="s">
        <v>58</v>
      </c>
      <c r="F89" s="187">
        <v>3800</v>
      </c>
      <c r="G89" s="187">
        <v>31</v>
      </c>
      <c r="H89" s="188">
        <v>149606.82</v>
      </c>
      <c r="I89" s="188">
        <v>67562.439912000002</v>
      </c>
      <c r="J89" s="188">
        <v>1500</v>
      </c>
      <c r="K89" s="190">
        <v>215669.25991200001</v>
      </c>
    </row>
    <row r="90" spans="1:11" ht="18" customHeight="1">
      <c r="A90" s="182" t="s">
        <v>118</v>
      </c>
      <c r="B90" s="702" t="s">
        <v>59</v>
      </c>
      <c r="C90" s="703"/>
      <c r="F90" s="187">
        <v>24</v>
      </c>
      <c r="G90" s="187">
        <v>740</v>
      </c>
      <c r="H90" s="188">
        <v>3017.6800000000003</v>
      </c>
      <c r="I90" s="188">
        <v>1362.7842880000001</v>
      </c>
      <c r="J90" s="188">
        <v>0</v>
      </c>
      <c r="K90" s="190">
        <v>4380.4642880000001</v>
      </c>
    </row>
    <row r="91" spans="1:11" ht="18" customHeight="1">
      <c r="A91" s="182" t="s">
        <v>119</v>
      </c>
      <c r="B91" s="186" t="s">
        <v>60</v>
      </c>
      <c r="F91" s="187">
        <v>1605</v>
      </c>
      <c r="G91" s="187">
        <v>0</v>
      </c>
      <c r="H91" s="188">
        <v>139431.6</v>
      </c>
      <c r="I91" s="188">
        <v>62967.310560000005</v>
      </c>
      <c r="J91" s="188">
        <v>0</v>
      </c>
      <c r="K91" s="190">
        <v>202398.91056000002</v>
      </c>
    </row>
    <row r="92" spans="1:11" ht="18" customHeight="1">
      <c r="A92" s="182" t="s">
        <v>120</v>
      </c>
      <c r="B92" s="186" t="s">
        <v>121</v>
      </c>
      <c r="F92" s="187">
        <v>4786</v>
      </c>
      <c r="G92" s="187">
        <v>12</v>
      </c>
      <c r="H92" s="188">
        <v>403840.71</v>
      </c>
      <c r="I92" s="188">
        <v>182374.46463599996</v>
      </c>
      <c r="J92" s="188">
        <v>0</v>
      </c>
      <c r="K92" s="190">
        <v>586215.17463599995</v>
      </c>
    </row>
    <row r="93" spans="1:11" ht="18" customHeight="1">
      <c r="A93" s="182" t="s">
        <v>122</v>
      </c>
      <c r="B93" s="186" t="s">
        <v>123</v>
      </c>
      <c r="F93" s="187">
        <v>3222</v>
      </c>
      <c r="G93" s="187">
        <v>7600</v>
      </c>
      <c r="H93" s="188">
        <v>86284.4</v>
      </c>
      <c r="I93" s="188">
        <v>38966.035040000002</v>
      </c>
      <c r="J93" s="188">
        <v>15000</v>
      </c>
      <c r="K93" s="190">
        <v>110250.43504</v>
      </c>
    </row>
    <row r="94" spans="1:11" ht="18" customHeight="1">
      <c r="A94" s="182" t="s">
        <v>124</v>
      </c>
      <c r="B94" s="706" t="s">
        <v>599</v>
      </c>
      <c r="C94" s="707"/>
      <c r="D94" s="693"/>
      <c r="F94" s="187">
        <v>10643</v>
      </c>
      <c r="G94" s="187">
        <v>34378</v>
      </c>
      <c r="H94" s="188">
        <v>727241.14800000004</v>
      </c>
      <c r="I94" s="188">
        <v>328422.10243680008</v>
      </c>
      <c r="J94" s="188">
        <v>4352</v>
      </c>
      <c r="K94" s="190">
        <v>1051311.2504368001</v>
      </c>
    </row>
    <row r="95" spans="1:11" ht="18" customHeight="1">
      <c r="A95" s="182" t="s">
        <v>125</v>
      </c>
      <c r="B95" s="706"/>
      <c r="C95" s="707"/>
      <c r="D95" s="693"/>
      <c r="F95" s="187">
        <v>0</v>
      </c>
      <c r="G95" s="187">
        <v>0</v>
      </c>
      <c r="H95" s="188">
        <v>0</v>
      </c>
      <c r="I95" s="188">
        <v>0</v>
      </c>
      <c r="J95" s="188">
        <v>0</v>
      </c>
      <c r="K95" s="190">
        <v>0</v>
      </c>
    </row>
    <row r="96" spans="1:11" ht="18" customHeight="1">
      <c r="A96" s="182" t="s">
        <v>126</v>
      </c>
      <c r="B96" s="706"/>
      <c r="C96" s="707"/>
      <c r="D96" s="693"/>
      <c r="F96" s="187">
        <v>0</v>
      </c>
      <c r="G96" s="187">
        <v>0</v>
      </c>
      <c r="H96" s="188">
        <v>0</v>
      </c>
      <c r="I96" s="188">
        <v>0</v>
      </c>
      <c r="J96" s="188">
        <v>0</v>
      </c>
      <c r="K96" s="190">
        <v>0</v>
      </c>
    </row>
    <row r="97" spans="1:11" ht="18" customHeight="1">
      <c r="A97" s="182"/>
      <c r="B97" s="186"/>
    </row>
    <row r="98" spans="1:11" ht="18" customHeight="1">
      <c r="A98" s="185" t="s">
        <v>150</v>
      </c>
      <c r="B98" s="181" t="s">
        <v>151</v>
      </c>
      <c r="E98" s="181" t="s">
        <v>7</v>
      </c>
      <c r="F98" s="196">
        <v>36944</v>
      </c>
      <c r="G98" s="196">
        <v>43628</v>
      </c>
      <c r="H98" s="190">
        <v>2037072.098</v>
      </c>
      <c r="I98" s="190">
        <v>919941.75945680006</v>
      </c>
      <c r="J98" s="190">
        <v>20852</v>
      </c>
      <c r="K98" s="190">
        <v>2936161.8574568001</v>
      </c>
    </row>
    <row r="99" spans="1:11" ht="18" customHeight="1" thickBot="1">
      <c r="B99" s="181"/>
      <c r="F99" s="206"/>
      <c r="G99" s="206"/>
      <c r="H99" s="206"/>
      <c r="I99" s="206"/>
      <c r="J99" s="206"/>
      <c r="K99" s="206"/>
    </row>
    <row r="100" spans="1:11" ht="42.75" customHeight="1">
      <c r="F100" s="184" t="s">
        <v>9</v>
      </c>
      <c r="G100" s="184" t="s">
        <v>37</v>
      </c>
      <c r="H100" s="184" t="s">
        <v>29</v>
      </c>
      <c r="I100" s="184" t="s">
        <v>30</v>
      </c>
      <c r="J100" s="184" t="s">
        <v>33</v>
      </c>
      <c r="K100" s="184" t="s">
        <v>34</v>
      </c>
    </row>
    <row r="101" spans="1:11" ht="18" customHeight="1">
      <c r="A101" s="185" t="s">
        <v>130</v>
      </c>
      <c r="B101" s="181" t="s">
        <v>63</v>
      </c>
    </row>
    <row r="102" spans="1:11" ht="18" customHeight="1">
      <c r="A102" s="182" t="s">
        <v>131</v>
      </c>
      <c r="B102" s="186" t="s">
        <v>152</v>
      </c>
      <c r="F102" s="187">
        <v>6907</v>
      </c>
      <c r="G102" s="187">
        <v>0</v>
      </c>
      <c r="H102" s="188">
        <v>322222.2464</v>
      </c>
      <c r="I102" s="188">
        <v>145515.56647424001</v>
      </c>
      <c r="J102" s="188">
        <v>0</v>
      </c>
      <c r="K102" s="190">
        <v>467737.81287423999</v>
      </c>
    </row>
    <row r="103" spans="1:11" ht="18" customHeight="1">
      <c r="A103" s="182" t="s">
        <v>132</v>
      </c>
      <c r="B103" s="702" t="s">
        <v>62</v>
      </c>
      <c r="C103" s="702"/>
      <c r="F103" s="187">
        <v>0</v>
      </c>
      <c r="G103" s="187">
        <v>0</v>
      </c>
      <c r="H103" s="188">
        <v>0</v>
      </c>
      <c r="I103" s="188">
        <v>0</v>
      </c>
      <c r="J103" s="188">
        <v>0</v>
      </c>
      <c r="K103" s="190">
        <v>0</v>
      </c>
    </row>
    <row r="104" spans="1:11" ht="18" customHeight="1">
      <c r="A104" s="182" t="s">
        <v>128</v>
      </c>
      <c r="B104" s="706" t="s">
        <v>600</v>
      </c>
      <c r="C104" s="707"/>
      <c r="D104" s="693"/>
      <c r="F104" s="187">
        <v>156</v>
      </c>
      <c r="G104" s="187">
        <v>0</v>
      </c>
      <c r="H104" s="188">
        <v>94925.884000000049</v>
      </c>
      <c r="I104" s="188">
        <v>42868.52921440002</v>
      </c>
      <c r="J104" s="188">
        <v>0</v>
      </c>
      <c r="K104" s="190">
        <v>137794.41321440006</v>
      </c>
    </row>
    <row r="105" spans="1:11" ht="18" customHeight="1">
      <c r="A105" s="182" t="s">
        <v>127</v>
      </c>
      <c r="B105" s="706"/>
      <c r="C105" s="707"/>
      <c r="D105" s="693"/>
      <c r="F105" s="187">
        <v>0</v>
      </c>
      <c r="G105" s="187">
        <v>0</v>
      </c>
      <c r="H105" s="188">
        <v>0</v>
      </c>
      <c r="I105" s="188">
        <v>0</v>
      </c>
      <c r="J105" s="188">
        <v>0</v>
      </c>
      <c r="K105" s="190">
        <v>0</v>
      </c>
    </row>
    <row r="106" spans="1:11" ht="18" customHeight="1">
      <c r="A106" s="182" t="s">
        <v>129</v>
      </c>
      <c r="B106" s="706"/>
      <c r="C106" s="707"/>
      <c r="D106" s="693"/>
      <c r="F106" s="187">
        <v>0</v>
      </c>
      <c r="G106" s="187">
        <v>0</v>
      </c>
      <c r="H106" s="188">
        <v>0</v>
      </c>
      <c r="I106" s="188">
        <v>0</v>
      </c>
      <c r="J106" s="188">
        <v>0</v>
      </c>
      <c r="K106" s="190">
        <v>0</v>
      </c>
    </row>
    <row r="107" spans="1:11" ht="18" customHeight="1">
      <c r="B107" s="181"/>
    </row>
    <row r="108" spans="1:11" s="201" customFormat="1" ht="18" customHeight="1">
      <c r="A108" s="185" t="s">
        <v>153</v>
      </c>
      <c r="B108" s="233" t="s">
        <v>154</v>
      </c>
      <c r="C108" s="178"/>
      <c r="D108" s="178"/>
      <c r="E108" s="181" t="s">
        <v>7</v>
      </c>
      <c r="F108" s="196">
        <v>7063</v>
      </c>
      <c r="G108" s="196">
        <v>0</v>
      </c>
      <c r="H108" s="190">
        <v>417148.13040000002</v>
      </c>
      <c r="I108" s="190">
        <v>188384.09568864002</v>
      </c>
      <c r="J108" s="190">
        <v>0</v>
      </c>
      <c r="K108" s="190">
        <v>605532.22608864005</v>
      </c>
    </row>
    <row r="109" spans="1:11" s="201" customFormat="1" ht="18" customHeight="1" thickBot="1">
      <c r="A109" s="234"/>
      <c r="B109" s="235"/>
      <c r="C109" s="236"/>
      <c r="D109" s="236"/>
      <c r="E109" s="236"/>
      <c r="F109" s="206"/>
      <c r="G109" s="206"/>
      <c r="H109" s="206"/>
      <c r="I109" s="206"/>
      <c r="J109" s="206"/>
      <c r="K109" s="206"/>
    </row>
    <row r="110" spans="1:11" s="201" customFormat="1" ht="18" customHeight="1">
      <c r="A110" s="185" t="s">
        <v>156</v>
      </c>
      <c r="B110" s="181" t="s">
        <v>39</v>
      </c>
      <c r="C110" s="178"/>
      <c r="D110" s="178"/>
      <c r="E110" s="178"/>
      <c r="F110" s="178"/>
      <c r="G110" s="178"/>
      <c r="H110" s="178"/>
      <c r="I110" s="178"/>
      <c r="J110" s="178"/>
      <c r="K110" s="178"/>
    </row>
    <row r="111" spans="1:11" ht="18" customHeight="1">
      <c r="A111" s="185" t="s">
        <v>155</v>
      </c>
      <c r="B111" s="181" t="s">
        <v>164</v>
      </c>
      <c r="E111" s="181" t="s">
        <v>7</v>
      </c>
      <c r="F111" s="188">
        <v>32721000</v>
      </c>
    </row>
    <row r="112" spans="1:11" ht="18" customHeight="1">
      <c r="B112" s="181"/>
      <c r="E112" s="181"/>
      <c r="F112" s="237"/>
    </row>
    <row r="113" spans="1:6">
      <c r="A113" s="185"/>
      <c r="B113" s="181" t="s">
        <v>15</v>
      </c>
    </row>
    <row r="114" spans="1:6">
      <c r="A114" s="182" t="s">
        <v>171</v>
      </c>
      <c r="B114" s="186" t="s">
        <v>35</v>
      </c>
      <c r="F114" s="238">
        <v>0.4515673475787908</v>
      </c>
    </row>
    <row r="115" spans="1:6">
      <c r="A115" s="182"/>
      <c r="B115" s="181"/>
    </row>
    <row r="116" spans="1:6">
      <c r="A116" s="182" t="s">
        <v>170</v>
      </c>
      <c r="B116" s="181" t="s">
        <v>16</v>
      </c>
    </row>
    <row r="117" spans="1:6">
      <c r="A117" s="182" t="s">
        <v>172</v>
      </c>
      <c r="B117" s="186" t="s">
        <v>17</v>
      </c>
      <c r="F117" s="188">
        <v>1803963000</v>
      </c>
    </row>
    <row r="118" spans="1:6">
      <c r="A118" s="182" t="s">
        <v>173</v>
      </c>
      <c r="B118" s="178" t="s">
        <v>18</v>
      </c>
      <c r="F118" s="188">
        <v>191164000</v>
      </c>
    </row>
    <row r="119" spans="1:6">
      <c r="A119" s="182" t="s">
        <v>174</v>
      </c>
      <c r="B119" s="181" t="s">
        <v>19</v>
      </c>
      <c r="F119" s="229">
        <v>1995127000</v>
      </c>
    </row>
    <row r="120" spans="1:6">
      <c r="A120" s="182"/>
      <c r="B120" s="181"/>
    </row>
    <row r="121" spans="1:6">
      <c r="A121" s="182" t="s">
        <v>167</v>
      </c>
      <c r="B121" s="181" t="s">
        <v>36</v>
      </c>
      <c r="F121" s="188">
        <v>1928280000</v>
      </c>
    </row>
    <row r="122" spans="1:6">
      <c r="A122" s="182"/>
    </row>
    <row r="123" spans="1:6">
      <c r="A123" s="182" t="s">
        <v>175</v>
      </c>
      <c r="B123" s="181" t="s">
        <v>20</v>
      </c>
      <c r="F123" s="188">
        <v>66847000</v>
      </c>
    </row>
    <row r="124" spans="1:6">
      <c r="A124" s="182"/>
    </row>
    <row r="125" spans="1:6">
      <c r="A125" s="182" t="s">
        <v>176</v>
      </c>
      <c r="B125" s="181" t="s">
        <v>21</v>
      </c>
      <c r="F125" s="188">
        <v>41505000</v>
      </c>
    </row>
    <row r="126" spans="1:6">
      <c r="A126" s="182"/>
    </row>
    <row r="127" spans="1:6">
      <c r="A127" s="182" t="s">
        <v>177</v>
      </c>
      <c r="B127" s="181" t="s">
        <v>22</v>
      </c>
      <c r="F127" s="188">
        <v>108352000</v>
      </c>
    </row>
    <row r="128" spans="1:6">
      <c r="A128" s="182"/>
    </row>
    <row r="129" spans="1:11" ht="42.75" customHeight="1">
      <c r="F129" s="184" t="s">
        <v>9</v>
      </c>
      <c r="G129" s="184" t="s">
        <v>37</v>
      </c>
      <c r="H129" s="184" t="s">
        <v>29</v>
      </c>
      <c r="I129" s="184" t="s">
        <v>30</v>
      </c>
      <c r="J129" s="184" t="s">
        <v>33</v>
      </c>
      <c r="K129" s="184" t="s">
        <v>34</v>
      </c>
    </row>
    <row r="130" spans="1:11" ht="18" customHeight="1">
      <c r="A130" s="185" t="s">
        <v>157</v>
      </c>
      <c r="B130" s="181" t="s">
        <v>23</v>
      </c>
    </row>
    <row r="131" spans="1:11" ht="18" customHeight="1">
      <c r="A131" s="182" t="s">
        <v>158</v>
      </c>
      <c r="B131" s="178" t="s">
        <v>24</v>
      </c>
      <c r="F131" s="187">
        <v>0</v>
      </c>
      <c r="G131" s="187">
        <v>0</v>
      </c>
      <c r="H131" s="188">
        <v>0</v>
      </c>
      <c r="I131" s="189">
        <v>0</v>
      </c>
      <c r="J131" s="188">
        <v>0</v>
      </c>
      <c r="K131" s="190">
        <v>0</v>
      </c>
    </row>
    <row r="132" spans="1:11" ht="18" customHeight="1">
      <c r="A132" s="182" t="s">
        <v>159</v>
      </c>
      <c r="B132" s="178" t="s">
        <v>25</v>
      </c>
      <c r="F132" s="187">
        <v>0</v>
      </c>
      <c r="G132" s="187">
        <v>0</v>
      </c>
      <c r="H132" s="188">
        <v>0</v>
      </c>
      <c r="I132" s="189">
        <v>0</v>
      </c>
      <c r="J132" s="188">
        <v>0</v>
      </c>
      <c r="K132" s="190">
        <v>0</v>
      </c>
    </row>
    <row r="133" spans="1:11" ht="18" customHeight="1">
      <c r="A133" s="182" t="s">
        <v>160</v>
      </c>
      <c r="B133" s="699"/>
      <c r="C133" s="700"/>
      <c r="D133" s="701"/>
      <c r="F133" s="187">
        <v>0</v>
      </c>
      <c r="G133" s="187">
        <v>0</v>
      </c>
      <c r="H133" s="188">
        <v>0</v>
      </c>
      <c r="I133" s="189">
        <v>0</v>
      </c>
      <c r="J133" s="188">
        <v>0</v>
      </c>
      <c r="K133" s="190">
        <v>0</v>
      </c>
    </row>
    <row r="134" spans="1:11" ht="18" customHeight="1">
      <c r="A134" s="182" t="s">
        <v>161</v>
      </c>
      <c r="B134" s="699"/>
      <c r="C134" s="700"/>
      <c r="D134" s="701"/>
      <c r="F134" s="187">
        <v>0</v>
      </c>
      <c r="G134" s="187">
        <v>0</v>
      </c>
      <c r="H134" s="188">
        <v>0</v>
      </c>
      <c r="I134" s="189">
        <v>0</v>
      </c>
      <c r="J134" s="188">
        <v>0</v>
      </c>
      <c r="K134" s="190">
        <v>0</v>
      </c>
    </row>
    <row r="135" spans="1:11" ht="18" customHeight="1">
      <c r="A135" s="182" t="s">
        <v>162</v>
      </c>
      <c r="B135" s="699"/>
      <c r="C135" s="700"/>
      <c r="D135" s="701"/>
      <c r="F135" s="187">
        <v>0</v>
      </c>
      <c r="G135" s="187">
        <v>0</v>
      </c>
      <c r="H135" s="188">
        <v>0</v>
      </c>
      <c r="I135" s="189">
        <v>0</v>
      </c>
      <c r="J135" s="188">
        <v>0</v>
      </c>
      <c r="K135" s="190">
        <v>0</v>
      </c>
    </row>
    <row r="136" spans="1:11" ht="18" customHeight="1">
      <c r="A136" s="185"/>
    </row>
    <row r="137" spans="1:11" ht="18" customHeight="1">
      <c r="A137" s="185" t="s">
        <v>163</v>
      </c>
      <c r="B137" s="181" t="s">
        <v>27</v>
      </c>
      <c r="F137" s="196">
        <v>0</v>
      </c>
      <c r="G137" s="196">
        <v>0</v>
      </c>
      <c r="H137" s="190">
        <v>0</v>
      </c>
      <c r="I137" s="190">
        <v>0</v>
      </c>
      <c r="J137" s="190">
        <v>0</v>
      </c>
      <c r="K137" s="190">
        <v>0</v>
      </c>
    </row>
    <row r="138" spans="1:11" ht="18" customHeight="1">
      <c r="A138" s="178"/>
    </row>
    <row r="139" spans="1:11" ht="42.75" customHeight="1">
      <c r="F139" s="184" t="s">
        <v>9</v>
      </c>
      <c r="G139" s="184" t="s">
        <v>37</v>
      </c>
      <c r="H139" s="184" t="s">
        <v>29</v>
      </c>
      <c r="I139" s="184" t="s">
        <v>30</v>
      </c>
      <c r="J139" s="184" t="s">
        <v>33</v>
      </c>
      <c r="K139" s="184" t="s">
        <v>34</v>
      </c>
    </row>
    <row r="140" spans="1:11" ht="18" customHeight="1">
      <c r="A140" s="185" t="s">
        <v>166</v>
      </c>
      <c r="B140" s="181" t="s">
        <v>26</v>
      </c>
    </row>
    <row r="141" spans="1:11" ht="18" customHeight="1">
      <c r="A141" s="182" t="s">
        <v>137</v>
      </c>
      <c r="B141" s="181" t="s">
        <v>64</v>
      </c>
      <c r="F141" s="239">
        <v>72867</v>
      </c>
      <c r="G141" s="239">
        <v>10342169</v>
      </c>
      <c r="H141" s="239">
        <v>7816195.4800000004</v>
      </c>
      <c r="I141" s="239">
        <v>2899778.0087680006</v>
      </c>
      <c r="J141" s="239">
        <v>874786</v>
      </c>
      <c r="K141" s="239">
        <v>9841187.4887680002</v>
      </c>
    </row>
    <row r="142" spans="1:11" ht="18" customHeight="1">
      <c r="A142" s="182" t="s">
        <v>142</v>
      </c>
      <c r="B142" s="181" t="s">
        <v>65</v>
      </c>
      <c r="F142" s="239">
        <v>2038898.2</v>
      </c>
      <c r="G142" s="239">
        <v>2083.1</v>
      </c>
      <c r="H142" s="239">
        <v>112594823.72000001</v>
      </c>
      <c r="I142" s="239">
        <v>0</v>
      </c>
      <c r="J142" s="239">
        <v>5213</v>
      </c>
      <c r="K142" s="239">
        <v>112589610.72000001</v>
      </c>
    </row>
    <row r="143" spans="1:11" ht="18" customHeight="1">
      <c r="A143" s="182" t="s">
        <v>144</v>
      </c>
      <c r="B143" s="181" t="s">
        <v>66</v>
      </c>
      <c r="F143" s="239">
        <v>132148</v>
      </c>
      <c r="G143" s="239">
        <v>117549</v>
      </c>
      <c r="H143" s="239">
        <v>21371759.708833713</v>
      </c>
      <c r="I143" s="239">
        <v>0</v>
      </c>
      <c r="J143" s="239">
        <v>3778674.85</v>
      </c>
      <c r="K143" s="239">
        <v>17593084.858833715</v>
      </c>
    </row>
    <row r="144" spans="1:11" ht="18" customHeight="1">
      <c r="A144" s="182" t="s">
        <v>146</v>
      </c>
      <c r="B144" s="181" t="s">
        <v>67</v>
      </c>
      <c r="F144" s="239">
        <v>21769</v>
      </c>
      <c r="G144" s="239">
        <v>5</v>
      </c>
      <c r="H144" s="239">
        <v>984078</v>
      </c>
      <c r="I144" s="239">
        <v>0</v>
      </c>
      <c r="J144" s="239">
        <v>0</v>
      </c>
      <c r="K144" s="239">
        <v>984078</v>
      </c>
    </row>
    <row r="145" spans="1:11" ht="18" customHeight="1">
      <c r="A145" s="182" t="s">
        <v>148</v>
      </c>
      <c r="B145" s="181" t="s">
        <v>68</v>
      </c>
      <c r="F145" s="239">
        <v>7498</v>
      </c>
      <c r="G145" s="239">
        <v>10249</v>
      </c>
      <c r="H145" s="239">
        <v>3192614.9699999997</v>
      </c>
      <c r="I145" s="239">
        <v>351.04499999999996</v>
      </c>
      <c r="J145" s="239">
        <v>47246</v>
      </c>
      <c r="K145" s="239">
        <v>3145720.0149999997</v>
      </c>
    </row>
    <row r="146" spans="1:11" ht="18" customHeight="1">
      <c r="A146" s="182" t="s">
        <v>150</v>
      </c>
      <c r="B146" s="181" t="s">
        <v>69</v>
      </c>
      <c r="F146" s="239">
        <v>36944</v>
      </c>
      <c r="G146" s="239">
        <v>43628</v>
      </c>
      <c r="H146" s="239">
        <v>2037072.098</v>
      </c>
      <c r="I146" s="239">
        <v>919941.75945680006</v>
      </c>
      <c r="J146" s="239">
        <v>20852</v>
      </c>
      <c r="K146" s="239">
        <v>2936161.8574568001</v>
      </c>
    </row>
    <row r="147" spans="1:11" ht="18" customHeight="1">
      <c r="A147" s="182" t="s">
        <v>153</v>
      </c>
      <c r="B147" s="181" t="s">
        <v>61</v>
      </c>
      <c r="F147" s="196">
        <v>7063</v>
      </c>
      <c r="G147" s="196">
        <v>0</v>
      </c>
      <c r="H147" s="196">
        <v>417148.13040000002</v>
      </c>
      <c r="I147" s="196">
        <v>188384.09568864002</v>
      </c>
      <c r="J147" s="196">
        <v>0</v>
      </c>
      <c r="K147" s="196">
        <v>605532.22608864005</v>
      </c>
    </row>
    <row r="148" spans="1:11" ht="18" customHeight="1">
      <c r="A148" s="182" t="s">
        <v>155</v>
      </c>
      <c r="B148" s="181" t="s">
        <v>70</v>
      </c>
      <c r="F148" s="240" t="s">
        <v>73</v>
      </c>
      <c r="G148" s="240" t="s">
        <v>73</v>
      </c>
      <c r="H148" s="241" t="s">
        <v>73</v>
      </c>
      <c r="I148" s="241" t="s">
        <v>73</v>
      </c>
      <c r="J148" s="241" t="s">
        <v>73</v>
      </c>
      <c r="K148" s="397">
        <v>32721000</v>
      </c>
    </row>
    <row r="149" spans="1:11" ht="18" customHeight="1">
      <c r="A149" s="182" t="s">
        <v>163</v>
      </c>
      <c r="B149" s="181" t="s">
        <v>71</v>
      </c>
      <c r="F149" s="196">
        <v>0</v>
      </c>
      <c r="G149" s="196">
        <v>0</v>
      </c>
      <c r="H149" s="196">
        <v>0</v>
      </c>
      <c r="I149" s="196">
        <v>0</v>
      </c>
      <c r="J149" s="196">
        <v>0</v>
      </c>
      <c r="K149" s="196">
        <v>0</v>
      </c>
    </row>
    <row r="150" spans="1:11" ht="18" customHeight="1">
      <c r="A150" s="182" t="s">
        <v>185</v>
      </c>
      <c r="B150" s="181" t="s">
        <v>186</v>
      </c>
      <c r="F150" s="240" t="s">
        <v>73</v>
      </c>
      <c r="G150" s="240" t="s">
        <v>73</v>
      </c>
      <c r="H150" s="196">
        <v>54213970.083440132</v>
      </c>
      <c r="I150" s="196">
        <v>0</v>
      </c>
      <c r="J150" s="196">
        <v>46359722.958161265</v>
      </c>
      <c r="K150" s="196">
        <v>7854247.1252788678</v>
      </c>
    </row>
    <row r="151" spans="1:11" ht="18" customHeight="1">
      <c r="B151" s="181"/>
      <c r="F151" s="213"/>
      <c r="G151" s="213"/>
      <c r="H151" s="213"/>
      <c r="I151" s="213"/>
      <c r="J151" s="213"/>
      <c r="K151" s="213"/>
    </row>
    <row r="152" spans="1:11" ht="18" customHeight="1">
      <c r="A152" s="185" t="s">
        <v>165</v>
      </c>
      <c r="B152" s="181" t="s">
        <v>26</v>
      </c>
      <c r="F152" s="243">
        <v>2317187.2000000002</v>
      </c>
      <c r="G152" s="243">
        <v>10515683.1</v>
      </c>
      <c r="H152" s="243">
        <v>202627662.19067386</v>
      </c>
      <c r="I152" s="243">
        <v>4008454.908913441</v>
      </c>
      <c r="J152" s="243">
        <v>51086494.808161266</v>
      </c>
      <c r="K152" s="243">
        <v>188270622.29142603</v>
      </c>
    </row>
    <row r="154" spans="1:11" ht="18" customHeight="1">
      <c r="A154" s="185" t="s">
        <v>168</v>
      </c>
      <c r="B154" s="181" t="s">
        <v>28</v>
      </c>
      <c r="F154" s="398">
        <v>9.7636558119892358E-2</v>
      </c>
    </row>
    <row r="155" spans="1:11" ht="18" customHeight="1">
      <c r="A155" s="185" t="s">
        <v>169</v>
      </c>
      <c r="B155" s="181" t="s">
        <v>72</v>
      </c>
      <c r="F155" s="398">
        <v>1.7375832683423105</v>
      </c>
      <c r="G155" s="181"/>
    </row>
    <row r="156" spans="1:11" ht="18" customHeight="1">
      <c r="G156" s="181"/>
    </row>
  </sheetData>
  <mergeCells count="38">
    <mergeCell ref="B134:D134"/>
    <mergeCell ref="B135:D135"/>
    <mergeCell ref="B96:D96"/>
    <mergeCell ref="B103:C103"/>
    <mergeCell ref="B104:D104"/>
    <mergeCell ref="B105:D105"/>
    <mergeCell ref="B106:D106"/>
    <mergeCell ref="B133:D133"/>
    <mergeCell ref="B95:D95"/>
    <mergeCell ref="B54:D54"/>
    <mergeCell ref="B55:D55"/>
    <mergeCell ref="B56:D56"/>
    <mergeCell ref="B57:D57"/>
    <mergeCell ref="B58:D58"/>
    <mergeCell ref="B59:D59"/>
    <mergeCell ref="B60:D60"/>
    <mergeCell ref="B61:D61"/>
    <mergeCell ref="B62:D62"/>
    <mergeCell ref="B90:C90"/>
    <mergeCell ref="B94:D94"/>
    <mergeCell ref="B53:D53"/>
    <mergeCell ref="C11:G11"/>
    <mergeCell ref="B13:H13"/>
    <mergeCell ref="B30:D30"/>
    <mergeCell ref="B31:D31"/>
    <mergeCell ref="B34:D34"/>
    <mergeCell ref="B41:C41"/>
    <mergeCell ref="B44:D44"/>
    <mergeCell ref="B45:D45"/>
    <mergeCell ref="B46:D46"/>
    <mergeCell ref="B47:D47"/>
    <mergeCell ref="B52:C52"/>
    <mergeCell ref="C10:G10"/>
    <mergeCell ref="D2:H2"/>
    <mergeCell ref="C5:G5"/>
    <mergeCell ref="C6:G6"/>
    <mergeCell ref="C7:G7"/>
    <mergeCell ref="C9:G9"/>
  </mergeCells>
  <printOptions gridLines="1"/>
  <pageMargins left="0.28000000000000003" right="0.2" top="0.27" bottom="0.17" header="0.22" footer="0.17"/>
  <pageSetup scale="63" fitToHeight="0" orientation="landscape" r:id="rId1"/>
  <headerFooter>
    <oddFooter>&amp;C&amp;Z&amp;F&amp;R&amp;D&amp;T</oddFooter>
  </headerFooter>
  <rowBreaks count="3" manualBreakCount="3">
    <brk id="37" max="16383" man="1"/>
    <brk id="74" max="16383" man="1"/>
    <brk id="10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1"/>
  <sheetViews>
    <sheetView zoomScaleNormal="100" workbookViewId="0">
      <selection activeCell="H1" sqref="H1:N13"/>
    </sheetView>
  </sheetViews>
  <sheetFormatPr defaultRowHeight="15"/>
  <cols>
    <col min="1" max="1" width="41.42578125" style="70" bestFit="1" customWidth="1"/>
    <col min="2" max="2" width="5" style="70" bestFit="1" customWidth="1"/>
    <col min="3" max="3" width="13.85546875" style="78" bestFit="1" customWidth="1"/>
    <col min="4" max="4" width="13.28515625" style="78" bestFit="1" customWidth="1"/>
    <col min="5" max="5" width="15.28515625" style="70" bestFit="1" customWidth="1"/>
    <col min="6" max="6" width="9.140625" style="70"/>
    <col min="7" max="7" width="41.42578125" style="70" bestFit="1" customWidth="1"/>
    <col min="8" max="8" width="10.5703125" style="70" bestFit="1" customWidth="1"/>
    <col min="9" max="9" width="10.5703125" style="78" bestFit="1" customWidth="1"/>
    <col min="10" max="10" width="11.5703125" style="70" bestFit="1" customWidth="1"/>
    <col min="11" max="11" width="9.140625" style="70"/>
    <col min="12" max="12" width="51.42578125" style="70" customWidth="1"/>
    <col min="13" max="13" width="7.7109375" style="70" bestFit="1" customWidth="1"/>
    <col min="14" max="14" width="20.140625" style="70" bestFit="1" customWidth="1"/>
    <col min="15" max="16" width="9.140625" style="70"/>
    <col min="17" max="17" width="32.42578125" style="70" customWidth="1"/>
    <col min="18" max="21" width="9.140625" style="70"/>
    <col min="22" max="22" width="10.140625" style="70" bestFit="1" customWidth="1"/>
    <col min="23" max="26" width="9.140625" style="70"/>
    <col min="27" max="27" width="10.140625" style="70" bestFit="1" customWidth="1"/>
    <col min="28" max="28" width="15.28515625" style="70" bestFit="1" customWidth="1"/>
    <col min="29" max="16384" width="9.140625" style="70"/>
  </cols>
  <sheetData>
    <row r="1" spans="1:28" s="71" customFormat="1">
      <c r="A1" s="71" t="s">
        <v>216</v>
      </c>
      <c r="B1" s="154"/>
      <c r="C1" s="155" t="s">
        <v>217</v>
      </c>
      <c r="D1" s="155" t="s">
        <v>218</v>
      </c>
      <c r="E1" s="154" t="s">
        <v>219</v>
      </c>
      <c r="G1" s="82" t="s">
        <v>227</v>
      </c>
      <c r="H1" s="82" t="s">
        <v>228</v>
      </c>
      <c r="I1" s="82" t="s">
        <v>229</v>
      </c>
      <c r="L1" s="79" t="s">
        <v>221</v>
      </c>
      <c r="M1" s="80" t="s">
        <v>222</v>
      </c>
      <c r="N1" s="81" t="s">
        <v>223</v>
      </c>
      <c r="V1" s="586" t="s">
        <v>228</v>
      </c>
      <c r="Z1" s="586" t="s">
        <v>229</v>
      </c>
    </row>
    <row r="2" spans="1:28">
      <c r="A2" s="70" t="s">
        <v>205</v>
      </c>
      <c r="B2" s="77">
        <v>1</v>
      </c>
      <c r="C2" s="72">
        <v>0</v>
      </c>
      <c r="D2" s="73">
        <f>N2</f>
        <v>295465.2</v>
      </c>
      <c r="E2" s="593">
        <f>C2+D2</f>
        <v>295465.2</v>
      </c>
      <c r="G2" s="152" t="s">
        <v>205</v>
      </c>
      <c r="H2" s="588">
        <v>0</v>
      </c>
      <c r="I2" s="588">
        <v>0</v>
      </c>
      <c r="L2" s="152" t="s">
        <v>205</v>
      </c>
      <c r="M2" s="152">
        <v>1</v>
      </c>
      <c r="N2" s="76">
        <f>R2</f>
        <v>295465.2</v>
      </c>
      <c r="O2" s="70">
        <v>1</v>
      </c>
      <c r="P2" s="70" t="s">
        <v>205</v>
      </c>
      <c r="R2" s="70">
        <v>295465.2</v>
      </c>
      <c r="T2" s="587">
        <v>2014</v>
      </c>
      <c r="U2" s="587">
        <v>210001</v>
      </c>
      <c r="V2" s="588">
        <v>0</v>
      </c>
      <c r="X2" s="587">
        <v>2014</v>
      </c>
      <c r="Y2" s="587">
        <v>210001</v>
      </c>
      <c r="Z2" s="588">
        <v>0</v>
      </c>
      <c r="AB2" s="586"/>
    </row>
    <row r="3" spans="1:28">
      <c r="A3" s="70" t="s">
        <v>298</v>
      </c>
      <c r="B3" s="77">
        <v>2</v>
      </c>
      <c r="C3" s="72">
        <f>(H3+I3)*1000</f>
        <v>91440450</v>
      </c>
      <c r="D3" s="73">
        <f t="shared" ref="D3:D47" si="0">N3</f>
        <v>1420398</v>
      </c>
      <c r="E3" s="593">
        <f t="shared" ref="E3:E47" si="1">C3+D3</f>
        <v>92860848</v>
      </c>
      <c r="G3" s="152" t="s">
        <v>298</v>
      </c>
      <c r="H3" s="588">
        <v>69628.23</v>
      </c>
      <c r="I3" s="588">
        <v>21812.219999999998</v>
      </c>
      <c r="L3" s="152" t="s">
        <v>298</v>
      </c>
      <c r="M3" s="152">
        <v>2</v>
      </c>
      <c r="N3" s="76">
        <f t="shared" ref="N3:N46" si="2">R3</f>
        <v>1420398</v>
      </c>
      <c r="O3" s="70">
        <v>2</v>
      </c>
      <c r="P3" s="70" t="s">
        <v>298</v>
      </c>
      <c r="R3" s="70">
        <v>1420398</v>
      </c>
      <c r="T3" s="587">
        <v>2014</v>
      </c>
      <c r="U3" s="587">
        <v>210002</v>
      </c>
      <c r="V3" s="588">
        <v>69628.23</v>
      </c>
      <c r="X3" s="587">
        <v>2014</v>
      </c>
      <c r="Y3" s="587" t="s">
        <v>999</v>
      </c>
      <c r="Z3" s="588">
        <v>21812.219999999998</v>
      </c>
      <c r="AA3" s="590"/>
      <c r="AB3" s="590"/>
    </row>
    <row r="4" spans="1:28">
      <c r="A4" s="70" t="s">
        <v>299</v>
      </c>
      <c r="B4" s="77">
        <v>3</v>
      </c>
      <c r="C4" s="72">
        <f t="shared" ref="C4:C47" si="3">(H4+I4)*1000</f>
        <v>3988329.9999999995</v>
      </c>
      <c r="D4" s="73">
        <f t="shared" si="0"/>
        <v>255903.80000000002</v>
      </c>
      <c r="E4" s="593">
        <f t="shared" si="1"/>
        <v>4244233.8</v>
      </c>
      <c r="G4" s="152" t="s">
        <v>299</v>
      </c>
      <c r="H4" s="588">
        <v>3988.3299999999995</v>
      </c>
      <c r="I4" s="588">
        <v>0</v>
      </c>
      <c r="J4" s="84"/>
      <c r="L4" s="152" t="s">
        <v>299</v>
      </c>
      <c r="M4" s="152">
        <v>3</v>
      </c>
      <c r="N4" s="76">
        <f t="shared" si="2"/>
        <v>255903.80000000002</v>
      </c>
      <c r="O4" s="70">
        <v>3</v>
      </c>
      <c r="P4" s="70" t="s">
        <v>299</v>
      </c>
      <c r="R4" s="70">
        <v>255903.80000000002</v>
      </c>
      <c r="T4" s="587">
        <v>2014</v>
      </c>
      <c r="U4" s="587">
        <v>210003</v>
      </c>
      <c r="V4" s="588">
        <v>3988.3299999999995</v>
      </c>
      <c r="X4" s="587">
        <v>2014</v>
      </c>
      <c r="Y4" s="587">
        <v>210003</v>
      </c>
      <c r="Z4" s="588">
        <v>0</v>
      </c>
      <c r="AB4" s="590"/>
    </row>
    <row r="5" spans="1:28">
      <c r="A5" s="70" t="s">
        <v>300</v>
      </c>
      <c r="B5" s="77">
        <v>4</v>
      </c>
      <c r="C5" s="72">
        <f t="shared" si="3"/>
        <v>2757759.9999999995</v>
      </c>
      <c r="D5" s="73">
        <f t="shared" si="0"/>
        <v>453731.60000000003</v>
      </c>
      <c r="E5" s="593">
        <f t="shared" si="1"/>
        <v>3211491.5999999996</v>
      </c>
      <c r="G5" s="152" t="s">
        <v>300</v>
      </c>
      <c r="H5" s="588">
        <v>2757.7599999999998</v>
      </c>
      <c r="I5" s="588">
        <v>0</v>
      </c>
      <c r="J5" s="84"/>
      <c r="L5" s="152" t="s">
        <v>300</v>
      </c>
      <c r="M5" s="152">
        <v>4</v>
      </c>
      <c r="N5" s="76">
        <f t="shared" si="2"/>
        <v>453731.60000000003</v>
      </c>
      <c r="O5" s="70">
        <v>4</v>
      </c>
      <c r="P5" s="70" t="s">
        <v>300</v>
      </c>
      <c r="R5" s="70">
        <v>453731.60000000003</v>
      </c>
      <c r="T5" s="587">
        <v>2014</v>
      </c>
      <c r="U5" s="587">
        <v>210004</v>
      </c>
      <c r="V5" s="588">
        <v>2757.7599999999998</v>
      </c>
      <c r="X5" s="587">
        <v>2014</v>
      </c>
      <c r="Y5" s="587">
        <v>210004</v>
      </c>
      <c r="Z5" s="588">
        <v>0</v>
      </c>
      <c r="AB5" s="590"/>
    </row>
    <row r="6" spans="1:28">
      <c r="A6" s="70" t="s">
        <v>206</v>
      </c>
      <c r="B6" s="77">
        <v>5</v>
      </c>
      <c r="C6" s="72">
        <f t="shared" si="3"/>
        <v>0</v>
      </c>
      <c r="D6" s="73">
        <f t="shared" si="0"/>
        <v>334410.30000000005</v>
      </c>
      <c r="E6" s="593">
        <f t="shared" si="1"/>
        <v>334410.30000000005</v>
      </c>
      <c r="G6" s="152" t="s">
        <v>206</v>
      </c>
      <c r="H6" s="588">
        <v>0</v>
      </c>
      <c r="I6" s="588">
        <v>0</v>
      </c>
      <c r="J6" s="84"/>
      <c r="L6" s="152" t="s">
        <v>206</v>
      </c>
      <c r="M6" s="152">
        <v>5</v>
      </c>
      <c r="N6" s="76">
        <f t="shared" si="2"/>
        <v>334410.30000000005</v>
      </c>
      <c r="O6" s="70">
        <v>5</v>
      </c>
      <c r="P6" s="70" t="s">
        <v>206</v>
      </c>
      <c r="R6" s="70">
        <v>334410.30000000005</v>
      </c>
      <c r="T6" s="587">
        <v>2014</v>
      </c>
      <c r="U6" s="587">
        <v>210005</v>
      </c>
      <c r="V6" s="588">
        <v>0</v>
      </c>
      <c r="X6" s="587">
        <v>2014</v>
      </c>
      <c r="Y6" s="587">
        <v>210005</v>
      </c>
      <c r="Z6" s="588">
        <v>0</v>
      </c>
      <c r="AB6" s="590"/>
    </row>
    <row r="7" spans="1:28">
      <c r="A7" s="83" t="s">
        <v>301</v>
      </c>
      <c r="B7" s="77">
        <v>6</v>
      </c>
      <c r="C7" s="72">
        <f t="shared" si="3"/>
        <v>0</v>
      </c>
      <c r="D7" s="73">
        <f t="shared" si="0"/>
        <v>104451.40000000001</v>
      </c>
      <c r="E7" s="593">
        <f t="shared" si="1"/>
        <v>104451.40000000001</v>
      </c>
      <c r="G7" s="152" t="s">
        <v>301</v>
      </c>
      <c r="H7" s="588">
        <v>0</v>
      </c>
      <c r="I7" s="588">
        <v>0</v>
      </c>
      <c r="J7" s="84"/>
      <c r="L7" s="152" t="s">
        <v>301</v>
      </c>
      <c r="M7" s="152">
        <v>6</v>
      </c>
      <c r="N7" s="76">
        <f t="shared" si="2"/>
        <v>104451.40000000001</v>
      </c>
      <c r="O7" s="70">
        <v>6</v>
      </c>
      <c r="P7" s="70" t="s">
        <v>301</v>
      </c>
      <c r="R7" s="70">
        <v>104451.40000000001</v>
      </c>
      <c r="T7" s="587">
        <v>2014</v>
      </c>
      <c r="U7" s="587">
        <v>210006</v>
      </c>
      <c r="V7" s="588">
        <v>0</v>
      </c>
      <c r="X7" s="587">
        <v>2014</v>
      </c>
      <c r="Y7" s="587">
        <v>210006</v>
      </c>
      <c r="Z7" s="588">
        <v>0</v>
      </c>
      <c r="AB7" s="590"/>
    </row>
    <row r="8" spans="1:28">
      <c r="A8" s="70" t="s">
        <v>302</v>
      </c>
      <c r="B8" s="77">
        <v>8</v>
      </c>
      <c r="C8" s="72">
        <f t="shared" si="3"/>
        <v>4675330</v>
      </c>
      <c r="D8" s="73">
        <f t="shared" si="0"/>
        <v>459265.69999999995</v>
      </c>
      <c r="E8" s="593">
        <f t="shared" si="1"/>
        <v>5134595.7</v>
      </c>
      <c r="G8" s="152" t="s">
        <v>302</v>
      </c>
      <c r="H8" s="588">
        <v>4015.59</v>
      </c>
      <c r="I8" s="588">
        <v>659.74</v>
      </c>
      <c r="J8" s="84"/>
      <c r="L8" s="152" t="s">
        <v>302</v>
      </c>
      <c r="M8" s="152">
        <v>8</v>
      </c>
      <c r="N8" s="76">
        <f t="shared" si="2"/>
        <v>459265.69999999995</v>
      </c>
      <c r="O8" s="70">
        <v>8</v>
      </c>
      <c r="P8" s="70" t="s">
        <v>302</v>
      </c>
      <c r="R8" s="70">
        <v>459265.69999999995</v>
      </c>
      <c r="T8" s="587">
        <v>2014</v>
      </c>
      <c r="U8" s="587">
        <v>210008</v>
      </c>
      <c r="V8" s="588">
        <v>4015.59</v>
      </c>
      <c r="X8" s="587">
        <v>2014</v>
      </c>
      <c r="Y8" s="587">
        <v>210008</v>
      </c>
      <c r="Z8" s="588">
        <v>659.74</v>
      </c>
      <c r="AB8" s="590"/>
    </row>
    <row r="9" spans="1:28">
      <c r="A9" s="70" t="s">
        <v>303</v>
      </c>
      <c r="B9" s="77">
        <v>9</v>
      </c>
      <c r="C9" s="72">
        <f t="shared" si="3"/>
        <v>103050920.00000001</v>
      </c>
      <c r="D9" s="73">
        <f t="shared" si="0"/>
        <v>1851351.5</v>
      </c>
      <c r="E9" s="593">
        <f t="shared" si="1"/>
        <v>104902271.50000001</v>
      </c>
      <c r="G9" s="152" t="s">
        <v>303</v>
      </c>
      <c r="H9" s="588">
        <v>92842.12000000001</v>
      </c>
      <c r="I9" s="588">
        <v>10208.799999999999</v>
      </c>
      <c r="J9" s="84"/>
      <c r="L9" s="152" t="s">
        <v>303</v>
      </c>
      <c r="M9" s="152">
        <v>9</v>
      </c>
      <c r="N9" s="76">
        <f t="shared" si="2"/>
        <v>1851351.5</v>
      </c>
      <c r="O9" s="70">
        <v>9</v>
      </c>
      <c r="P9" s="70" t="s">
        <v>303</v>
      </c>
      <c r="R9" s="70">
        <v>1851351.5</v>
      </c>
      <c r="T9" s="587">
        <v>2014</v>
      </c>
      <c r="U9" s="587">
        <v>210009</v>
      </c>
      <c r="V9" s="588">
        <v>92842.12000000001</v>
      </c>
      <c r="X9" s="587">
        <v>2014</v>
      </c>
      <c r="Y9" s="587">
        <v>210009</v>
      </c>
      <c r="Z9" s="588">
        <v>10208.799999999999</v>
      </c>
      <c r="AB9" s="590"/>
    </row>
    <row r="10" spans="1:28">
      <c r="A10" s="70" t="s">
        <v>304</v>
      </c>
      <c r="B10" s="77">
        <v>10</v>
      </c>
      <c r="C10" s="72">
        <f t="shared" si="3"/>
        <v>0</v>
      </c>
      <c r="D10" s="73">
        <f t="shared" si="0"/>
        <v>59359.9</v>
      </c>
      <c r="E10" s="593">
        <f t="shared" si="1"/>
        <v>59359.9</v>
      </c>
      <c r="G10" s="152" t="s">
        <v>304</v>
      </c>
      <c r="H10" s="588">
        <v>0</v>
      </c>
      <c r="I10" s="588">
        <v>0</v>
      </c>
      <c r="J10" s="84"/>
      <c r="L10" s="152" t="s">
        <v>304</v>
      </c>
      <c r="M10" s="152">
        <v>10</v>
      </c>
      <c r="N10" s="76">
        <f t="shared" si="2"/>
        <v>59359.9</v>
      </c>
      <c r="O10" s="70">
        <v>10</v>
      </c>
      <c r="P10" s="70" t="s">
        <v>304</v>
      </c>
      <c r="R10" s="70">
        <v>59359.9</v>
      </c>
      <c r="T10" s="587">
        <v>2014</v>
      </c>
      <c r="U10" s="587">
        <v>210010</v>
      </c>
      <c r="V10" s="588">
        <v>0</v>
      </c>
      <c r="X10" s="587">
        <v>2014</v>
      </c>
      <c r="Y10" s="587">
        <v>210010</v>
      </c>
      <c r="Z10" s="588">
        <v>0</v>
      </c>
      <c r="AB10" s="590"/>
    </row>
    <row r="11" spans="1:28">
      <c r="A11" s="70" t="s">
        <v>207</v>
      </c>
      <c r="B11" s="77">
        <v>11</v>
      </c>
      <c r="C11" s="72">
        <f t="shared" si="3"/>
        <v>6888070.0000000019</v>
      </c>
      <c r="D11" s="73">
        <f t="shared" si="0"/>
        <v>401564.2</v>
      </c>
      <c r="E11" s="593">
        <f t="shared" si="1"/>
        <v>7289634.200000002</v>
      </c>
      <c r="G11" s="152" t="s">
        <v>207</v>
      </c>
      <c r="H11" s="588">
        <v>6888.0700000000015</v>
      </c>
      <c r="I11" s="588">
        <v>0</v>
      </c>
      <c r="J11" s="84"/>
      <c r="L11" s="152" t="s">
        <v>207</v>
      </c>
      <c r="M11" s="152">
        <v>11</v>
      </c>
      <c r="N11" s="76">
        <f t="shared" si="2"/>
        <v>401564.2</v>
      </c>
      <c r="O11" s="70">
        <v>11</v>
      </c>
      <c r="P11" s="70" t="s">
        <v>207</v>
      </c>
      <c r="R11" s="70">
        <v>401564.2</v>
      </c>
      <c r="T11" s="587">
        <v>2014</v>
      </c>
      <c r="U11" s="587">
        <v>210011</v>
      </c>
      <c r="V11" s="588">
        <v>6888.0700000000015</v>
      </c>
      <c r="X11" s="587">
        <v>2014</v>
      </c>
      <c r="Y11" s="587">
        <v>210011</v>
      </c>
      <c r="Z11" s="588">
        <v>0</v>
      </c>
      <c r="AB11" s="590"/>
    </row>
    <row r="12" spans="1:28">
      <c r="A12" s="70" t="s">
        <v>305</v>
      </c>
      <c r="B12" s="77">
        <v>12</v>
      </c>
      <c r="C12" s="72">
        <f t="shared" si="3"/>
        <v>15265590.000000004</v>
      </c>
      <c r="D12" s="73">
        <f t="shared" si="0"/>
        <v>676602.70000000019</v>
      </c>
      <c r="E12" s="593">
        <f t="shared" si="1"/>
        <v>15942192.700000003</v>
      </c>
      <c r="G12" s="152" t="s">
        <v>305</v>
      </c>
      <c r="H12" s="588">
        <v>14654.470000000003</v>
      </c>
      <c r="I12" s="588">
        <v>611.12000000000012</v>
      </c>
      <c r="J12" s="84"/>
      <c r="L12" s="152" t="s">
        <v>305</v>
      </c>
      <c r="M12" s="152">
        <v>12</v>
      </c>
      <c r="N12" s="76">
        <f t="shared" si="2"/>
        <v>676602.70000000019</v>
      </c>
      <c r="O12" s="70">
        <v>12</v>
      </c>
      <c r="P12" s="70" t="s">
        <v>305</v>
      </c>
      <c r="R12" s="70">
        <v>676602.70000000019</v>
      </c>
      <c r="T12" s="587">
        <v>2014</v>
      </c>
      <c r="U12" s="587">
        <v>210012</v>
      </c>
      <c r="V12" s="588">
        <v>14654.470000000003</v>
      </c>
      <c r="X12" s="587">
        <v>2014</v>
      </c>
      <c r="Y12" s="587">
        <v>210012</v>
      </c>
      <c r="Z12" s="588">
        <v>611.12000000000012</v>
      </c>
      <c r="AB12" s="590"/>
    </row>
    <row r="13" spans="1:28">
      <c r="A13" s="70" t="s">
        <v>208</v>
      </c>
      <c r="B13" s="77">
        <v>13</v>
      </c>
      <c r="C13" s="72">
        <f t="shared" si="3"/>
        <v>0</v>
      </c>
      <c r="D13" s="73">
        <f t="shared" si="0"/>
        <v>130651.8</v>
      </c>
      <c r="E13" s="593">
        <f t="shared" si="1"/>
        <v>130651.8</v>
      </c>
      <c r="G13" s="152" t="s">
        <v>208</v>
      </c>
      <c r="H13" s="588">
        <v>0</v>
      </c>
      <c r="I13" s="588">
        <v>0</v>
      </c>
      <c r="J13" s="84"/>
      <c r="L13" s="152" t="s">
        <v>208</v>
      </c>
      <c r="M13" s="152">
        <v>13</v>
      </c>
      <c r="N13" s="76">
        <f t="shared" si="2"/>
        <v>130651.8</v>
      </c>
      <c r="O13" s="70">
        <v>13</v>
      </c>
      <c r="P13" s="70" t="s">
        <v>208</v>
      </c>
      <c r="R13" s="70">
        <v>130651.8</v>
      </c>
      <c r="T13" s="587">
        <v>2014</v>
      </c>
      <c r="U13" s="587">
        <v>210013</v>
      </c>
      <c r="V13" s="588">
        <v>0</v>
      </c>
      <c r="X13" s="587">
        <v>2014</v>
      </c>
      <c r="Y13" s="587">
        <v>210013</v>
      </c>
      <c r="Z13" s="588">
        <v>0</v>
      </c>
      <c r="AB13" s="590"/>
    </row>
    <row r="14" spans="1:28">
      <c r="A14" s="70" t="s">
        <v>306</v>
      </c>
      <c r="B14" s="77">
        <v>15</v>
      </c>
      <c r="C14" s="72">
        <f t="shared" si="3"/>
        <v>7574040</v>
      </c>
      <c r="D14" s="73">
        <f t="shared" si="0"/>
        <v>477082</v>
      </c>
      <c r="E14" s="593">
        <f t="shared" si="1"/>
        <v>8051122</v>
      </c>
      <c r="G14" s="152" t="s">
        <v>306</v>
      </c>
      <c r="H14" s="588">
        <v>7574.04</v>
      </c>
      <c r="I14" s="588">
        <v>0</v>
      </c>
      <c r="J14" s="84"/>
      <c r="L14" s="152" t="s">
        <v>306</v>
      </c>
      <c r="M14" s="152">
        <v>15</v>
      </c>
      <c r="N14" s="76">
        <f t="shared" si="2"/>
        <v>477082</v>
      </c>
      <c r="O14" s="70">
        <v>15</v>
      </c>
      <c r="P14" s="70" t="s">
        <v>306</v>
      </c>
      <c r="R14" s="70">
        <v>477082</v>
      </c>
      <c r="T14" s="587">
        <v>2014</v>
      </c>
      <c r="U14" s="587">
        <v>210015</v>
      </c>
      <c r="V14" s="588">
        <v>7574.04</v>
      </c>
      <c r="X14" s="587">
        <v>2014</v>
      </c>
      <c r="Y14" s="587">
        <v>210015</v>
      </c>
      <c r="Z14" s="588">
        <v>0</v>
      </c>
      <c r="AB14" s="590"/>
    </row>
    <row r="15" spans="1:28">
      <c r="A15" s="70" t="s">
        <v>307</v>
      </c>
      <c r="B15" s="77">
        <v>16</v>
      </c>
      <c r="C15" s="72">
        <f t="shared" si="3"/>
        <v>0</v>
      </c>
      <c r="D15" s="73">
        <f t="shared" si="0"/>
        <v>260716.09999999998</v>
      </c>
      <c r="E15" s="593">
        <f t="shared" si="1"/>
        <v>260716.09999999998</v>
      </c>
      <c r="G15" s="152" t="s">
        <v>307</v>
      </c>
      <c r="H15" s="588">
        <v>0</v>
      </c>
      <c r="I15" s="588">
        <v>0</v>
      </c>
      <c r="J15" s="84"/>
      <c r="L15" s="152" t="s">
        <v>307</v>
      </c>
      <c r="M15" s="152">
        <v>16</v>
      </c>
      <c r="N15" s="76">
        <f t="shared" si="2"/>
        <v>260716.09999999998</v>
      </c>
      <c r="O15" s="70">
        <v>16</v>
      </c>
      <c r="P15" s="70" t="s">
        <v>307</v>
      </c>
      <c r="R15" s="70">
        <v>260716.09999999998</v>
      </c>
      <c r="T15" s="587">
        <v>2014</v>
      </c>
      <c r="U15" s="587">
        <v>210016</v>
      </c>
      <c r="V15" s="588">
        <v>0</v>
      </c>
      <c r="X15" s="587">
        <v>2014</v>
      </c>
      <c r="Y15" s="587">
        <v>210016</v>
      </c>
      <c r="Z15" s="588">
        <v>0</v>
      </c>
      <c r="AB15" s="590"/>
    </row>
    <row r="16" spans="1:28">
      <c r="A16" s="83" t="s">
        <v>308</v>
      </c>
      <c r="B16" s="77">
        <v>17</v>
      </c>
      <c r="C16" s="72">
        <f t="shared" si="3"/>
        <v>0</v>
      </c>
      <c r="D16" s="73">
        <f t="shared" si="0"/>
        <v>42709.9</v>
      </c>
      <c r="E16" s="593">
        <f t="shared" si="1"/>
        <v>42709.9</v>
      </c>
      <c r="G16" s="152" t="s">
        <v>308</v>
      </c>
      <c r="H16" s="588">
        <v>0</v>
      </c>
      <c r="I16" s="588">
        <v>0</v>
      </c>
      <c r="J16" s="84"/>
      <c r="L16" s="152" t="s">
        <v>308</v>
      </c>
      <c r="M16" s="152">
        <v>17</v>
      </c>
      <c r="N16" s="76">
        <f t="shared" si="2"/>
        <v>42709.9</v>
      </c>
      <c r="O16" s="70">
        <v>17</v>
      </c>
      <c r="P16" s="70" t="s">
        <v>308</v>
      </c>
      <c r="R16" s="70">
        <v>42709.9</v>
      </c>
      <c r="T16" s="587">
        <v>2014</v>
      </c>
      <c r="U16" s="587">
        <v>210017</v>
      </c>
      <c r="V16" s="588">
        <v>0</v>
      </c>
      <c r="X16" s="587">
        <v>2014</v>
      </c>
      <c r="Y16" s="587">
        <v>210017</v>
      </c>
      <c r="Z16" s="588">
        <v>0</v>
      </c>
      <c r="AB16" s="590"/>
    </row>
    <row r="17" spans="1:28">
      <c r="A17" s="70" t="s">
        <v>309</v>
      </c>
      <c r="B17" s="77">
        <v>18</v>
      </c>
      <c r="C17" s="72">
        <f t="shared" si="3"/>
        <v>0</v>
      </c>
      <c r="D17" s="73">
        <f t="shared" si="0"/>
        <v>165915</v>
      </c>
      <c r="E17" s="593">
        <f t="shared" si="1"/>
        <v>165915</v>
      </c>
      <c r="G17" s="152" t="s">
        <v>309</v>
      </c>
      <c r="H17" s="588">
        <v>0</v>
      </c>
      <c r="I17" s="588">
        <v>0</v>
      </c>
      <c r="J17" s="84"/>
      <c r="L17" s="152" t="s">
        <v>309</v>
      </c>
      <c r="M17" s="152">
        <v>18</v>
      </c>
      <c r="N17" s="76">
        <f t="shared" si="2"/>
        <v>165915</v>
      </c>
      <c r="O17" s="70">
        <v>18</v>
      </c>
      <c r="P17" s="70" t="s">
        <v>309</v>
      </c>
      <c r="R17" s="70">
        <v>165915</v>
      </c>
      <c r="T17" s="587">
        <v>2014</v>
      </c>
      <c r="U17" s="587">
        <v>210018</v>
      </c>
      <c r="V17" s="588">
        <v>0</v>
      </c>
      <c r="X17" s="587">
        <v>2014</v>
      </c>
      <c r="Y17" s="587">
        <v>210018</v>
      </c>
      <c r="Z17" s="588">
        <v>0</v>
      </c>
      <c r="AB17" s="590"/>
    </row>
    <row r="18" spans="1:28">
      <c r="A18" s="70" t="s">
        <v>310</v>
      </c>
      <c r="B18" s="77">
        <v>19</v>
      </c>
      <c r="C18" s="72">
        <f t="shared" si="3"/>
        <v>0</v>
      </c>
      <c r="D18" s="73">
        <f t="shared" si="0"/>
        <v>414765.5</v>
      </c>
      <c r="E18" s="593">
        <f t="shared" si="1"/>
        <v>414765.5</v>
      </c>
      <c r="G18" s="152" t="s">
        <v>310</v>
      </c>
      <c r="H18" s="588">
        <v>0</v>
      </c>
      <c r="I18" s="588">
        <v>0</v>
      </c>
      <c r="J18" s="84"/>
      <c r="L18" s="152" t="s">
        <v>310</v>
      </c>
      <c r="M18" s="152">
        <v>19</v>
      </c>
      <c r="N18" s="76">
        <f t="shared" si="2"/>
        <v>414765.5</v>
      </c>
      <c r="O18" s="70">
        <v>19</v>
      </c>
      <c r="P18" s="70" t="s">
        <v>310</v>
      </c>
      <c r="R18" s="70">
        <v>414765.5</v>
      </c>
      <c r="T18" s="587">
        <v>2014</v>
      </c>
      <c r="U18" s="587">
        <v>210019</v>
      </c>
      <c r="V18" s="588">
        <v>0</v>
      </c>
      <c r="X18" s="587">
        <v>2014</v>
      </c>
      <c r="Y18" s="587">
        <v>210019</v>
      </c>
      <c r="Z18" s="588">
        <v>0</v>
      </c>
      <c r="AB18" s="590"/>
    </row>
    <row r="19" spans="1:28">
      <c r="A19" s="70" t="s">
        <v>311</v>
      </c>
      <c r="B19" s="77">
        <v>22</v>
      </c>
      <c r="C19" s="72">
        <f t="shared" si="3"/>
        <v>314919.99999999994</v>
      </c>
      <c r="D19" s="73">
        <f t="shared" si="0"/>
        <v>272892.40000000002</v>
      </c>
      <c r="E19" s="593">
        <f t="shared" si="1"/>
        <v>587812.39999999991</v>
      </c>
      <c r="G19" s="152" t="s">
        <v>311</v>
      </c>
      <c r="H19" s="588">
        <v>314.91999999999996</v>
      </c>
      <c r="I19" s="588">
        <v>0</v>
      </c>
      <c r="J19" s="84"/>
      <c r="L19" s="152" t="s">
        <v>311</v>
      </c>
      <c r="M19" s="152">
        <v>22</v>
      </c>
      <c r="N19" s="76">
        <f t="shared" si="2"/>
        <v>272892.40000000002</v>
      </c>
      <c r="O19" s="70">
        <v>22</v>
      </c>
      <c r="P19" s="70" t="s">
        <v>311</v>
      </c>
      <c r="R19" s="70">
        <v>272892.40000000002</v>
      </c>
      <c r="T19" s="587">
        <v>2014</v>
      </c>
      <c r="U19" s="587">
        <v>210022</v>
      </c>
      <c r="V19" s="588">
        <v>314.91999999999996</v>
      </c>
      <c r="X19" s="587">
        <v>2014</v>
      </c>
      <c r="Y19" s="587">
        <v>210022</v>
      </c>
      <c r="Z19" s="588">
        <v>0</v>
      </c>
      <c r="AB19" s="590"/>
    </row>
    <row r="20" spans="1:28">
      <c r="A20" s="70" t="s">
        <v>312</v>
      </c>
      <c r="B20" s="77">
        <v>23</v>
      </c>
      <c r="C20" s="72">
        <f t="shared" si="3"/>
        <v>0</v>
      </c>
      <c r="D20" s="73">
        <f t="shared" si="0"/>
        <v>523717</v>
      </c>
      <c r="E20" s="593">
        <f t="shared" si="1"/>
        <v>523717</v>
      </c>
      <c r="G20" s="152" t="s">
        <v>312</v>
      </c>
      <c r="H20" s="588">
        <v>0</v>
      </c>
      <c r="I20" s="588">
        <v>0</v>
      </c>
      <c r="J20" s="84"/>
      <c r="L20" s="152" t="s">
        <v>312</v>
      </c>
      <c r="M20" s="152">
        <v>23</v>
      </c>
      <c r="N20" s="76">
        <f t="shared" si="2"/>
        <v>523717</v>
      </c>
      <c r="O20" s="70">
        <v>23</v>
      </c>
      <c r="P20" s="70" t="s">
        <v>312</v>
      </c>
      <c r="R20" s="70">
        <v>523717</v>
      </c>
      <c r="T20" s="587">
        <v>2014</v>
      </c>
      <c r="U20" s="587">
        <v>210023</v>
      </c>
      <c r="V20" s="588">
        <v>0</v>
      </c>
      <c r="X20" s="587">
        <v>2014</v>
      </c>
      <c r="Y20" s="587">
        <v>210023</v>
      </c>
      <c r="Z20" s="588">
        <v>0</v>
      </c>
      <c r="AB20" s="590"/>
    </row>
    <row r="21" spans="1:28">
      <c r="A21" s="70" t="s">
        <v>313</v>
      </c>
      <c r="B21" s="77">
        <v>24</v>
      </c>
      <c r="C21" s="72">
        <f t="shared" si="3"/>
        <v>11238489.999999998</v>
      </c>
      <c r="D21" s="73">
        <f t="shared" si="0"/>
        <v>422530.70000000007</v>
      </c>
      <c r="E21" s="593">
        <f t="shared" si="1"/>
        <v>11661020.699999997</v>
      </c>
      <c r="G21" s="152" t="s">
        <v>313</v>
      </c>
      <c r="H21" s="588">
        <v>10107.019999999999</v>
      </c>
      <c r="I21" s="588">
        <v>1131.47</v>
      </c>
      <c r="L21" s="152" t="s">
        <v>313</v>
      </c>
      <c r="M21" s="152">
        <v>24</v>
      </c>
      <c r="N21" s="76">
        <f t="shared" si="2"/>
        <v>422530.70000000007</v>
      </c>
      <c r="O21" s="70">
        <v>24</v>
      </c>
      <c r="P21" s="70" t="s">
        <v>313</v>
      </c>
      <c r="R21" s="70">
        <v>422530.70000000007</v>
      </c>
      <c r="T21" s="587">
        <v>2014</v>
      </c>
      <c r="U21" s="587">
        <v>210024</v>
      </c>
      <c r="V21" s="588">
        <v>10107.019999999999</v>
      </c>
      <c r="X21" s="587">
        <v>2014</v>
      </c>
      <c r="Y21" s="587">
        <v>210024</v>
      </c>
      <c r="Z21" s="588">
        <v>1131.47</v>
      </c>
      <c r="AB21" s="590"/>
    </row>
    <row r="22" spans="1:28">
      <c r="A22" s="70" t="s">
        <v>314</v>
      </c>
      <c r="B22" s="77">
        <v>27</v>
      </c>
      <c r="C22" s="72">
        <f t="shared" si="3"/>
        <v>0</v>
      </c>
      <c r="D22" s="73">
        <f t="shared" si="0"/>
        <v>308555.8</v>
      </c>
      <c r="E22" s="593">
        <f t="shared" si="1"/>
        <v>308555.8</v>
      </c>
      <c r="G22" s="152" t="s">
        <v>314</v>
      </c>
      <c r="H22" s="588">
        <v>0</v>
      </c>
      <c r="I22" s="588">
        <v>0</v>
      </c>
      <c r="L22" s="152" t="s">
        <v>314</v>
      </c>
      <c r="M22" s="152">
        <v>27</v>
      </c>
      <c r="N22" s="76">
        <f t="shared" si="2"/>
        <v>308555.8</v>
      </c>
      <c r="O22" s="70">
        <v>27</v>
      </c>
      <c r="P22" s="70" t="s">
        <v>314</v>
      </c>
      <c r="R22" s="70">
        <v>308555.8</v>
      </c>
      <c r="T22" s="587">
        <v>2014</v>
      </c>
      <c r="U22" s="587">
        <v>210027</v>
      </c>
      <c r="V22" s="588">
        <v>0</v>
      </c>
      <c r="X22" s="587">
        <v>2014</v>
      </c>
      <c r="Y22" s="587">
        <v>210027</v>
      </c>
      <c r="Z22" s="588">
        <v>0</v>
      </c>
      <c r="AB22" s="590"/>
    </row>
    <row r="23" spans="1:28">
      <c r="A23" s="70" t="s">
        <v>315</v>
      </c>
      <c r="B23" s="77">
        <v>28</v>
      </c>
      <c r="C23" s="72">
        <f t="shared" si="3"/>
        <v>0</v>
      </c>
      <c r="D23" s="73">
        <f t="shared" si="0"/>
        <v>151897</v>
      </c>
      <c r="E23" s="593">
        <f t="shared" si="1"/>
        <v>151897</v>
      </c>
      <c r="G23" s="152" t="s">
        <v>315</v>
      </c>
      <c r="H23" s="588">
        <v>0</v>
      </c>
      <c r="I23" s="588">
        <v>0</v>
      </c>
      <c r="L23" s="152" t="s">
        <v>315</v>
      </c>
      <c r="M23" s="152">
        <v>28</v>
      </c>
      <c r="N23" s="76">
        <f t="shared" si="2"/>
        <v>151897</v>
      </c>
      <c r="O23" s="70">
        <v>28</v>
      </c>
      <c r="P23" s="70" t="s">
        <v>315</v>
      </c>
      <c r="R23" s="70">
        <v>151897</v>
      </c>
      <c r="T23" s="587">
        <v>2014</v>
      </c>
      <c r="U23" s="587">
        <v>210028</v>
      </c>
      <c r="V23" s="588">
        <v>0</v>
      </c>
      <c r="X23" s="587">
        <v>2014</v>
      </c>
      <c r="Y23" s="587">
        <v>210028</v>
      </c>
      <c r="Z23" s="588">
        <v>0</v>
      </c>
    </row>
    <row r="24" spans="1:28">
      <c r="A24" s="70" t="s">
        <v>316</v>
      </c>
      <c r="B24" s="77">
        <v>29</v>
      </c>
      <c r="C24" s="72">
        <f t="shared" si="3"/>
        <v>21979800</v>
      </c>
      <c r="D24" s="73">
        <f t="shared" si="0"/>
        <v>584860.1</v>
      </c>
      <c r="E24" s="593">
        <f t="shared" si="1"/>
        <v>22564660.100000001</v>
      </c>
      <c r="G24" s="152" t="s">
        <v>316</v>
      </c>
      <c r="H24" s="588">
        <v>20369.599999999999</v>
      </c>
      <c r="I24" s="588">
        <v>1610.2000000000003</v>
      </c>
      <c r="L24" s="152" t="s">
        <v>316</v>
      </c>
      <c r="M24" s="152">
        <v>29</v>
      </c>
      <c r="N24" s="76">
        <f t="shared" si="2"/>
        <v>584860.1</v>
      </c>
      <c r="O24" s="70">
        <v>29</v>
      </c>
      <c r="P24" s="70" t="s">
        <v>316</v>
      </c>
      <c r="R24" s="70">
        <v>584860.1</v>
      </c>
      <c r="T24" s="587">
        <v>2014</v>
      </c>
      <c r="U24" s="587">
        <v>210029</v>
      </c>
      <c r="V24" s="588">
        <v>20369.599999999999</v>
      </c>
      <c r="X24" s="587">
        <v>2014</v>
      </c>
      <c r="Y24" s="587">
        <v>210029</v>
      </c>
      <c r="Z24" s="588">
        <v>1610.2000000000003</v>
      </c>
    </row>
    <row r="25" spans="1:28">
      <c r="A25" s="70" t="s">
        <v>317</v>
      </c>
      <c r="B25" s="77">
        <v>30</v>
      </c>
      <c r="C25" s="72">
        <f t="shared" si="3"/>
        <v>0</v>
      </c>
      <c r="D25" s="73">
        <f t="shared" si="0"/>
        <v>65051.700000000004</v>
      </c>
      <c r="E25" s="593">
        <f t="shared" si="1"/>
        <v>65051.700000000004</v>
      </c>
      <c r="G25" s="152" t="s">
        <v>317</v>
      </c>
      <c r="H25" s="588">
        <v>0</v>
      </c>
      <c r="I25" s="588">
        <v>0</v>
      </c>
      <c r="L25" s="152" t="s">
        <v>317</v>
      </c>
      <c r="M25" s="152">
        <v>30</v>
      </c>
      <c r="N25" s="76">
        <f t="shared" si="2"/>
        <v>65051.700000000004</v>
      </c>
      <c r="O25" s="70">
        <v>30</v>
      </c>
      <c r="P25" s="70" t="s">
        <v>317</v>
      </c>
      <c r="R25" s="70">
        <v>65051.700000000004</v>
      </c>
      <c r="T25" s="587">
        <v>2014</v>
      </c>
      <c r="U25" s="587">
        <v>210030</v>
      </c>
      <c r="V25" s="588">
        <v>0</v>
      </c>
      <c r="X25" s="587">
        <v>2014</v>
      </c>
      <c r="Y25" s="587">
        <v>210030</v>
      </c>
      <c r="Z25" s="588">
        <v>0</v>
      </c>
    </row>
    <row r="26" spans="1:28">
      <c r="A26" s="70" t="s">
        <v>318</v>
      </c>
      <c r="B26" s="77">
        <v>32</v>
      </c>
      <c r="C26" s="72">
        <f t="shared" si="3"/>
        <v>0</v>
      </c>
      <c r="D26" s="73">
        <f t="shared" si="0"/>
        <v>148428.40000000002</v>
      </c>
      <c r="E26" s="593">
        <f t="shared" si="1"/>
        <v>148428.40000000002</v>
      </c>
      <c r="G26" s="152" t="s">
        <v>318</v>
      </c>
      <c r="H26" s="588">
        <v>0</v>
      </c>
      <c r="I26" s="588">
        <v>0</v>
      </c>
      <c r="L26" s="152" t="s">
        <v>318</v>
      </c>
      <c r="M26" s="152">
        <v>32</v>
      </c>
      <c r="N26" s="76">
        <f t="shared" si="2"/>
        <v>148428.40000000002</v>
      </c>
      <c r="O26" s="70">
        <v>32</v>
      </c>
      <c r="P26" s="70" t="s">
        <v>318</v>
      </c>
      <c r="R26" s="70">
        <v>148428.40000000002</v>
      </c>
      <c r="T26" s="587">
        <v>2014</v>
      </c>
      <c r="U26" s="587">
        <v>210032</v>
      </c>
      <c r="V26" s="588">
        <v>0</v>
      </c>
      <c r="X26" s="587">
        <v>2014</v>
      </c>
      <c r="Y26" s="587">
        <v>210032</v>
      </c>
      <c r="Z26" s="588">
        <v>0</v>
      </c>
    </row>
    <row r="27" spans="1:28">
      <c r="A27" s="70" t="s">
        <v>319</v>
      </c>
      <c r="B27" s="77">
        <v>33</v>
      </c>
      <c r="C27" s="72">
        <f t="shared" si="3"/>
        <v>0</v>
      </c>
      <c r="D27" s="73">
        <f t="shared" si="0"/>
        <v>243424.4</v>
      </c>
      <c r="E27" s="593">
        <f t="shared" si="1"/>
        <v>243424.4</v>
      </c>
      <c r="G27" s="152" t="s">
        <v>319</v>
      </c>
      <c r="H27" s="588">
        <v>0</v>
      </c>
      <c r="I27" s="588">
        <v>0</v>
      </c>
      <c r="L27" s="152" t="s">
        <v>319</v>
      </c>
      <c r="M27" s="152">
        <v>33</v>
      </c>
      <c r="N27" s="76">
        <f t="shared" si="2"/>
        <v>243424.4</v>
      </c>
      <c r="O27" s="70">
        <v>33</v>
      </c>
      <c r="P27" s="70" t="s">
        <v>319</v>
      </c>
      <c r="R27" s="70">
        <v>243424.4</v>
      </c>
      <c r="T27" s="587">
        <v>2014</v>
      </c>
      <c r="U27" s="587">
        <v>210033</v>
      </c>
      <c r="V27" s="588">
        <v>0</v>
      </c>
      <c r="X27" s="587">
        <v>2014</v>
      </c>
      <c r="Y27" s="587">
        <v>210033</v>
      </c>
      <c r="Z27" s="588">
        <v>0</v>
      </c>
    </row>
    <row r="28" spans="1:28">
      <c r="A28" s="70" t="s">
        <v>320</v>
      </c>
      <c r="B28" s="77">
        <v>34</v>
      </c>
      <c r="C28" s="72">
        <f t="shared" si="3"/>
        <v>4402330</v>
      </c>
      <c r="D28" s="73">
        <f t="shared" si="0"/>
        <v>209694.30000000005</v>
      </c>
      <c r="E28" s="593">
        <f t="shared" si="1"/>
        <v>4612024.3</v>
      </c>
      <c r="G28" s="152" t="s">
        <v>320</v>
      </c>
      <c r="H28" s="588">
        <v>4402.33</v>
      </c>
      <c r="I28" s="588">
        <v>0</v>
      </c>
      <c r="L28" s="152" t="s">
        <v>320</v>
      </c>
      <c r="M28" s="152">
        <v>34</v>
      </c>
      <c r="N28" s="76">
        <f t="shared" si="2"/>
        <v>209694.30000000005</v>
      </c>
      <c r="O28" s="70">
        <v>34</v>
      </c>
      <c r="P28" s="70" t="s">
        <v>320</v>
      </c>
      <c r="R28" s="70">
        <v>209694.30000000005</v>
      </c>
      <c r="T28" s="587">
        <v>2014</v>
      </c>
      <c r="U28" s="587">
        <v>210034</v>
      </c>
      <c r="V28" s="588">
        <v>4402.33</v>
      </c>
      <c r="X28" s="587">
        <v>2014</v>
      </c>
      <c r="Y28" s="587">
        <v>210034</v>
      </c>
      <c r="Z28" s="588">
        <v>0</v>
      </c>
    </row>
    <row r="29" spans="1:28">
      <c r="A29" s="70" t="s">
        <v>321</v>
      </c>
      <c r="B29" s="77">
        <v>35</v>
      </c>
      <c r="C29" s="72">
        <f t="shared" si="3"/>
        <v>0</v>
      </c>
      <c r="D29" s="73">
        <f t="shared" si="0"/>
        <v>126393.90000000001</v>
      </c>
      <c r="E29" s="593">
        <f t="shared" si="1"/>
        <v>126393.90000000001</v>
      </c>
      <c r="G29" s="152" t="s">
        <v>321</v>
      </c>
      <c r="H29" s="588">
        <v>0</v>
      </c>
      <c r="I29" s="588">
        <v>0</v>
      </c>
      <c r="L29" s="152" t="s">
        <v>321</v>
      </c>
      <c r="M29" s="152">
        <v>35</v>
      </c>
      <c r="N29" s="76">
        <f t="shared" si="2"/>
        <v>126393.90000000001</v>
      </c>
      <c r="O29" s="70">
        <v>35</v>
      </c>
      <c r="P29" s="70" t="s">
        <v>321</v>
      </c>
      <c r="R29" s="70">
        <v>126393.90000000001</v>
      </c>
      <c r="T29" s="587">
        <v>2014</v>
      </c>
      <c r="U29" s="587">
        <v>210035</v>
      </c>
      <c r="V29" s="588">
        <v>0</v>
      </c>
      <c r="X29" s="587">
        <v>2014</v>
      </c>
      <c r="Y29" s="587">
        <v>210035</v>
      </c>
      <c r="Z29" s="588">
        <v>0</v>
      </c>
    </row>
    <row r="30" spans="1:28">
      <c r="A30" s="70" t="s">
        <v>322</v>
      </c>
      <c r="B30" s="77">
        <v>37</v>
      </c>
      <c r="C30" s="72">
        <f t="shared" si="3"/>
        <v>0</v>
      </c>
      <c r="D30" s="73">
        <f t="shared" si="0"/>
        <v>184647.5</v>
      </c>
      <c r="E30" s="593">
        <f t="shared" si="1"/>
        <v>184647.5</v>
      </c>
      <c r="G30" s="152" t="s">
        <v>322</v>
      </c>
      <c r="H30" s="588">
        <v>0</v>
      </c>
      <c r="I30" s="588">
        <v>0</v>
      </c>
      <c r="L30" s="152" t="s">
        <v>322</v>
      </c>
      <c r="M30" s="152">
        <v>37</v>
      </c>
      <c r="N30" s="76">
        <f t="shared" si="2"/>
        <v>184647.5</v>
      </c>
      <c r="O30" s="70">
        <v>37</v>
      </c>
      <c r="P30" s="70" t="s">
        <v>322</v>
      </c>
      <c r="R30" s="70">
        <v>184647.5</v>
      </c>
      <c r="T30" s="587">
        <v>2014</v>
      </c>
      <c r="U30" s="587">
        <v>210037</v>
      </c>
      <c r="V30" s="588">
        <v>0</v>
      </c>
      <c r="X30" s="587">
        <v>2014</v>
      </c>
      <c r="Y30" s="587">
        <v>210037</v>
      </c>
      <c r="Z30" s="588">
        <v>0</v>
      </c>
    </row>
    <row r="31" spans="1:28">
      <c r="A31" s="70" t="s">
        <v>323</v>
      </c>
      <c r="B31" s="77">
        <v>38</v>
      </c>
      <c r="C31" s="72">
        <f t="shared" si="3"/>
        <v>4245769.9999999991</v>
      </c>
      <c r="D31" s="73">
        <f t="shared" si="0"/>
        <v>185438.39</v>
      </c>
      <c r="E31" s="593">
        <f t="shared" si="1"/>
        <v>4431208.3899999987</v>
      </c>
      <c r="G31" s="152" t="s">
        <v>323</v>
      </c>
      <c r="H31" s="588">
        <v>4245.7699999999995</v>
      </c>
      <c r="I31" s="588">
        <v>0</v>
      </c>
      <c r="L31" s="152" t="s">
        <v>323</v>
      </c>
      <c r="M31" s="152">
        <v>38</v>
      </c>
      <c r="N31" s="76">
        <f t="shared" si="2"/>
        <v>185438.39</v>
      </c>
      <c r="O31" s="70">
        <v>38</v>
      </c>
      <c r="P31" s="70" t="s">
        <v>323</v>
      </c>
      <c r="R31" s="70">
        <v>185438.39</v>
      </c>
      <c r="T31" s="587">
        <v>2014</v>
      </c>
      <c r="U31" s="587">
        <v>210038</v>
      </c>
      <c r="V31" s="588">
        <v>4245.7699999999995</v>
      </c>
      <c r="X31" s="587">
        <v>2014</v>
      </c>
      <c r="Y31" s="587">
        <v>210038</v>
      </c>
      <c r="Z31" s="588">
        <v>0</v>
      </c>
    </row>
    <row r="32" spans="1:28">
      <c r="A32" s="70" t="s">
        <v>324</v>
      </c>
      <c r="B32" s="77">
        <v>39</v>
      </c>
      <c r="C32" s="72">
        <f t="shared" si="3"/>
        <v>0</v>
      </c>
      <c r="D32" s="73">
        <f t="shared" si="0"/>
        <v>135740.5</v>
      </c>
      <c r="E32" s="593">
        <f t="shared" si="1"/>
        <v>135740.5</v>
      </c>
      <c r="G32" s="152" t="s">
        <v>324</v>
      </c>
      <c r="H32" s="588">
        <v>0</v>
      </c>
      <c r="I32" s="588">
        <v>0</v>
      </c>
      <c r="L32" s="152" t="s">
        <v>324</v>
      </c>
      <c r="M32" s="152">
        <v>39</v>
      </c>
      <c r="N32" s="76">
        <f t="shared" si="2"/>
        <v>135740.5</v>
      </c>
      <c r="O32" s="70">
        <v>39</v>
      </c>
      <c r="P32" s="70" t="s">
        <v>324</v>
      </c>
      <c r="R32" s="70">
        <v>135740.5</v>
      </c>
      <c r="T32" s="587">
        <v>2014</v>
      </c>
      <c r="U32" s="587">
        <v>210039</v>
      </c>
      <c r="V32" s="588">
        <v>0</v>
      </c>
      <c r="X32" s="587">
        <v>2014</v>
      </c>
      <c r="Y32" s="587">
        <v>210039</v>
      </c>
      <c r="Z32" s="588">
        <v>0</v>
      </c>
    </row>
    <row r="33" spans="1:28">
      <c r="A33" s="70" t="s">
        <v>325</v>
      </c>
      <c r="B33" s="77">
        <v>40</v>
      </c>
      <c r="C33" s="72">
        <f t="shared" si="3"/>
        <v>0</v>
      </c>
      <c r="D33" s="73">
        <f t="shared" si="0"/>
        <v>238730.10000000003</v>
      </c>
      <c r="E33" s="593">
        <f t="shared" si="1"/>
        <v>238730.10000000003</v>
      </c>
      <c r="G33" s="152" t="s">
        <v>325</v>
      </c>
      <c r="H33" s="588">
        <v>0</v>
      </c>
      <c r="I33" s="588">
        <v>0</v>
      </c>
      <c r="L33" s="152" t="s">
        <v>325</v>
      </c>
      <c r="M33" s="152">
        <v>40</v>
      </c>
      <c r="N33" s="76">
        <f t="shared" si="2"/>
        <v>238730.10000000003</v>
      </c>
      <c r="O33" s="70">
        <v>40</v>
      </c>
      <c r="P33" s="70" t="s">
        <v>325</v>
      </c>
      <c r="R33" s="70">
        <v>238730.10000000003</v>
      </c>
      <c r="T33" s="587">
        <v>2014</v>
      </c>
      <c r="U33" s="587">
        <v>210040</v>
      </c>
      <c r="V33" s="588">
        <v>0</v>
      </c>
      <c r="X33" s="587">
        <v>2014</v>
      </c>
      <c r="Y33" s="587">
        <v>210040</v>
      </c>
      <c r="Z33" s="588">
        <v>0</v>
      </c>
    </row>
    <row r="34" spans="1:28">
      <c r="A34" s="70" t="s">
        <v>326</v>
      </c>
      <c r="B34" s="77">
        <v>43</v>
      </c>
      <c r="C34" s="72">
        <f t="shared" si="3"/>
        <v>421820</v>
      </c>
      <c r="D34" s="73">
        <f t="shared" si="0"/>
        <v>381065.3</v>
      </c>
      <c r="E34" s="593">
        <f t="shared" si="1"/>
        <v>802885.3</v>
      </c>
      <c r="G34" s="152" t="s">
        <v>326</v>
      </c>
      <c r="H34" s="588">
        <v>421.82</v>
      </c>
      <c r="I34" s="588">
        <v>0</v>
      </c>
      <c r="L34" s="152" t="s">
        <v>326</v>
      </c>
      <c r="M34" s="152">
        <v>43</v>
      </c>
      <c r="N34" s="76">
        <f t="shared" si="2"/>
        <v>381065.3</v>
      </c>
      <c r="O34" s="70">
        <v>43</v>
      </c>
      <c r="P34" s="70" t="s">
        <v>326</v>
      </c>
      <c r="R34" s="70">
        <v>381065.3</v>
      </c>
      <c r="T34" s="587">
        <v>2014</v>
      </c>
      <c r="U34" s="587">
        <v>210043</v>
      </c>
      <c r="V34" s="588">
        <v>421.82</v>
      </c>
      <c r="X34" s="587">
        <v>2014</v>
      </c>
      <c r="Y34" s="587">
        <v>210043</v>
      </c>
      <c r="Z34" s="588">
        <v>0</v>
      </c>
    </row>
    <row r="35" spans="1:28">
      <c r="A35" s="70" t="s">
        <v>212</v>
      </c>
      <c r="B35" s="77">
        <v>44</v>
      </c>
      <c r="C35" s="72">
        <f t="shared" si="3"/>
        <v>5078600</v>
      </c>
      <c r="D35" s="73">
        <f t="shared" si="0"/>
        <v>426432.4</v>
      </c>
      <c r="E35" s="593">
        <f t="shared" si="1"/>
        <v>5505032.4000000004</v>
      </c>
      <c r="G35" s="152" t="s">
        <v>212</v>
      </c>
      <c r="H35" s="588">
        <v>5078.6000000000004</v>
      </c>
      <c r="I35" s="588">
        <v>0</v>
      </c>
      <c r="L35" s="152" t="s">
        <v>212</v>
      </c>
      <c r="M35" s="152">
        <v>44</v>
      </c>
      <c r="N35" s="76">
        <f t="shared" si="2"/>
        <v>426432.4</v>
      </c>
      <c r="O35" s="70">
        <v>44</v>
      </c>
      <c r="P35" s="70" t="s">
        <v>212</v>
      </c>
      <c r="R35" s="70">
        <v>426432.4</v>
      </c>
      <c r="T35" s="587">
        <v>2014</v>
      </c>
      <c r="U35" s="587">
        <v>210044</v>
      </c>
      <c r="V35" s="588">
        <v>5078.6000000000004</v>
      </c>
      <c r="X35" s="587">
        <v>2014</v>
      </c>
      <c r="Y35" s="587">
        <v>210044</v>
      </c>
      <c r="Z35" s="588">
        <v>0</v>
      </c>
    </row>
    <row r="36" spans="1:28">
      <c r="A36" s="70" t="s">
        <v>213</v>
      </c>
      <c r="B36" s="77">
        <v>45</v>
      </c>
      <c r="C36" s="72">
        <f t="shared" si="3"/>
        <v>0</v>
      </c>
      <c r="D36" s="73">
        <f t="shared" si="0"/>
        <v>17710.400000000001</v>
      </c>
      <c r="E36" s="593">
        <f t="shared" si="1"/>
        <v>17710.400000000001</v>
      </c>
      <c r="G36" s="152" t="s">
        <v>213</v>
      </c>
      <c r="H36" s="588">
        <v>0</v>
      </c>
      <c r="I36" s="588">
        <v>0</v>
      </c>
      <c r="L36" s="152" t="s">
        <v>213</v>
      </c>
      <c r="M36" s="152">
        <v>45</v>
      </c>
      <c r="N36" s="76">
        <f t="shared" si="2"/>
        <v>17710.400000000001</v>
      </c>
      <c r="O36" s="70">
        <v>45</v>
      </c>
      <c r="P36" s="70" t="s">
        <v>213</v>
      </c>
      <c r="R36" s="70">
        <v>17710.400000000001</v>
      </c>
      <c r="T36" s="587">
        <v>2014</v>
      </c>
      <c r="U36" s="587">
        <v>210045</v>
      </c>
      <c r="V36" s="588">
        <v>0</v>
      </c>
      <c r="X36" s="587">
        <v>2014</v>
      </c>
      <c r="Y36" s="587">
        <v>210045</v>
      </c>
      <c r="Z36" s="588">
        <v>0</v>
      </c>
    </row>
    <row r="37" spans="1:28">
      <c r="A37" s="70" t="s">
        <v>327</v>
      </c>
      <c r="B37" s="77">
        <v>48</v>
      </c>
      <c r="C37" s="72">
        <f t="shared" si="3"/>
        <v>0</v>
      </c>
      <c r="D37" s="73">
        <f t="shared" si="0"/>
        <v>275201.89999999997</v>
      </c>
      <c r="E37" s="593">
        <f t="shared" si="1"/>
        <v>275201.89999999997</v>
      </c>
      <c r="G37" s="152" t="s">
        <v>327</v>
      </c>
      <c r="H37" s="588">
        <v>0</v>
      </c>
      <c r="I37" s="588">
        <v>0</v>
      </c>
      <c r="L37" s="152" t="s">
        <v>327</v>
      </c>
      <c r="M37" s="152">
        <v>48</v>
      </c>
      <c r="N37" s="76">
        <f t="shared" si="2"/>
        <v>275201.89999999997</v>
      </c>
      <c r="O37" s="70">
        <v>48</v>
      </c>
      <c r="P37" s="70" t="s">
        <v>327</v>
      </c>
      <c r="R37" s="70">
        <v>275201.89999999997</v>
      </c>
      <c r="T37" s="587">
        <v>2014</v>
      </c>
      <c r="U37" s="587">
        <v>210048</v>
      </c>
      <c r="V37" s="588">
        <v>0</v>
      </c>
      <c r="X37" s="587">
        <v>2014</v>
      </c>
      <c r="Y37" s="587">
        <v>210048</v>
      </c>
      <c r="Z37" s="588">
        <v>0</v>
      </c>
    </row>
    <row r="38" spans="1:28">
      <c r="A38" s="70" t="s">
        <v>328</v>
      </c>
      <c r="B38" s="77">
        <v>49</v>
      </c>
      <c r="C38" s="72">
        <f t="shared" si="3"/>
        <v>0</v>
      </c>
      <c r="D38" s="73">
        <f t="shared" si="0"/>
        <v>283588</v>
      </c>
      <c r="E38" s="593">
        <f t="shared" si="1"/>
        <v>283588</v>
      </c>
      <c r="G38" s="152" t="s">
        <v>328</v>
      </c>
      <c r="H38" s="588">
        <v>0</v>
      </c>
      <c r="I38" s="588">
        <v>0</v>
      </c>
      <c r="L38" s="152" t="s">
        <v>328</v>
      </c>
      <c r="M38" s="152">
        <v>49</v>
      </c>
      <c r="N38" s="76">
        <f t="shared" si="2"/>
        <v>283588</v>
      </c>
      <c r="O38" s="70">
        <v>49</v>
      </c>
      <c r="P38" s="70" t="s">
        <v>328</v>
      </c>
      <c r="R38" s="70">
        <v>283588</v>
      </c>
      <c r="T38" s="587">
        <v>2014</v>
      </c>
      <c r="U38" s="587">
        <v>210049</v>
      </c>
      <c r="V38" s="588">
        <v>0</v>
      </c>
      <c r="X38" s="587">
        <v>2014</v>
      </c>
      <c r="Y38" s="587">
        <v>210049</v>
      </c>
      <c r="Z38" s="588">
        <v>0</v>
      </c>
    </row>
    <row r="39" spans="1:28">
      <c r="A39" s="83" t="s">
        <v>329</v>
      </c>
      <c r="B39" s="77">
        <v>51</v>
      </c>
      <c r="C39" s="72">
        <f t="shared" si="3"/>
        <v>0</v>
      </c>
      <c r="D39" s="73">
        <f t="shared" si="0"/>
        <v>214285.30000000002</v>
      </c>
      <c r="E39" s="593">
        <f t="shared" si="1"/>
        <v>214285.30000000002</v>
      </c>
      <c r="G39" s="152" t="s">
        <v>329</v>
      </c>
      <c r="H39" s="588">
        <v>0</v>
      </c>
      <c r="I39" s="588">
        <v>0</v>
      </c>
      <c r="L39" s="152" t="s">
        <v>329</v>
      </c>
      <c r="M39" s="152">
        <v>51</v>
      </c>
      <c r="N39" s="76">
        <f t="shared" si="2"/>
        <v>214285.30000000002</v>
      </c>
      <c r="O39" s="70">
        <v>51</v>
      </c>
      <c r="P39" s="70" t="s">
        <v>329</v>
      </c>
      <c r="R39" s="70">
        <v>214285.30000000002</v>
      </c>
      <c r="T39" s="587">
        <v>2014</v>
      </c>
      <c r="U39" s="587">
        <v>210051</v>
      </c>
      <c r="V39" s="588">
        <v>0</v>
      </c>
      <c r="X39" s="587">
        <v>2014</v>
      </c>
      <c r="Y39" s="587">
        <v>210051</v>
      </c>
      <c r="Z39" s="588">
        <v>0</v>
      </c>
    </row>
    <row r="40" spans="1:28">
      <c r="A40" s="70" t="s">
        <v>330</v>
      </c>
      <c r="B40" s="77">
        <v>55</v>
      </c>
      <c r="C40" s="72">
        <f t="shared" si="3"/>
        <v>0</v>
      </c>
      <c r="D40" s="73">
        <f t="shared" si="0"/>
        <v>118724.40000000002</v>
      </c>
      <c r="E40" s="593">
        <f t="shared" si="1"/>
        <v>118724.40000000002</v>
      </c>
      <c r="G40" s="152" t="s">
        <v>330</v>
      </c>
      <c r="H40" s="588">
        <v>0</v>
      </c>
      <c r="I40" s="588">
        <v>0</v>
      </c>
      <c r="L40" s="152" t="s">
        <v>330</v>
      </c>
      <c r="M40" s="152">
        <v>55</v>
      </c>
      <c r="N40" s="76">
        <f t="shared" si="2"/>
        <v>118724.40000000002</v>
      </c>
      <c r="O40" s="70">
        <v>55</v>
      </c>
      <c r="P40" s="70" t="s">
        <v>330</v>
      </c>
      <c r="R40" s="70">
        <v>118724.40000000002</v>
      </c>
      <c r="T40" s="587">
        <v>2014</v>
      </c>
      <c r="U40" s="587">
        <v>210055</v>
      </c>
      <c r="V40" s="588">
        <v>0</v>
      </c>
      <c r="X40" s="587">
        <v>2014</v>
      </c>
      <c r="Y40" s="587">
        <v>210055</v>
      </c>
      <c r="Z40" s="588">
        <v>0</v>
      </c>
    </row>
    <row r="41" spans="1:28">
      <c r="A41" s="70" t="s">
        <v>331</v>
      </c>
      <c r="B41" s="77">
        <v>60</v>
      </c>
      <c r="C41" s="72">
        <f>(H41+I41)*1000</f>
        <v>0</v>
      </c>
      <c r="D41" s="73">
        <f>N41</f>
        <v>46176.442000000003</v>
      </c>
      <c r="E41" s="593">
        <f>C41+D41</f>
        <v>46176.442000000003</v>
      </c>
      <c r="G41" s="152" t="s">
        <v>331</v>
      </c>
      <c r="H41" s="588">
        <v>0</v>
      </c>
      <c r="I41" s="588">
        <v>0</v>
      </c>
      <c r="L41" s="152" t="s">
        <v>331</v>
      </c>
      <c r="M41" s="152">
        <v>60</v>
      </c>
      <c r="N41" s="76">
        <f>R41</f>
        <v>46176.442000000003</v>
      </c>
      <c r="O41" s="70">
        <v>60</v>
      </c>
      <c r="P41" s="70" t="s">
        <v>331</v>
      </c>
      <c r="R41" s="70">
        <v>46176.442000000003</v>
      </c>
      <c r="T41" s="587">
        <v>2014</v>
      </c>
      <c r="U41" s="587">
        <v>210060</v>
      </c>
      <c r="V41" s="588">
        <v>0</v>
      </c>
      <c r="X41" s="587">
        <v>2014</v>
      </c>
      <c r="Y41" s="587">
        <v>210060</v>
      </c>
      <c r="Z41" s="588">
        <v>0</v>
      </c>
    </row>
    <row r="42" spans="1:28">
      <c r="A42" s="83" t="s">
        <v>214</v>
      </c>
      <c r="B42" s="77">
        <v>61</v>
      </c>
      <c r="C42" s="72">
        <f>(H42+I42)*1000</f>
        <v>0</v>
      </c>
      <c r="D42" s="73">
        <f>N42</f>
        <v>95474.2</v>
      </c>
      <c r="E42" s="593">
        <f>C42+D42</f>
        <v>95474.2</v>
      </c>
      <c r="G42" s="152" t="s">
        <v>214</v>
      </c>
      <c r="H42" s="588">
        <v>0</v>
      </c>
      <c r="I42" s="588">
        <v>0</v>
      </c>
      <c r="L42" s="152" t="s">
        <v>214</v>
      </c>
      <c r="M42" s="152">
        <v>61</v>
      </c>
      <c r="N42" s="76">
        <f>R42</f>
        <v>95474.2</v>
      </c>
      <c r="O42" s="70">
        <v>61</v>
      </c>
      <c r="P42" s="70" t="s">
        <v>214</v>
      </c>
      <c r="R42" s="70">
        <v>95474.2</v>
      </c>
      <c r="T42" s="587">
        <v>2014</v>
      </c>
      <c r="U42" s="587">
        <v>210061</v>
      </c>
      <c r="V42" s="588">
        <v>0</v>
      </c>
      <c r="X42" s="587">
        <v>2014</v>
      </c>
      <c r="Y42" s="587">
        <v>210061</v>
      </c>
      <c r="Z42" s="588">
        <v>0</v>
      </c>
    </row>
    <row r="43" spans="1:28">
      <c r="A43" s="83" t="s">
        <v>332</v>
      </c>
      <c r="B43" s="77">
        <v>62</v>
      </c>
      <c r="C43" s="72">
        <f t="shared" si="3"/>
        <v>0</v>
      </c>
      <c r="D43" s="73">
        <f t="shared" si="0"/>
        <v>249258.4</v>
      </c>
      <c r="E43" s="593">
        <f t="shared" si="1"/>
        <v>249258.4</v>
      </c>
      <c r="G43" s="152" t="s">
        <v>332</v>
      </c>
      <c r="H43" s="588">
        <v>0</v>
      </c>
      <c r="I43" s="588">
        <v>0</v>
      </c>
      <c r="L43" s="152" t="s">
        <v>332</v>
      </c>
      <c r="M43" s="152">
        <v>62</v>
      </c>
      <c r="N43" s="76">
        <f t="shared" si="2"/>
        <v>249258.4</v>
      </c>
      <c r="O43" s="70">
        <v>62</v>
      </c>
      <c r="P43" s="70" t="s">
        <v>332</v>
      </c>
      <c r="R43" s="70">
        <v>249258.4</v>
      </c>
      <c r="T43" s="587">
        <v>2014</v>
      </c>
      <c r="U43" s="587">
        <v>210062</v>
      </c>
      <c r="V43" s="588">
        <v>0</v>
      </c>
      <c r="X43" s="587">
        <v>2014</v>
      </c>
      <c r="Y43" s="587">
        <v>210062</v>
      </c>
      <c r="Z43" s="588">
        <v>0</v>
      </c>
    </row>
    <row r="44" spans="1:28">
      <c r="A44" s="70" t="s">
        <v>333</v>
      </c>
      <c r="B44" s="77">
        <v>63</v>
      </c>
      <c r="C44" s="72">
        <f t="shared" si="3"/>
        <v>0</v>
      </c>
      <c r="D44" s="73">
        <f t="shared" si="0"/>
        <v>354785.60000000003</v>
      </c>
      <c r="E44" s="593">
        <f t="shared" si="1"/>
        <v>354785.60000000003</v>
      </c>
      <c r="G44" s="152" t="s">
        <v>333</v>
      </c>
      <c r="H44" s="588">
        <v>0</v>
      </c>
      <c r="I44" s="588">
        <v>0</v>
      </c>
      <c r="L44" s="152" t="s">
        <v>333</v>
      </c>
      <c r="M44" s="152">
        <v>63</v>
      </c>
      <c r="N44" s="76">
        <f t="shared" si="2"/>
        <v>354785.60000000003</v>
      </c>
      <c r="O44" s="70">
        <v>63</v>
      </c>
      <c r="P44" s="70" t="s">
        <v>333</v>
      </c>
      <c r="R44" s="70">
        <v>354785.60000000003</v>
      </c>
      <c r="T44" s="587">
        <v>2014</v>
      </c>
      <c r="U44" s="587">
        <v>210063</v>
      </c>
      <c r="V44" s="588">
        <v>0</v>
      </c>
      <c r="X44" s="587">
        <v>2014</v>
      </c>
      <c r="Y44" s="587">
        <v>210063</v>
      </c>
      <c r="Z44" s="588">
        <v>0</v>
      </c>
    </row>
    <row r="45" spans="1:28">
      <c r="A45" s="70" t="s">
        <v>335</v>
      </c>
      <c r="B45" s="77">
        <v>2001</v>
      </c>
      <c r="C45" s="72">
        <f t="shared" si="3"/>
        <v>3801620.0000000005</v>
      </c>
      <c r="D45" s="73">
        <f t="shared" si="0"/>
        <v>117995.40000000001</v>
      </c>
      <c r="E45" s="593">
        <f t="shared" si="1"/>
        <v>3919615.4000000004</v>
      </c>
      <c r="G45" s="152" t="s">
        <v>335</v>
      </c>
      <c r="H45" s="588">
        <v>3801.6200000000003</v>
      </c>
      <c r="I45" s="588">
        <v>0</v>
      </c>
      <c r="L45" s="152" t="s">
        <v>335</v>
      </c>
      <c r="M45" s="152">
        <v>2001</v>
      </c>
      <c r="N45" s="76">
        <f t="shared" si="2"/>
        <v>117995.40000000001</v>
      </c>
      <c r="O45" s="70">
        <v>2001</v>
      </c>
      <c r="P45" s="70" t="s">
        <v>335</v>
      </c>
      <c r="R45" s="70">
        <v>117995.40000000001</v>
      </c>
      <c r="T45" s="587">
        <v>2014</v>
      </c>
      <c r="U45" s="587">
        <v>2001</v>
      </c>
      <c r="V45" s="588">
        <v>3801.6200000000003</v>
      </c>
      <c r="X45" s="587">
        <v>2014</v>
      </c>
      <c r="Y45" s="587">
        <v>2001</v>
      </c>
      <c r="Z45" s="588">
        <v>0</v>
      </c>
    </row>
    <row r="46" spans="1:28">
      <c r="A46" s="83" t="s">
        <v>336</v>
      </c>
      <c r="B46" s="77">
        <v>2004</v>
      </c>
      <c r="C46" s="72">
        <f t="shared" si="3"/>
        <v>4767169.9999999991</v>
      </c>
      <c r="D46" s="73">
        <f t="shared" si="0"/>
        <v>311855.40000000002</v>
      </c>
      <c r="E46" s="593">
        <f t="shared" si="1"/>
        <v>5079025.3999999994</v>
      </c>
      <c r="G46" s="152" t="s">
        <v>336</v>
      </c>
      <c r="H46" s="588">
        <v>4767.1699999999992</v>
      </c>
      <c r="I46" s="588">
        <v>0</v>
      </c>
      <c r="L46" s="152" t="s">
        <v>336</v>
      </c>
      <c r="M46" s="152">
        <v>2004</v>
      </c>
      <c r="N46" s="76">
        <f t="shared" si="2"/>
        <v>311855.40000000002</v>
      </c>
      <c r="O46" s="70">
        <v>2004</v>
      </c>
      <c r="P46" s="70" t="s">
        <v>336</v>
      </c>
      <c r="R46" s="70">
        <v>311855.40000000002</v>
      </c>
      <c r="T46" s="587">
        <v>2014</v>
      </c>
      <c r="U46" s="587">
        <v>2004</v>
      </c>
      <c r="V46" s="588">
        <v>4767.1699999999992</v>
      </c>
      <c r="X46" s="587">
        <v>2014</v>
      </c>
      <c r="Y46" s="587">
        <v>2004</v>
      </c>
      <c r="Z46" s="588">
        <v>0</v>
      </c>
    </row>
    <row r="47" spans="1:28">
      <c r="A47" s="70" t="s">
        <v>340</v>
      </c>
      <c r="B47" s="70">
        <v>5050</v>
      </c>
      <c r="C47" s="72">
        <f t="shared" si="3"/>
        <v>0</v>
      </c>
      <c r="D47" s="73">
        <f t="shared" si="0"/>
        <v>348706.2</v>
      </c>
      <c r="E47" s="593">
        <f t="shared" si="1"/>
        <v>348706.2</v>
      </c>
      <c r="G47" s="152" t="s">
        <v>340</v>
      </c>
      <c r="H47" s="588">
        <v>0</v>
      </c>
      <c r="I47" s="588">
        <v>0</v>
      </c>
      <c r="L47" s="152" t="s">
        <v>340</v>
      </c>
      <c r="M47" s="152">
        <v>5050</v>
      </c>
      <c r="N47" s="76">
        <f>R47</f>
        <v>348706.2</v>
      </c>
      <c r="O47" s="70">
        <v>5050</v>
      </c>
      <c r="P47" s="70" t="s">
        <v>340</v>
      </c>
      <c r="R47" s="70">
        <v>348706.2</v>
      </c>
      <c r="T47" s="587">
        <v>2014</v>
      </c>
      <c r="U47" s="587">
        <v>5050</v>
      </c>
      <c r="V47" s="588">
        <v>0</v>
      </c>
      <c r="X47" s="587">
        <v>2014</v>
      </c>
      <c r="Y47" s="587">
        <v>5050</v>
      </c>
      <c r="Z47" s="588">
        <v>0</v>
      </c>
    </row>
    <row r="48" spans="1:28">
      <c r="A48" s="596" t="s">
        <v>215</v>
      </c>
      <c r="C48" s="78">
        <f>SUM(C3:C47)</f>
        <v>291891010</v>
      </c>
      <c r="D48" s="78">
        <f>SUM(D2:D47)</f>
        <v>14847606.132000003</v>
      </c>
      <c r="E48" s="594">
        <f>SUM(E2:E47)</f>
        <v>306738616.13199979</v>
      </c>
      <c r="G48" s="596" t="s">
        <v>215</v>
      </c>
      <c r="H48" s="78">
        <f>SUM(H2:H47)</f>
        <v>255857.46000000002</v>
      </c>
      <c r="I48" s="78">
        <f>SUM(I2:I47)</f>
        <v>36033.549999999996</v>
      </c>
      <c r="L48" s="74" t="s">
        <v>215</v>
      </c>
      <c r="M48" s="75"/>
      <c r="N48" s="76">
        <f>SUM(N2:N47)</f>
        <v>14847606.132000003</v>
      </c>
      <c r="P48" s="586" t="s">
        <v>215</v>
      </c>
      <c r="R48" s="70">
        <f>SUM(R2:R47)</f>
        <v>14847606.132000003</v>
      </c>
      <c r="V48" s="590">
        <f>SUM(V2:V47)</f>
        <v>255857.46000000002</v>
      </c>
      <c r="Z48" s="590">
        <f>SUM(Z2:Z47)</f>
        <v>36033.549999999996</v>
      </c>
      <c r="AA48" s="590">
        <f>V48+Z48</f>
        <v>291891.01</v>
      </c>
      <c r="AB48" s="592">
        <f>AA48*1000</f>
        <v>291891010</v>
      </c>
    </row>
    <row r="51" spans="14:14">
      <c r="N51" s="85"/>
    </row>
  </sheetData>
  <sortState ref="A41:AB42">
    <sortCondition ref="B41:B42"/>
  </sortState>
  <pageMargins left="0.7" right="0.7" top="0.75" bottom="0.75" header="0.3" footer="0.3"/>
  <pageSetup scale="9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
  <sheetViews>
    <sheetView zoomScale="90" zoomScaleNormal="90" workbookViewId="0">
      <selection activeCell="L64" sqref="L64"/>
    </sheetView>
  </sheetViews>
  <sheetFormatPr defaultRowHeight="18" customHeight="1"/>
  <cols>
    <col min="1" max="1" width="8.28515625" style="458" customWidth="1"/>
    <col min="2" max="2" width="55.42578125" bestFit="1" customWidth="1"/>
    <col min="3" max="3" width="7.140625" customWidth="1"/>
    <col min="4" max="4" width="5.28515625" customWidth="1"/>
    <col min="5" max="5" width="12.42578125" customWidth="1"/>
    <col min="6" max="6" width="18.5703125" customWidth="1"/>
    <col min="7" max="7" width="23.5703125" customWidth="1"/>
    <col min="8" max="8" width="17.140625" style="425" customWidth="1"/>
    <col min="9" max="9" width="21.140625" style="425" customWidth="1"/>
    <col min="10" max="10" width="19.85546875" style="425" customWidth="1"/>
    <col min="11" max="11" width="17.5703125" style="425" customWidth="1"/>
  </cols>
  <sheetData>
    <row r="1" spans="1:11" ht="18" customHeight="1">
      <c r="C1" s="4"/>
      <c r="D1" s="3"/>
      <c r="E1" s="4"/>
      <c r="F1" s="4"/>
      <c r="G1" s="4"/>
      <c r="H1" s="423"/>
      <c r="I1" s="423"/>
      <c r="J1" s="423"/>
      <c r="K1" s="423"/>
    </row>
    <row r="2" spans="1:11" ht="18" customHeight="1">
      <c r="D2" s="651" t="s">
        <v>371</v>
      </c>
      <c r="E2" s="652"/>
      <c r="F2" s="652"/>
      <c r="G2" s="652"/>
      <c r="H2" s="652"/>
    </row>
    <row r="3" spans="1:11" ht="18" customHeight="1">
      <c r="B3" s="2" t="s">
        <v>0</v>
      </c>
    </row>
    <row r="5" spans="1:11" ht="18" customHeight="1">
      <c r="B5" s="5" t="s">
        <v>40</v>
      </c>
      <c r="C5" s="653" t="s">
        <v>790</v>
      </c>
      <c r="D5" s="654"/>
      <c r="E5" s="654"/>
      <c r="F5" s="654"/>
      <c r="G5" s="655"/>
    </row>
    <row r="6" spans="1:11" ht="18" customHeight="1">
      <c r="B6" s="5" t="s">
        <v>3</v>
      </c>
      <c r="C6" s="671" t="s">
        <v>791</v>
      </c>
      <c r="D6" s="657"/>
      <c r="E6" s="657"/>
      <c r="F6" s="657"/>
      <c r="G6" s="658"/>
    </row>
    <row r="7" spans="1:11" ht="18" customHeight="1">
      <c r="B7" s="5" t="s">
        <v>4</v>
      </c>
      <c r="C7" s="716">
        <v>627</v>
      </c>
      <c r="D7" s="717"/>
      <c r="E7" s="717"/>
      <c r="F7" s="717"/>
      <c r="G7" s="718"/>
    </row>
    <row r="9" spans="1:11" ht="18" customHeight="1">
      <c r="B9" s="5" t="s">
        <v>1</v>
      </c>
      <c r="C9" s="653" t="s">
        <v>773</v>
      </c>
      <c r="D9" s="654"/>
      <c r="E9" s="654"/>
      <c r="F9" s="654"/>
      <c r="G9" s="655"/>
    </row>
    <row r="10" spans="1:11" ht="18" customHeight="1">
      <c r="B10" s="5" t="s">
        <v>2</v>
      </c>
      <c r="C10" s="674" t="s">
        <v>774</v>
      </c>
      <c r="D10" s="663"/>
      <c r="E10" s="663"/>
      <c r="F10" s="663"/>
      <c r="G10" s="664"/>
    </row>
    <row r="11" spans="1:11" ht="18" customHeight="1">
      <c r="B11" s="5" t="s">
        <v>32</v>
      </c>
      <c r="C11" s="670" t="s">
        <v>775</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23"/>
    </row>
    <row r="14" spans="1:11" ht="18" customHeight="1">
      <c r="B14" s="7"/>
    </row>
    <row r="15" spans="1:11" ht="18" customHeight="1">
      <c r="B15" s="7"/>
    </row>
    <row r="16" spans="1:11" ht="45.2" customHeight="1">
      <c r="A16" s="459" t="s">
        <v>181</v>
      </c>
      <c r="B16" s="4"/>
      <c r="C16" s="4"/>
      <c r="D16" s="4"/>
      <c r="E16" s="4"/>
      <c r="F16" s="9" t="s">
        <v>9</v>
      </c>
      <c r="G16" s="9" t="s">
        <v>37</v>
      </c>
      <c r="H16" s="426" t="s">
        <v>29</v>
      </c>
      <c r="I16" s="426" t="s">
        <v>30</v>
      </c>
      <c r="J16" s="426" t="s">
        <v>33</v>
      </c>
      <c r="K16" s="426" t="s">
        <v>34</v>
      </c>
    </row>
    <row r="17" spans="1:11" ht="18" customHeight="1">
      <c r="A17" s="460" t="s">
        <v>184</v>
      </c>
      <c r="B17" s="2" t="s">
        <v>182</v>
      </c>
    </row>
    <row r="18" spans="1:11" ht="18" customHeight="1">
      <c r="A18" s="461" t="s">
        <v>185</v>
      </c>
      <c r="B18" s="341" t="s">
        <v>183</v>
      </c>
      <c r="F18" s="14" t="s">
        <v>73</v>
      </c>
      <c r="G18" s="14" t="s">
        <v>73</v>
      </c>
      <c r="H18" s="427">
        <v>1500323</v>
      </c>
      <c r="I18" s="428">
        <v>0</v>
      </c>
      <c r="J18" s="427">
        <v>1282964</v>
      </c>
      <c r="K18" s="429">
        <f>(H18+I18)-J18</f>
        <v>217359</v>
      </c>
    </row>
    <row r="19" spans="1:11" ht="45.2" customHeight="1">
      <c r="A19" s="459" t="s">
        <v>8</v>
      </c>
      <c r="B19" s="4"/>
      <c r="C19" s="4"/>
      <c r="D19" s="4"/>
      <c r="E19" s="4"/>
      <c r="F19" s="9" t="s">
        <v>9</v>
      </c>
      <c r="G19" s="9" t="s">
        <v>37</v>
      </c>
      <c r="H19" s="426" t="s">
        <v>29</v>
      </c>
      <c r="I19" s="426" t="s">
        <v>30</v>
      </c>
      <c r="J19" s="426" t="s">
        <v>33</v>
      </c>
      <c r="K19" s="426" t="s">
        <v>34</v>
      </c>
    </row>
    <row r="20" spans="1:11" ht="18" customHeight="1">
      <c r="A20" s="460" t="s">
        <v>74</v>
      </c>
      <c r="B20" s="2" t="s">
        <v>41</v>
      </c>
    </row>
    <row r="21" spans="1:11" ht="18" customHeight="1">
      <c r="A21" s="461" t="s">
        <v>75</v>
      </c>
      <c r="B21" s="341" t="s">
        <v>42</v>
      </c>
      <c r="F21" s="14">
        <v>68</v>
      </c>
      <c r="G21" s="14">
        <v>335</v>
      </c>
      <c r="H21" s="14">
        <v>2479.7811013684068</v>
      </c>
      <c r="I21" s="14">
        <v>1274.607486103361</v>
      </c>
      <c r="J21" s="14">
        <v>0</v>
      </c>
      <c r="K21" s="429">
        <f t="shared" ref="K21:K34" si="0">(H21+I21)-J21</f>
        <v>3754.388587471768</v>
      </c>
    </row>
    <row r="22" spans="1:11" ht="18" customHeight="1">
      <c r="A22" s="461" t="s">
        <v>76</v>
      </c>
      <c r="B22" t="s">
        <v>6</v>
      </c>
      <c r="F22" s="14"/>
      <c r="G22" s="14"/>
      <c r="H22" s="427"/>
      <c r="I22" s="428">
        <f>H22*F$114</f>
        <v>0</v>
      </c>
      <c r="J22" s="427"/>
      <c r="K22" s="429">
        <f t="shared" si="0"/>
        <v>0</v>
      </c>
    </row>
    <row r="23" spans="1:11" ht="18" customHeight="1">
      <c r="A23" s="461" t="s">
        <v>77</v>
      </c>
      <c r="B23" t="s">
        <v>43</v>
      </c>
      <c r="F23" s="14"/>
      <c r="G23" s="14"/>
      <c r="H23" s="427"/>
      <c r="I23" s="428">
        <f>H23*F$114</f>
        <v>0</v>
      </c>
      <c r="J23" s="427"/>
      <c r="K23" s="429">
        <f t="shared" si="0"/>
        <v>0</v>
      </c>
    </row>
    <row r="24" spans="1:11" ht="18" customHeight="1">
      <c r="A24" s="461" t="s">
        <v>78</v>
      </c>
      <c r="B24" t="s">
        <v>44</v>
      </c>
      <c r="F24" s="14"/>
      <c r="G24" s="14"/>
      <c r="H24" s="427"/>
      <c r="I24" s="428">
        <f>H24*F$114</f>
        <v>0</v>
      </c>
      <c r="J24" s="427"/>
      <c r="K24" s="429">
        <f t="shared" si="0"/>
        <v>0</v>
      </c>
    </row>
    <row r="25" spans="1:11" ht="18" customHeight="1">
      <c r="A25" s="461" t="s">
        <v>79</v>
      </c>
      <c r="B25" t="s">
        <v>5</v>
      </c>
      <c r="F25" s="14"/>
      <c r="G25" s="14"/>
      <c r="H25" s="427"/>
      <c r="I25" s="427"/>
      <c r="J25" s="427"/>
      <c r="K25" s="429">
        <f t="shared" si="0"/>
        <v>0</v>
      </c>
    </row>
    <row r="26" spans="1:11" ht="18" customHeight="1">
      <c r="A26" s="461" t="s">
        <v>80</v>
      </c>
      <c r="B26" t="s">
        <v>45</v>
      </c>
      <c r="F26" s="14"/>
      <c r="G26" s="14"/>
      <c r="H26" s="427"/>
      <c r="I26" s="428">
        <f>H26*F$114</f>
        <v>0</v>
      </c>
      <c r="J26" s="427"/>
      <c r="K26" s="429">
        <f t="shared" si="0"/>
        <v>0</v>
      </c>
    </row>
    <row r="27" spans="1:11" ht="18" customHeight="1">
      <c r="A27" s="461" t="s">
        <v>81</v>
      </c>
      <c r="B27" t="s">
        <v>46</v>
      </c>
      <c r="F27" s="14"/>
      <c r="G27" s="14"/>
      <c r="H27" s="427"/>
      <c r="I27" s="428">
        <f>H27*F$114</f>
        <v>0</v>
      </c>
      <c r="J27" s="427"/>
      <c r="K27" s="429">
        <f t="shared" si="0"/>
        <v>0</v>
      </c>
    </row>
    <row r="28" spans="1:11" ht="18" customHeight="1">
      <c r="A28" s="461" t="s">
        <v>82</v>
      </c>
      <c r="B28" t="s">
        <v>47</v>
      </c>
      <c r="F28" s="14"/>
      <c r="G28" s="14"/>
      <c r="H28" s="427"/>
      <c r="I28" s="428">
        <f>H28*F$114</f>
        <v>0</v>
      </c>
      <c r="J28" s="427"/>
      <c r="K28" s="429">
        <f t="shared" si="0"/>
        <v>0</v>
      </c>
    </row>
    <row r="29" spans="1:11" ht="18" customHeight="1">
      <c r="A29" s="461" t="s">
        <v>83</v>
      </c>
      <c r="B29" t="s">
        <v>48</v>
      </c>
      <c r="F29" s="14">
        <v>2</v>
      </c>
      <c r="G29" s="14">
        <v>8</v>
      </c>
      <c r="H29" s="14">
        <v>72.934738275541378</v>
      </c>
      <c r="I29" s="14">
        <v>37.488455473628271</v>
      </c>
      <c r="J29" s="14">
        <v>0</v>
      </c>
      <c r="K29" s="429">
        <f t="shared" si="0"/>
        <v>110.42319374916966</v>
      </c>
    </row>
    <row r="30" spans="1:11" ht="18" customHeight="1">
      <c r="A30" s="461" t="s">
        <v>84</v>
      </c>
      <c r="B30" s="636"/>
      <c r="C30" s="637"/>
      <c r="D30" s="638"/>
      <c r="F30" s="14"/>
      <c r="G30" s="14"/>
      <c r="H30" s="427"/>
      <c r="I30" s="428">
        <f>H30*F$114</f>
        <v>0</v>
      </c>
      <c r="J30" s="427"/>
      <c r="K30" s="429">
        <f t="shared" si="0"/>
        <v>0</v>
      </c>
    </row>
    <row r="31" spans="1:11" ht="18" customHeight="1">
      <c r="A31" s="461" t="s">
        <v>133</v>
      </c>
      <c r="B31" s="636"/>
      <c r="C31" s="637"/>
      <c r="D31" s="638"/>
      <c r="F31" s="14"/>
      <c r="G31" s="14"/>
      <c r="H31" s="427"/>
      <c r="I31" s="428">
        <f>H31*F$114</f>
        <v>0</v>
      </c>
      <c r="J31" s="427"/>
      <c r="K31" s="429">
        <f t="shared" si="0"/>
        <v>0</v>
      </c>
    </row>
    <row r="32" spans="1:11" ht="18" customHeight="1">
      <c r="A32" s="461" t="s">
        <v>134</v>
      </c>
      <c r="B32" s="363"/>
      <c r="C32" s="364"/>
      <c r="D32" s="365"/>
      <c r="F32" s="14"/>
      <c r="G32" s="342" t="s">
        <v>85</v>
      </c>
      <c r="H32" s="427"/>
      <c r="I32" s="428">
        <f>H32*F$114</f>
        <v>0</v>
      </c>
      <c r="J32" s="427"/>
      <c r="K32" s="429">
        <f t="shared" si="0"/>
        <v>0</v>
      </c>
    </row>
    <row r="33" spans="1:11" ht="18" customHeight="1">
      <c r="A33" s="461" t="s">
        <v>135</v>
      </c>
      <c r="B33" s="363"/>
      <c r="C33" s="364"/>
      <c r="D33" s="365"/>
      <c r="F33" s="14"/>
      <c r="G33" s="342" t="s">
        <v>85</v>
      </c>
      <c r="H33" s="427"/>
      <c r="I33" s="428">
        <f>H33*F$114</f>
        <v>0</v>
      </c>
      <c r="J33" s="427"/>
      <c r="K33" s="429">
        <f t="shared" si="0"/>
        <v>0</v>
      </c>
    </row>
    <row r="34" spans="1:11" ht="18" customHeight="1">
      <c r="A34" s="461" t="s">
        <v>136</v>
      </c>
      <c r="B34" s="636"/>
      <c r="C34" s="637"/>
      <c r="D34" s="638"/>
      <c r="F34" s="14"/>
      <c r="G34" s="342" t="s">
        <v>85</v>
      </c>
      <c r="H34" s="427"/>
      <c r="I34" s="428">
        <f>H34*F$114</f>
        <v>0</v>
      </c>
      <c r="J34" s="427"/>
      <c r="K34" s="429">
        <f t="shared" si="0"/>
        <v>0</v>
      </c>
    </row>
    <row r="35" spans="1:11" ht="18" customHeight="1">
      <c r="K35" s="462"/>
    </row>
    <row r="36" spans="1:11" ht="18" customHeight="1">
      <c r="A36" s="460" t="s">
        <v>137</v>
      </c>
      <c r="B36" s="2" t="s">
        <v>138</v>
      </c>
      <c r="E36" s="2" t="s">
        <v>7</v>
      </c>
      <c r="F36" s="18">
        <f t="shared" ref="F36:K36" si="1">SUM(F21:F34)</f>
        <v>70</v>
      </c>
      <c r="G36" s="18">
        <f t="shared" si="1"/>
        <v>343</v>
      </c>
      <c r="H36" s="429">
        <f t="shared" si="1"/>
        <v>2552.7158396439481</v>
      </c>
      <c r="I36" s="429">
        <f t="shared" si="1"/>
        <v>1312.0959415769892</v>
      </c>
      <c r="J36" s="429">
        <f t="shared" si="1"/>
        <v>0</v>
      </c>
      <c r="K36" s="429">
        <f t="shared" si="1"/>
        <v>3864.8117812209375</v>
      </c>
    </row>
    <row r="37" spans="1:11" ht="18" customHeight="1" thickBot="1">
      <c r="B37" s="2"/>
      <c r="F37" s="19"/>
      <c r="G37" s="19"/>
      <c r="H37" s="430"/>
      <c r="I37" s="430"/>
      <c r="J37" s="430"/>
      <c r="K37" s="463"/>
    </row>
    <row r="38" spans="1:11" ht="42.75" customHeight="1">
      <c r="F38" s="9" t="s">
        <v>9</v>
      </c>
      <c r="G38" s="9" t="s">
        <v>37</v>
      </c>
      <c r="H38" s="426" t="s">
        <v>29</v>
      </c>
      <c r="I38" s="426" t="s">
        <v>30</v>
      </c>
      <c r="J38" s="426" t="s">
        <v>33</v>
      </c>
      <c r="K38" s="426" t="s">
        <v>34</v>
      </c>
    </row>
    <row r="39" spans="1:11" ht="18.75" customHeight="1">
      <c r="A39" s="460" t="s">
        <v>86</v>
      </c>
      <c r="B39" s="2" t="s">
        <v>49</v>
      </c>
    </row>
    <row r="40" spans="1:11" ht="18" customHeight="1">
      <c r="A40" s="461" t="s">
        <v>87</v>
      </c>
      <c r="B40" t="s">
        <v>31</v>
      </c>
      <c r="F40" s="14"/>
      <c r="G40" s="14"/>
      <c r="H40" s="427"/>
      <c r="I40" s="428">
        <v>0</v>
      </c>
      <c r="J40" s="427"/>
      <c r="K40" s="429">
        <f t="shared" ref="K40:K47" si="2">(H40+I40)-J40</f>
        <v>0</v>
      </c>
    </row>
    <row r="41" spans="1:11" ht="18" customHeight="1">
      <c r="A41" s="461" t="s">
        <v>88</v>
      </c>
      <c r="B41" s="641" t="s">
        <v>50</v>
      </c>
      <c r="C41" s="649"/>
      <c r="F41" s="14">
        <v>124.8</v>
      </c>
      <c r="G41" s="14">
        <v>5</v>
      </c>
      <c r="H41" s="427">
        <v>7767</v>
      </c>
      <c r="I41" s="428">
        <v>15099.999999999998</v>
      </c>
      <c r="J41" s="427">
        <v>0</v>
      </c>
      <c r="K41" s="429">
        <f t="shared" si="2"/>
        <v>22867</v>
      </c>
    </row>
    <row r="42" spans="1:11" ht="18" customHeight="1">
      <c r="A42" s="461" t="s">
        <v>89</v>
      </c>
      <c r="B42" s="341" t="s">
        <v>11</v>
      </c>
      <c r="F42" s="14">
        <v>126</v>
      </c>
      <c r="G42" s="14">
        <v>79</v>
      </c>
      <c r="H42" s="14">
        <v>7324.9917889521348</v>
      </c>
      <c r="I42" s="14">
        <v>3765.0457795213979</v>
      </c>
      <c r="J42" s="14">
        <v>0</v>
      </c>
      <c r="K42" s="429">
        <f t="shared" si="2"/>
        <v>11090.037568473534</v>
      </c>
    </row>
    <row r="43" spans="1:11" ht="18" customHeight="1">
      <c r="A43" s="461" t="s">
        <v>90</v>
      </c>
      <c r="B43" s="343" t="s">
        <v>10</v>
      </c>
      <c r="C43" s="10"/>
      <c r="D43" s="10"/>
      <c r="F43" s="14"/>
      <c r="G43" s="14"/>
      <c r="H43" s="427"/>
      <c r="I43" s="428">
        <v>0</v>
      </c>
      <c r="J43" s="427"/>
      <c r="K43" s="429">
        <f t="shared" si="2"/>
        <v>0</v>
      </c>
    </row>
    <row r="44" spans="1:11" ht="18" customHeight="1">
      <c r="A44" s="461" t="s">
        <v>91</v>
      </c>
      <c r="B44" s="636"/>
      <c r="C44" s="637"/>
      <c r="D44" s="638"/>
      <c r="F44" s="14"/>
      <c r="G44" s="14"/>
      <c r="H44" s="427"/>
      <c r="I44" s="428">
        <v>0</v>
      </c>
      <c r="J44" s="427"/>
      <c r="K44" s="440">
        <f t="shared" si="2"/>
        <v>0</v>
      </c>
    </row>
    <row r="45" spans="1:11" ht="18" customHeight="1">
      <c r="A45" s="461" t="s">
        <v>139</v>
      </c>
      <c r="B45" s="636"/>
      <c r="C45" s="637"/>
      <c r="D45" s="638"/>
      <c r="F45" s="14"/>
      <c r="G45" s="14"/>
      <c r="H45" s="427"/>
      <c r="I45" s="428">
        <v>0</v>
      </c>
      <c r="J45" s="427"/>
      <c r="K45" s="429">
        <f t="shared" si="2"/>
        <v>0</v>
      </c>
    </row>
    <row r="46" spans="1:11" ht="18" customHeight="1">
      <c r="A46" s="461" t="s">
        <v>140</v>
      </c>
      <c r="B46" s="636"/>
      <c r="C46" s="637"/>
      <c r="D46" s="638"/>
      <c r="F46" s="14"/>
      <c r="G46" s="14"/>
      <c r="H46" s="427"/>
      <c r="I46" s="428">
        <v>0</v>
      </c>
      <c r="J46" s="427"/>
      <c r="K46" s="429">
        <f t="shared" si="2"/>
        <v>0</v>
      </c>
    </row>
    <row r="47" spans="1:11" ht="18" customHeight="1">
      <c r="A47" s="461" t="s">
        <v>141</v>
      </c>
      <c r="B47" s="636"/>
      <c r="C47" s="637"/>
      <c r="D47" s="638"/>
      <c r="F47" s="14"/>
      <c r="G47" s="14"/>
      <c r="H47" s="427"/>
      <c r="I47" s="428">
        <v>0</v>
      </c>
      <c r="J47" s="427"/>
      <c r="K47" s="429">
        <f t="shared" si="2"/>
        <v>0</v>
      </c>
    </row>
    <row r="49" spans="1:11" ht="18" customHeight="1">
      <c r="A49" s="460" t="s">
        <v>142</v>
      </c>
      <c r="B49" s="2" t="s">
        <v>143</v>
      </c>
      <c r="E49" s="2" t="s">
        <v>7</v>
      </c>
      <c r="F49" s="23">
        <f t="shared" ref="F49:K49" si="3">SUM(F40:F47)</f>
        <v>250.8</v>
      </c>
      <c r="G49" s="23">
        <f t="shared" si="3"/>
        <v>84</v>
      </c>
      <c r="H49" s="429">
        <f t="shared" si="3"/>
        <v>15091.991788952135</v>
      </c>
      <c r="I49" s="429">
        <f t="shared" si="3"/>
        <v>18865.045779521395</v>
      </c>
      <c r="J49" s="429">
        <f t="shared" si="3"/>
        <v>0</v>
      </c>
      <c r="K49" s="429">
        <f t="shared" si="3"/>
        <v>33957.037568473534</v>
      </c>
    </row>
    <row r="50" spans="1:11" ht="18" customHeight="1" thickBot="1">
      <c r="G50" s="24"/>
      <c r="H50" s="431"/>
      <c r="I50" s="431"/>
      <c r="J50" s="431"/>
      <c r="K50" s="431"/>
    </row>
    <row r="51" spans="1:11" ht="42.75" customHeight="1">
      <c r="F51" s="9" t="s">
        <v>9</v>
      </c>
      <c r="G51" s="9" t="s">
        <v>37</v>
      </c>
      <c r="H51" s="426" t="s">
        <v>29</v>
      </c>
      <c r="I51" s="426" t="s">
        <v>30</v>
      </c>
      <c r="J51" s="426" t="s">
        <v>33</v>
      </c>
      <c r="K51" s="426" t="s">
        <v>34</v>
      </c>
    </row>
    <row r="52" spans="1:11" ht="18" customHeight="1">
      <c r="A52" s="460" t="s">
        <v>92</v>
      </c>
      <c r="B52" s="645" t="s">
        <v>38</v>
      </c>
      <c r="C52" s="646"/>
    </row>
    <row r="53" spans="1:11" ht="18" customHeight="1">
      <c r="A53" s="461" t="s">
        <v>51</v>
      </c>
      <c r="B53" s="669" t="s">
        <v>792</v>
      </c>
      <c r="C53" s="648"/>
      <c r="D53" s="644"/>
      <c r="F53" s="14">
        <v>518.31503140877157</v>
      </c>
      <c r="G53" s="14">
        <v>691.08670854502873</v>
      </c>
      <c r="H53" s="427">
        <v>434999</v>
      </c>
      <c r="I53" s="428">
        <v>0</v>
      </c>
      <c r="J53" s="427">
        <v>0</v>
      </c>
      <c r="K53" s="429">
        <f t="shared" ref="K53:K62" si="4">(H53+I53)-J53</f>
        <v>434999</v>
      </c>
    </row>
    <row r="54" spans="1:11" ht="18" customHeight="1">
      <c r="A54" s="461" t="s">
        <v>93</v>
      </c>
      <c r="B54" s="642" t="s">
        <v>793</v>
      </c>
      <c r="C54" s="643"/>
      <c r="D54" s="644"/>
      <c r="F54" s="14">
        <v>10950</v>
      </c>
      <c r="G54" s="14">
        <v>21043</v>
      </c>
      <c r="H54" s="427">
        <v>1067791</v>
      </c>
      <c r="I54" s="428">
        <v>0</v>
      </c>
      <c r="J54" s="427">
        <v>0</v>
      </c>
      <c r="K54" s="429">
        <f t="shared" si="4"/>
        <v>1067791</v>
      </c>
    </row>
    <row r="55" spans="1:11" ht="18" customHeight="1">
      <c r="A55" s="461" t="s">
        <v>94</v>
      </c>
      <c r="B55" s="713" t="s">
        <v>783</v>
      </c>
      <c r="C55" s="714"/>
      <c r="D55" s="715"/>
      <c r="F55" s="14"/>
      <c r="G55" s="14"/>
      <c r="H55" s="427">
        <v>0</v>
      </c>
      <c r="I55" s="428">
        <v>0</v>
      </c>
      <c r="J55" s="427"/>
      <c r="K55" s="429">
        <f t="shared" si="4"/>
        <v>0</v>
      </c>
    </row>
    <row r="56" spans="1:11" ht="18" customHeight="1">
      <c r="A56" s="461" t="s">
        <v>95</v>
      </c>
      <c r="B56" s="650" t="s">
        <v>785</v>
      </c>
      <c r="C56" s="643"/>
      <c r="D56" s="644"/>
      <c r="F56" s="14"/>
      <c r="G56" s="14"/>
      <c r="H56" s="427">
        <v>358650</v>
      </c>
      <c r="I56" s="428">
        <v>189976.90499999997</v>
      </c>
      <c r="J56" s="427"/>
      <c r="K56" s="429">
        <f t="shared" si="4"/>
        <v>548626.90500000003</v>
      </c>
    </row>
    <row r="57" spans="1:11" ht="18" customHeight="1">
      <c r="A57" s="461" t="s">
        <v>96</v>
      </c>
      <c r="B57" s="650" t="s">
        <v>794</v>
      </c>
      <c r="C57" s="643"/>
      <c r="D57" s="644"/>
      <c r="F57" s="14"/>
      <c r="G57" s="14"/>
      <c r="H57" s="427">
        <v>309268</v>
      </c>
      <c r="I57" s="428">
        <v>0</v>
      </c>
      <c r="J57" s="427">
        <v>0</v>
      </c>
      <c r="K57" s="429">
        <f t="shared" si="4"/>
        <v>309268</v>
      </c>
    </row>
    <row r="58" spans="1:11" ht="18" customHeight="1">
      <c r="A58" s="461" t="s">
        <v>97</v>
      </c>
      <c r="B58" s="650" t="s">
        <v>795</v>
      </c>
      <c r="C58" s="643"/>
      <c r="D58" s="644"/>
      <c r="F58" s="14"/>
      <c r="G58" s="14"/>
      <c r="H58" s="427">
        <v>430764</v>
      </c>
      <c r="I58" s="428">
        <v>0</v>
      </c>
      <c r="J58" s="427">
        <v>0</v>
      </c>
      <c r="K58" s="429">
        <f t="shared" si="4"/>
        <v>430764</v>
      </c>
    </row>
    <row r="59" spans="1:11" ht="18" customHeight="1">
      <c r="A59" s="461" t="s">
        <v>98</v>
      </c>
      <c r="B59" s="642"/>
      <c r="C59" s="643"/>
      <c r="D59" s="644"/>
      <c r="F59" s="14"/>
      <c r="G59" s="14"/>
      <c r="H59" s="427"/>
      <c r="I59" s="428">
        <v>0</v>
      </c>
      <c r="J59" s="427"/>
      <c r="K59" s="429">
        <f t="shared" si="4"/>
        <v>0</v>
      </c>
    </row>
    <row r="60" spans="1:11" ht="18" customHeight="1">
      <c r="A60" s="461" t="s">
        <v>99</v>
      </c>
      <c r="B60" s="360"/>
      <c r="C60" s="361"/>
      <c r="D60" s="362"/>
      <c r="F60" s="14"/>
      <c r="G60" s="14"/>
      <c r="H60" s="427"/>
      <c r="I60" s="428">
        <v>0</v>
      </c>
      <c r="J60" s="427"/>
      <c r="K60" s="429">
        <f t="shared" si="4"/>
        <v>0</v>
      </c>
    </row>
    <row r="61" spans="1:11" ht="18" customHeight="1">
      <c r="A61" s="461" t="s">
        <v>100</v>
      </c>
      <c r="B61" s="360"/>
      <c r="C61" s="361"/>
      <c r="D61" s="362"/>
      <c r="F61" s="14"/>
      <c r="G61" s="14"/>
      <c r="H61" s="427"/>
      <c r="I61" s="428">
        <v>0</v>
      </c>
      <c r="J61" s="427"/>
      <c r="K61" s="429">
        <f t="shared" si="4"/>
        <v>0</v>
      </c>
    </row>
    <row r="62" spans="1:11" ht="18" customHeight="1">
      <c r="A62" s="461" t="s">
        <v>101</v>
      </c>
      <c r="B62" s="642"/>
      <c r="C62" s="643"/>
      <c r="D62" s="644"/>
      <c r="F62" s="14"/>
      <c r="G62" s="14"/>
      <c r="H62" s="427"/>
      <c r="I62" s="428">
        <v>0</v>
      </c>
      <c r="J62" s="427"/>
      <c r="K62" s="429">
        <f t="shared" si="4"/>
        <v>0</v>
      </c>
    </row>
    <row r="63" spans="1:11" ht="18" customHeight="1">
      <c r="A63" s="461"/>
      <c r="I63" s="433"/>
    </row>
    <row r="64" spans="1:11" ht="18" customHeight="1">
      <c r="A64" s="461" t="s">
        <v>144</v>
      </c>
      <c r="B64" s="2" t="s">
        <v>145</v>
      </c>
      <c r="E64" s="2" t="s">
        <v>7</v>
      </c>
      <c r="F64" s="18">
        <f t="shared" ref="F64:K64" si="5">SUM(F53:F62)</f>
        <v>11468.315031408772</v>
      </c>
      <c r="G64" s="18">
        <f t="shared" si="5"/>
        <v>21734.08670854503</v>
      </c>
      <c r="H64" s="429">
        <f t="shared" si="5"/>
        <v>2601472</v>
      </c>
      <c r="I64" s="429">
        <f t="shared" si="5"/>
        <v>189976.90499999997</v>
      </c>
      <c r="J64" s="429">
        <f t="shared" si="5"/>
        <v>0</v>
      </c>
      <c r="K64" s="429">
        <f t="shared" si="5"/>
        <v>2791448.9050000003</v>
      </c>
    </row>
    <row r="65" spans="1:11" ht="18" customHeight="1">
      <c r="F65" s="48"/>
      <c r="G65" s="48"/>
      <c r="H65" s="434"/>
      <c r="I65" s="434"/>
      <c r="J65" s="434"/>
      <c r="K65" s="434"/>
    </row>
    <row r="66" spans="1:11" ht="42.75" customHeight="1">
      <c r="F66" s="57" t="s">
        <v>9</v>
      </c>
      <c r="G66" s="57" t="s">
        <v>37</v>
      </c>
      <c r="H66" s="435" t="s">
        <v>29</v>
      </c>
      <c r="I66" s="435" t="s">
        <v>30</v>
      </c>
      <c r="J66" s="435" t="s">
        <v>33</v>
      </c>
      <c r="K66" s="435" t="s">
        <v>34</v>
      </c>
    </row>
    <row r="67" spans="1:11" ht="18" customHeight="1">
      <c r="A67" s="460" t="s">
        <v>102</v>
      </c>
      <c r="B67" s="2" t="s">
        <v>12</v>
      </c>
      <c r="F67" s="58"/>
      <c r="G67" s="58"/>
      <c r="H67" s="436"/>
      <c r="I67" s="437"/>
      <c r="J67" s="436"/>
      <c r="K67" s="436"/>
    </row>
    <row r="68" spans="1:11" ht="18" customHeight="1">
      <c r="A68" s="461" t="s">
        <v>103</v>
      </c>
      <c r="B68" t="s">
        <v>52</v>
      </c>
      <c r="F68" s="51"/>
      <c r="G68" s="51"/>
      <c r="H68" s="427"/>
      <c r="I68" s="428">
        <v>0</v>
      </c>
      <c r="J68" s="427"/>
      <c r="K68" s="429">
        <f>(H68+I68)-J68</f>
        <v>0</v>
      </c>
    </row>
    <row r="69" spans="1:11" ht="18" customHeight="1">
      <c r="A69" s="461" t="s">
        <v>104</v>
      </c>
      <c r="B69" s="341" t="s">
        <v>53</v>
      </c>
      <c r="F69" s="51"/>
      <c r="G69" s="51"/>
      <c r="H69" s="427"/>
      <c r="I69" s="428">
        <v>0</v>
      </c>
      <c r="J69" s="427"/>
      <c r="K69" s="429">
        <f>(H69+I69)-J69</f>
        <v>0</v>
      </c>
    </row>
    <row r="70" spans="1:11" ht="18" customHeight="1">
      <c r="A70" s="461" t="s">
        <v>178</v>
      </c>
      <c r="B70" s="360"/>
      <c r="C70" s="361"/>
      <c r="D70" s="362"/>
      <c r="E70" s="2"/>
      <c r="F70" s="35"/>
      <c r="G70" s="35"/>
      <c r="H70" s="438"/>
      <c r="I70" s="428">
        <v>0</v>
      </c>
      <c r="J70" s="438"/>
      <c r="K70" s="429">
        <f>(H70+I70)-J70</f>
        <v>0</v>
      </c>
    </row>
    <row r="71" spans="1:11" ht="18" customHeight="1">
      <c r="A71" s="461" t="s">
        <v>179</v>
      </c>
      <c r="B71" s="360"/>
      <c r="C71" s="361"/>
      <c r="D71" s="362"/>
      <c r="E71" s="2"/>
      <c r="F71" s="35"/>
      <c r="G71" s="35"/>
      <c r="H71" s="438"/>
      <c r="I71" s="428">
        <v>0</v>
      </c>
      <c r="J71" s="438"/>
      <c r="K71" s="429">
        <f>(H71+I71)-J71</f>
        <v>0</v>
      </c>
    </row>
    <row r="72" spans="1:11" ht="18" customHeight="1">
      <c r="A72" s="461" t="s">
        <v>180</v>
      </c>
      <c r="B72" s="366"/>
      <c r="C72" s="367"/>
      <c r="D72" s="34"/>
      <c r="E72" s="2"/>
      <c r="F72" s="14"/>
      <c r="G72" s="14"/>
      <c r="H72" s="427"/>
      <c r="I72" s="428">
        <v>0</v>
      </c>
      <c r="J72" s="427"/>
      <c r="K72" s="429">
        <f>(H72+I72)-J72</f>
        <v>0</v>
      </c>
    </row>
    <row r="73" spans="1:11" ht="18" customHeight="1">
      <c r="A73" s="461"/>
      <c r="B73" s="341"/>
      <c r="E73" s="2"/>
      <c r="F73" s="61"/>
      <c r="G73" s="61"/>
      <c r="H73" s="439"/>
      <c r="I73" s="437"/>
      <c r="J73" s="439"/>
      <c r="K73" s="436"/>
    </row>
    <row r="74" spans="1:11" ht="18" customHeight="1">
      <c r="A74" s="460" t="s">
        <v>146</v>
      </c>
      <c r="B74" s="2" t="s">
        <v>147</v>
      </c>
      <c r="E74" s="2" t="s">
        <v>7</v>
      </c>
      <c r="F74" s="21">
        <f t="shared" ref="F74:K74" si="6">SUM(F68:F72)</f>
        <v>0</v>
      </c>
      <c r="G74" s="21">
        <f t="shared" si="6"/>
        <v>0</v>
      </c>
      <c r="H74" s="440">
        <f t="shared" si="6"/>
        <v>0</v>
      </c>
      <c r="I74" s="441">
        <f t="shared" si="6"/>
        <v>0</v>
      </c>
      <c r="J74" s="440">
        <f t="shared" si="6"/>
        <v>0</v>
      </c>
      <c r="K74" s="440">
        <f t="shared" si="6"/>
        <v>0</v>
      </c>
    </row>
    <row r="75" spans="1:11" ht="42.75" customHeight="1">
      <c r="F75" s="9" t="s">
        <v>9</v>
      </c>
      <c r="G75" s="9" t="s">
        <v>37</v>
      </c>
      <c r="H75" s="426" t="s">
        <v>29</v>
      </c>
      <c r="I75" s="426" t="s">
        <v>30</v>
      </c>
      <c r="J75" s="426" t="s">
        <v>33</v>
      </c>
      <c r="K75" s="426" t="s">
        <v>34</v>
      </c>
    </row>
    <row r="76" spans="1:11" ht="18" customHeight="1">
      <c r="A76" s="460" t="s">
        <v>105</v>
      </c>
      <c r="B76" s="2" t="s">
        <v>106</v>
      </c>
    </row>
    <row r="77" spans="1:11" ht="18" customHeight="1">
      <c r="A77" s="461" t="s">
        <v>107</v>
      </c>
      <c r="B77" s="341" t="s">
        <v>54</v>
      </c>
      <c r="F77" s="14"/>
      <c r="G77" s="14"/>
      <c r="H77" s="14"/>
      <c r="I77" s="14"/>
      <c r="J77" s="14"/>
      <c r="K77" s="429">
        <f>(H77+I77)-J77</f>
        <v>0</v>
      </c>
    </row>
    <row r="78" spans="1:11" ht="18" customHeight="1">
      <c r="A78" s="461" t="s">
        <v>108</v>
      </c>
      <c r="B78" s="341" t="s">
        <v>55</v>
      </c>
      <c r="F78" s="14"/>
      <c r="G78" s="14"/>
      <c r="H78" s="427"/>
      <c r="I78" s="428">
        <v>0</v>
      </c>
      <c r="J78" s="427"/>
      <c r="K78" s="429">
        <f>(H78+I78)-J78</f>
        <v>0</v>
      </c>
    </row>
    <row r="79" spans="1:11" ht="18" customHeight="1">
      <c r="A79" s="461" t="s">
        <v>109</v>
      </c>
      <c r="B79" s="341" t="s">
        <v>13</v>
      </c>
      <c r="F79" s="14"/>
      <c r="G79" s="14"/>
      <c r="H79" s="427"/>
      <c r="I79" s="428">
        <v>0</v>
      </c>
      <c r="J79" s="427"/>
      <c r="K79" s="429">
        <f>(H79+I79)-J79</f>
        <v>0</v>
      </c>
    </row>
    <row r="80" spans="1:11" ht="18" customHeight="1">
      <c r="A80" s="461" t="s">
        <v>110</v>
      </c>
      <c r="B80" s="341" t="s">
        <v>56</v>
      </c>
      <c r="F80" s="14"/>
      <c r="G80" s="14"/>
      <c r="H80" s="427"/>
      <c r="I80" s="428">
        <v>0</v>
      </c>
      <c r="J80" s="427"/>
      <c r="K80" s="429">
        <f>(H80+I80)-J80</f>
        <v>0</v>
      </c>
    </row>
    <row r="81" spans="1:11" ht="18" customHeight="1">
      <c r="A81" s="461"/>
      <c r="K81" s="464"/>
    </row>
    <row r="82" spans="1:11" ht="18" customHeight="1">
      <c r="A82" s="461" t="s">
        <v>148</v>
      </c>
      <c r="B82" s="2" t="s">
        <v>149</v>
      </c>
      <c r="E82" s="2" t="s">
        <v>7</v>
      </c>
      <c r="F82" s="21">
        <f t="shared" ref="F82:K82" si="7">SUM(F77:F80)</f>
        <v>0</v>
      </c>
      <c r="G82" s="21">
        <f t="shared" si="7"/>
        <v>0</v>
      </c>
      <c r="H82" s="440">
        <f t="shared" si="7"/>
        <v>0</v>
      </c>
      <c r="I82" s="440">
        <f t="shared" si="7"/>
        <v>0</v>
      </c>
      <c r="J82" s="440">
        <f t="shared" si="7"/>
        <v>0</v>
      </c>
      <c r="K82" s="440">
        <f t="shared" si="7"/>
        <v>0</v>
      </c>
    </row>
    <row r="83" spans="1:11" ht="18" customHeight="1" thickBot="1">
      <c r="A83" s="461"/>
      <c r="F83" s="24"/>
      <c r="G83" s="24"/>
      <c r="H83" s="431"/>
      <c r="I83" s="431"/>
      <c r="J83" s="431"/>
      <c r="K83" s="431"/>
    </row>
    <row r="84" spans="1:11" ht="42.75" customHeight="1">
      <c r="F84" s="9" t="s">
        <v>9</v>
      </c>
      <c r="G84" s="9" t="s">
        <v>37</v>
      </c>
      <c r="H84" s="426" t="s">
        <v>29</v>
      </c>
      <c r="I84" s="426" t="s">
        <v>30</v>
      </c>
      <c r="J84" s="426" t="s">
        <v>33</v>
      </c>
      <c r="K84" s="426" t="s">
        <v>34</v>
      </c>
    </row>
    <row r="85" spans="1:11" ht="18" customHeight="1">
      <c r="A85" s="460" t="s">
        <v>111</v>
      </c>
      <c r="B85" s="2" t="s">
        <v>57</v>
      </c>
    </row>
    <row r="86" spans="1:11" ht="18" customHeight="1">
      <c r="A86" s="461" t="s">
        <v>112</v>
      </c>
      <c r="B86" s="341" t="s">
        <v>113</v>
      </c>
      <c r="F86" s="14"/>
      <c r="G86" s="14"/>
      <c r="H86" s="427"/>
      <c r="I86" s="428">
        <v>0</v>
      </c>
      <c r="J86" s="427"/>
      <c r="K86" s="429">
        <f t="shared" ref="K86:K96" si="8">(H86+I86)-J86</f>
        <v>0</v>
      </c>
    </row>
    <row r="87" spans="1:11" ht="18" customHeight="1">
      <c r="A87" s="461" t="s">
        <v>114</v>
      </c>
      <c r="B87" s="341" t="s">
        <v>14</v>
      </c>
      <c r="F87" s="14"/>
      <c r="G87" s="14"/>
      <c r="H87" s="427"/>
      <c r="I87" s="428">
        <v>0</v>
      </c>
      <c r="J87" s="427"/>
      <c r="K87" s="429">
        <f t="shared" si="8"/>
        <v>0</v>
      </c>
    </row>
    <row r="88" spans="1:11" ht="18" customHeight="1">
      <c r="A88" s="461" t="s">
        <v>115</v>
      </c>
      <c r="B88" s="341" t="s">
        <v>116</v>
      </c>
      <c r="F88" s="14"/>
      <c r="G88" s="14"/>
      <c r="H88" s="427"/>
      <c r="I88" s="428">
        <v>0</v>
      </c>
      <c r="J88" s="427"/>
      <c r="K88" s="429">
        <f t="shared" si="8"/>
        <v>0</v>
      </c>
    </row>
    <row r="89" spans="1:11" ht="18" customHeight="1">
      <c r="A89" s="461" t="s">
        <v>117</v>
      </c>
      <c r="B89" s="341" t="s">
        <v>58</v>
      </c>
      <c r="F89" s="14"/>
      <c r="G89" s="14"/>
      <c r="H89" s="427"/>
      <c r="I89" s="428">
        <v>0</v>
      </c>
      <c r="J89" s="427"/>
      <c r="K89" s="429">
        <f t="shared" si="8"/>
        <v>0</v>
      </c>
    </row>
    <row r="90" spans="1:11" ht="18" customHeight="1">
      <c r="A90" s="461" t="s">
        <v>118</v>
      </c>
      <c r="B90" s="641" t="s">
        <v>59</v>
      </c>
      <c r="C90" s="649"/>
      <c r="F90" s="14"/>
      <c r="G90" s="14"/>
      <c r="H90" s="427"/>
      <c r="I90" s="428">
        <v>0</v>
      </c>
      <c r="J90" s="427"/>
      <c r="K90" s="429">
        <f t="shared" si="8"/>
        <v>0</v>
      </c>
    </row>
    <row r="91" spans="1:11" ht="18" customHeight="1">
      <c r="A91" s="461" t="s">
        <v>119</v>
      </c>
      <c r="B91" s="341" t="s">
        <v>60</v>
      </c>
      <c r="F91" s="14">
        <v>205</v>
      </c>
      <c r="G91" s="14">
        <v>0</v>
      </c>
      <c r="H91" s="14">
        <v>5774.9432360170049</v>
      </c>
      <c r="I91" s="14">
        <v>2968.3208233127407</v>
      </c>
      <c r="J91" s="14">
        <v>0</v>
      </c>
      <c r="K91" s="429">
        <f t="shared" si="8"/>
        <v>8743.2640593297456</v>
      </c>
    </row>
    <row r="92" spans="1:11" ht="18" customHeight="1">
      <c r="A92" s="461" t="s">
        <v>120</v>
      </c>
      <c r="B92" s="341" t="s">
        <v>121</v>
      </c>
      <c r="F92" s="38"/>
      <c r="G92" s="38"/>
      <c r="H92" s="38"/>
      <c r="I92" s="38"/>
      <c r="J92" s="38"/>
      <c r="K92" s="429">
        <f t="shared" si="8"/>
        <v>0</v>
      </c>
    </row>
    <row r="93" spans="1:11" ht="18" customHeight="1">
      <c r="A93" s="461" t="s">
        <v>122</v>
      </c>
      <c r="B93" s="341" t="s">
        <v>123</v>
      </c>
      <c r="F93" s="14">
        <v>212</v>
      </c>
      <c r="G93" s="14">
        <v>763</v>
      </c>
      <c r="H93" s="14">
        <v>8601.6854100456439</v>
      </c>
      <c r="I93" s="14">
        <v>4421.266300763461</v>
      </c>
      <c r="J93" s="14">
        <v>0</v>
      </c>
      <c r="K93" s="429">
        <f t="shared" si="8"/>
        <v>13022.951710809106</v>
      </c>
    </row>
    <row r="94" spans="1:11" ht="18" customHeight="1">
      <c r="A94" s="461" t="s">
        <v>124</v>
      </c>
      <c r="B94" s="642"/>
      <c r="C94" s="643"/>
      <c r="D94" s="644"/>
      <c r="F94" s="14"/>
      <c r="G94" s="14"/>
      <c r="H94" s="427"/>
      <c r="I94" s="428">
        <v>0</v>
      </c>
      <c r="J94" s="427"/>
      <c r="K94" s="429">
        <f t="shared" si="8"/>
        <v>0</v>
      </c>
    </row>
    <row r="95" spans="1:11" ht="18" customHeight="1">
      <c r="A95" s="461" t="s">
        <v>125</v>
      </c>
      <c r="B95" s="642"/>
      <c r="C95" s="643"/>
      <c r="D95" s="644"/>
      <c r="F95" s="14"/>
      <c r="G95" s="14"/>
      <c r="H95" s="427"/>
      <c r="I95" s="428">
        <v>0</v>
      </c>
      <c r="J95" s="427"/>
      <c r="K95" s="429">
        <f t="shared" si="8"/>
        <v>0</v>
      </c>
    </row>
    <row r="96" spans="1:11" ht="18" customHeight="1">
      <c r="A96" s="461" t="s">
        <v>126</v>
      </c>
      <c r="B96" s="642"/>
      <c r="C96" s="643"/>
      <c r="D96" s="644"/>
      <c r="F96" s="14"/>
      <c r="G96" s="14"/>
      <c r="H96" s="427"/>
      <c r="I96" s="428">
        <v>0</v>
      </c>
      <c r="J96" s="427"/>
      <c r="K96" s="429">
        <f t="shared" si="8"/>
        <v>0</v>
      </c>
    </row>
    <row r="97" spans="1:11" ht="18" customHeight="1">
      <c r="A97" s="461"/>
      <c r="B97" s="341"/>
    </row>
    <row r="98" spans="1:11" ht="18" customHeight="1">
      <c r="A98" s="460" t="s">
        <v>150</v>
      </c>
      <c r="B98" s="2" t="s">
        <v>151</v>
      </c>
      <c r="E98" s="2" t="s">
        <v>7</v>
      </c>
      <c r="F98" s="18">
        <f t="shared" ref="F98:K98" si="9">SUM(F86:F96)</f>
        <v>417</v>
      </c>
      <c r="G98" s="18">
        <f t="shared" si="9"/>
        <v>763</v>
      </c>
      <c r="H98" s="429">
        <f t="shared" si="9"/>
        <v>14376.628646062649</v>
      </c>
      <c r="I98" s="429">
        <f t="shared" si="9"/>
        <v>7389.5871240762017</v>
      </c>
      <c r="J98" s="429">
        <f t="shared" si="9"/>
        <v>0</v>
      </c>
      <c r="K98" s="429">
        <f t="shared" si="9"/>
        <v>21766.21577013885</v>
      </c>
    </row>
    <row r="99" spans="1:11" ht="18" customHeight="1" thickBot="1">
      <c r="B99" s="2"/>
      <c r="F99" s="24"/>
      <c r="G99" s="24"/>
      <c r="H99" s="431"/>
      <c r="I99" s="431"/>
      <c r="J99" s="431"/>
      <c r="K99" s="431"/>
    </row>
    <row r="100" spans="1:11" ht="42.75" customHeight="1">
      <c r="F100" s="9" t="s">
        <v>9</v>
      </c>
      <c r="G100" s="9" t="s">
        <v>37</v>
      </c>
      <c r="H100" s="426" t="s">
        <v>29</v>
      </c>
      <c r="I100" s="426" t="s">
        <v>30</v>
      </c>
      <c r="J100" s="426" t="s">
        <v>33</v>
      </c>
      <c r="K100" s="426" t="s">
        <v>34</v>
      </c>
    </row>
    <row r="101" spans="1:11" ht="18" customHeight="1">
      <c r="A101" s="460" t="s">
        <v>130</v>
      </c>
      <c r="B101" s="2" t="s">
        <v>63</v>
      </c>
    </row>
    <row r="102" spans="1:11" ht="18" customHeight="1">
      <c r="A102" s="461" t="s">
        <v>131</v>
      </c>
      <c r="B102" s="341" t="s">
        <v>152</v>
      </c>
      <c r="F102" s="14">
        <v>200</v>
      </c>
      <c r="G102" s="14">
        <v>0</v>
      </c>
      <c r="H102" s="14">
        <v>7293.4738275541376</v>
      </c>
      <c r="I102" s="14">
        <v>3748.8455473628269</v>
      </c>
      <c r="J102" s="14">
        <v>0</v>
      </c>
      <c r="K102" s="429">
        <f>(H102+I102)-J102</f>
        <v>11042.319374916964</v>
      </c>
    </row>
    <row r="103" spans="1:11" ht="18" customHeight="1">
      <c r="A103" s="461" t="s">
        <v>132</v>
      </c>
      <c r="B103" s="641" t="s">
        <v>62</v>
      </c>
      <c r="C103" s="641"/>
      <c r="F103" s="14">
        <v>175</v>
      </c>
      <c r="G103" s="14">
        <v>0</v>
      </c>
      <c r="H103" s="14">
        <v>6381.7895991098703</v>
      </c>
      <c r="I103" s="14">
        <v>3280.2398539424735</v>
      </c>
      <c r="J103" s="14">
        <v>0</v>
      </c>
      <c r="K103" s="429">
        <f>(H103+I103)-J103</f>
        <v>9662.0294530523443</v>
      </c>
    </row>
    <row r="104" spans="1:11" ht="18" customHeight="1">
      <c r="A104" s="461" t="s">
        <v>128</v>
      </c>
      <c r="B104" s="642"/>
      <c r="C104" s="643"/>
      <c r="D104" s="644"/>
      <c r="F104" s="14"/>
      <c r="G104" s="14"/>
      <c r="H104" s="427"/>
      <c r="I104" s="428">
        <v>0</v>
      </c>
      <c r="J104" s="427"/>
      <c r="K104" s="429">
        <f>(H104+I104)-J104</f>
        <v>0</v>
      </c>
    </row>
    <row r="105" spans="1:11" ht="18" customHeight="1">
      <c r="A105" s="461" t="s">
        <v>127</v>
      </c>
      <c r="B105" s="642"/>
      <c r="C105" s="643"/>
      <c r="D105" s="644"/>
      <c r="F105" s="14"/>
      <c r="G105" s="14"/>
      <c r="H105" s="427"/>
      <c r="I105" s="428">
        <v>0</v>
      </c>
      <c r="J105" s="427"/>
      <c r="K105" s="429">
        <f>(H105+I105)-J105</f>
        <v>0</v>
      </c>
    </row>
    <row r="106" spans="1:11" ht="18" customHeight="1">
      <c r="A106" s="461" t="s">
        <v>129</v>
      </c>
      <c r="B106" s="642"/>
      <c r="C106" s="643"/>
      <c r="D106" s="644"/>
      <c r="F106" s="14"/>
      <c r="G106" s="14"/>
      <c r="H106" s="427"/>
      <c r="I106" s="428">
        <v>0</v>
      </c>
      <c r="J106" s="427"/>
      <c r="K106" s="429">
        <f>(H106+I106)-J106</f>
        <v>0</v>
      </c>
    </row>
    <row r="107" spans="1:11" ht="18" customHeight="1">
      <c r="B107" s="2"/>
    </row>
    <row r="108" spans="1:11" s="10" customFormat="1" ht="18" customHeight="1">
      <c r="A108" s="460" t="s">
        <v>153</v>
      </c>
      <c r="B108" s="63" t="s">
        <v>154</v>
      </c>
      <c r="C108"/>
      <c r="D108"/>
      <c r="E108" s="2" t="s">
        <v>7</v>
      </c>
      <c r="F108" s="18">
        <f t="shared" ref="F108:K108" si="10">SUM(F102:F106)</f>
        <v>375</v>
      </c>
      <c r="G108" s="18">
        <f t="shared" si="10"/>
        <v>0</v>
      </c>
      <c r="H108" s="429">
        <f t="shared" si="10"/>
        <v>13675.263426664009</v>
      </c>
      <c r="I108" s="429">
        <f t="shared" si="10"/>
        <v>7029.0854013053004</v>
      </c>
      <c r="J108" s="429">
        <f t="shared" si="10"/>
        <v>0</v>
      </c>
      <c r="K108" s="429">
        <f t="shared" si="10"/>
        <v>20704.348827969308</v>
      </c>
    </row>
    <row r="109" spans="1:11" s="10" customFormat="1" ht="18" customHeight="1" thickBot="1">
      <c r="A109" s="465"/>
      <c r="B109" s="12"/>
      <c r="C109" s="13"/>
      <c r="D109" s="13"/>
      <c r="E109" s="13"/>
      <c r="F109" s="24"/>
      <c r="G109" s="24"/>
      <c r="H109" s="431"/>
      <c r="I109" s="431"/>
      <c r="J109" s="431"/>
      <c r="K109" s="431"/>
    </row>
    <row r="110" spans="1:11" s="10" customFormat="1" ht="18" customHeight="1">
      <c r="A110" s="460" t="s">
        <v>156</v>
      </c>
      <c r="B110" s="2" t="s">
        <v>39</v>
      </c>
      <c r="C110"/>
      <c r="D110"/>
      <c r="E110"/>
      <c r="F110"/>
      <c r="G110"/>
      <c r="H110" s="425"/>
      <c r="I110" s="425"/>
      <c r="J110" s="425"/>
      <c r="K110" s="425"/>
    </row>
    <row r="111" spans="1:11" ht="18" customHeight="1">
      <c r="A111" s="460" t="s">
        <v>155</v>
      </c>
      <c r="B111" s="2" t="s">
        <v>164</v>
      </c>
      <c r="E111" s="2" t="s">
        <v>7</v>
      </c>
      <c r="F111" s="442">
        <v>2305000</v>
      </c>
    </row>
    <row r="112" spans="1:11" ht="18" customHeight="1">
      <c r="B112" s="2"/>
      <c r="E112" s="2"/>
      <c r="F112" s="22"/>
    </row>
    <row r="113" spans="1:6" ht="18" customHeight="1">
      <c r="A113" s="460"/>
      <c r="B113" s="2" t="s">
        <v>15</v>
      </c>
    </row>
    <row r="114" spans="1:6" ht="18" customHeight="1">
      <c r="A114" s="461" t="s">
        <v>171</v>
      </c>
      <c r="B114" s="341" t="s">
        <v>35</v>
      </c>
      <c r="F114" s="25">
        <v>0.52969999999999995</v>
      </c>
    </row>
    <row r="115" spans="1:6" ht="18" customHeight="1">
      <c r="A115" s="461"/>
      <c r="B115" s="2"/>
    </row>
    <row r="116" spans="1:6" ht="18" customHeight="1">
      <c r="A116" s="461" t="s">
        <v>170</v>
      </c>
      <c r="B116" s="2" t="s">
        <v>16</v>
      </c>
    </row>
    <row r="117" spans="1:6" ht="18" customHeight="1">
      <c r="A117" s="461" t="s">
        <v>172</v>
      </c>
      <c r="B117" s="341" t="s">
        <v>17</v>
      </c>
      <c r="F117" s="442">
        <v>45696000</v>
      </c>
    </row>
    <row r="118" spans="1:6" ht="18" customHeight="1">
      <c r="A118" s="461" t="s">
        <v>173</v>
      </c>
      <c r="B118" t="s">
        <v>18</v>
      </c>
      <c r="F118" s="442">
        <v>414000</v>
      </c>
    </row>
    <row r="119" spans="1:6" ht="18" customHeight="1">
      <c r="A119" s="461" t="s">
        <v>174</v>
      </c>
      <c r="B119" s="2" t="s">
        <v>19</v>
      </c>
      <c r="F119" s="443">
        <f>SUM(F117:F118)</f>
        <v>46110000</v>
      </c>
    </row>
    <row r="120" spans="1:6" ht="18" customHeight="1">
      <c r="A120" s="461"/>
      <c r="B120" s="2"/>
      <c r="F120" s="444"/>
    </row>
    <row r="121" spans="1:6" ht="18" customHeight="1">
      <c r="A121" s="461" t="s">
        <v>167</v>
      </c>
      <c r="B121" s="2" t="s">
        <v>36</v>
      </c>
      <c r="F121" s="442">
        <v>39674000</v>
      </c>
    </row>
    <row r="122" spans="1:6" ht="18" customHeight="1">
      <c r="A122" s="461"/>
      <c r="F122" s="444"/>
    </row>
    <row r="123" spans="1:6" ht="18" customHeight="1">
      <c r="A123" s="461" t="s">
        <v>175</v>
      </c>
      <c r="B123" s="2" t="s">
        <v>20</v>
      </c>
      <c r="F123" s="442">
        <f>-F121+F119</f>
        <v>6436000</v>
      </c>
    </row>
    <row r="124" spans="1:6" ht="18" customHeight="1">
      <c r="A124" s="461"/>
      <c r="F124" s="444"/>
    </row>
    <row r="125" spans="1:6" ht="18" customHeight="1">
      <c r="A125" s="461" t="s">
        <v>176</v>
      </c>
      <c r="B125" s="2" t="s">
        <v>21</v>
      </c>
      <c r="F125" s="442">
        <v>-212000</v>
      </c>
    </row>
    <row r="126" spans="1:6" ht="18" customHeight="1">
      <c r="A126" s="461"/>
      <c r="F126" s="444"/>
    </row>
    <row r="127" spans="1:6" ht="18" customHeight="1">
      <c r="A127" s="461" t="s">
        <v>177</v>
      </c>
      <c r="B127" s="2" t="s">
        <v>22</v>
      </c>
      <c r="F127" s="442">
        <f>+F123+F125</f>
        <v>6224000</v>
      </c>
    </row>
    <row r="128" spans="1:6" ht="18" customHeight="1">
      <c r="A128" s="461"/>
    </row>
    <row r="129" spans="1:11" ht="42.75" customHeight="1">
      <c r="F129" s="9" t="s">
        <v>9</v>
      </c>
      <c r="G129" s="9" t="s">
        <v>37</v>
      </c>
      <c r="H129" s="426" t="s">
        <v>29</v>
      </c>
      <c r="I129" s="426" t="s">
        <v>30</v>
      </c>
      <c r="J129" s="426" t="s">
        <v>33</v>
      </c>
      <c r="K129" s="426" t="s">
        <v>34</v>
      </c>
    </row>
    <row r="130" spans="1:11" ht="18" customHeight="1">
      <c r="A130" s="460" t="s">
        <v>157</v>
      </c>
      <c r="B130" s="2" t="s">
        <v>23</v>
      </c>
    </row>
    <row r="131" spans="1:11" ht="18" customHeight="1">
      <c r="A131" s="461" t="s">
        <v>158</v>
      </c>
      <c r="B131" t="s">
        <v>24</v>
      </c>
      <c r="F131" s="14"/>
      <c r="G131" s="14"/>
      <c r="H131" s="427"/>
      <c r="I131" s="428">
        <v>0</v>
      </c>
      <c r="J131" s="427"/>
      <c r="K131" s="429">
        <f>(H131+I131)-J131</f>
        <v>0</v>
      </c>
    </row>
    <row r="132" spans="1:11" ht="18" customHeight="1">
      <c r="A132" s="461" t="s">
        <v>159</v>
      </c>
      <c r="B132" t="s">
        <v>25</v>
      </c>
      <c r="F132" s="14"/>
      <c r="G132" s="14"/>
      <c r="H132" s="427"/>
      <c r="I132" s="428">
        <v>0</v>
      </c>
      <c r="J132" s="427"/>
      <c r="K132" s="429">
        <f>(H132+I132)-J132</f>
        <v>0</v>
      </c>
    </row>
    <row r="133" spans="1:11" ht="18" customHeight="1">
      <c r="A133" s="461" t="s">
        <v>160</v>
      </c>
      <c r="B133" s="636"/>
      <c r="C133" s="637"/>
      <c r="D133" s="638"/>
      <c r="F133" s="14"/>
      <c r="G133" s="14"/>
      <c r="H133" s="427"/>
      <c r="I133" s="428">
        <v>0</v>
      </c>
      <c r="J133" s="427"/>
      <c r="K133" s="429">
        <f>(H133+I133)-J133</f>
        <v>0</v>
      </c>
    </row>
    <row r="134" spans="1:11" ht="18" customHeight="1">
      <c r="A134" s="461" t="s">
        <v>161</v>
      </c>
      <c r="B134" s="636"/>
      <c r="C134" s="637"/>
      <c r="D134" s="638"/>
      <c r="F134" s="14"/>
      <c r="G134" s="14"/>
      <c r="H134" s="427"/>
      <c r="I134" s="428">
        <v>0</v>
      </c>
      <c r="J134" s="427"/>
      <c r="K134" s="429">
        <f>(H134+I134)-J134</f>
        <v>0</v>
      </c>
    </row>
    <row r="135" spans="1:11" ht="18" customHeight="1">
      <c r="A135" s="461" t="s">
        <v>162</v>
      </c>
      <c r="B135" s="636"/>
      <c r="C135" s="637"/>
      <c r="D135" s="638"/>
      <c r="F135" s="14"/>
      <c r="G135" s="14"/>
      <c r="H135" s="427"/>
      <c r="I135" s="428">
        <v>0</v>
      </c>
      <c r="J135" s="427"/>
      <c r="K135" s="429">
        <f>(H135+I135)-J135</f>
        <v>0</v>
      </c>
    </row>
    <row r="136" spans="1:11" ht="18" customHeight="1">
      <c r="A136" s="460"/>
    </row>
    <row r="137" spans="1:11" ht="18" customHeight="1">
      <c r="A137" s="460" t="s">
        <v>163</v>
      </c>
      <c r="B137" s="2" t="s">
        <v>27</v>
      </c>
      <c r="F137" s="18">
        <f t="shared" ref="F137:K137" si="11">SUM(F131:F135)</f>
        <v>0</v>
      </c>
      <c r="G137" s="18">
        <f t="shared" si="11"/>
        <v>0</v>
      </c>
      <c r="H137" s="429">
        <f t="shared" si="11"/>
        <v>0</v>
      </c>
      <c r="I137" s="429">
        <f t="shared" si="11"/>
        <v>0</v>
      </c>
      <c r="J137" s="429">
        <f t="shared" si="11"/>
        <v>0</v>
      </c>
      <c r="K137" s="429">
        <f t="shared" si="11"/>
        <v>0</v>
      </c>
    </row>
    <row r="138" spans="1:11" ht="18" customHeight="1">
      <c r="A138" s="466"/>
    </row>
    <row r="139" spans="1:11" ht="42.75" customHeight="1">
      <c r="F139" s="9" t="s">
        <v>9</v>
      </c>
      <c r="G139" s="9" t="s">
        <v>37</v>
      </c>
      <c r="H139" s="426" t="s">
        <v>29</v>
      </c>
      <c r="I139" s="426" t="s">
        <v>30</v>
      </c>
      <c r="J139" s="426" t="s">
        <v>33</v>
      </c>
      <c r="K139" s="426" t="s">
        <v>34</v>
      </c>
    </row>
    <row r="140" spans="1:11" ht="18" customHeight="1">
      <c r="A140" s="460" t="s">
        <v>166</v>
      </c>
      <c r="B140" s="2" t="s">
        <v>26</v>
      </c>
    </row>
    <row r="141" spans="1:11" ht="18" customHeight="1">
      <c r="A141" s="461" t="s">
        <v>137</v>
      </c>
      <c r="B141" s="2" t="s">
        <v>64</v>
      </c>
      <c r="F141" s="41">
        <f t="shared" ref="F141:K141" si="12">F36</f>
        <v>70</v>
      </c>
      <c r="G141" s="41">
        <f t="shared" si="12"/>
        <v>343</v>
      </c>
      <c r="H141" s="445">
        <f t="shared" si="12"/>
        <v>2552.7158396439481</v>
      </c>
      <c r="I141" s="445">
        <f t="shared" si="12"/>
        <v>1312.0959415769892</v>
      </c>
      <c r="J141" s="445">
        <f t="shared" si="12"/>
        <v>0</v>
      </c>
      <c r="K141" s="445">
        <f t="shared" si="12"/>
        <v>3864.8117812209375</v>
      </c>
    </row>
    <row r="142" spans="1:11" ht="18" customHeight="1">
      <c r="A142" s="461" t="s">
        <v>142</v>
      </c>
      <c r="B142" s="2" t="s">
        <v>65</v>
      </c>
      <c r="F142" s="41">
        <f t="shared" ref="F142:K142" si="13">F49</f>
        <v>250.8</v>
      </c>
      <c r="G142" s="41">
        <f t="shared" si="13"/>
        <v>84</v>
      </c>
      <c r="H142" s="445">
        <f t="shared" si="13"/>
        <v>15091.991788952135</v>
      </c>
      <c r="I142" s="445">
        <f t="shared" si="13"/>
        <v>18865.045779521395</v>
      </c>
      <c r="J142" s="445">
        <f t="shared" si="13"/>
        <v>0</v>
      </c>
      <c r="K142" s="445">
        <f t="shared" si="13"/>
        <v>33957.037568473534</v>
      </c>
    </row>
    <row r="143" spans="1:11" ht="18" customHeight="1">
      <c r="A143" s="461" t="s">
        <v>144</v>
      </c>
      <c r="B143" s="2" t="s">
        <v>66</v>
      </c>
      <c r="F143" s="41">
        <f t="shared" ref="F143:K143" si="14">F64</f>
        <v>11468.315031408772</v>
      </c>
      <c r="G143" s="41">
        <f t="shared" si="14"/>
        <v>21734.08670854503</v>
      </c>
      <c r="H143" s="445">
        <f t="shared" si="14"/>
        <v>2601472</v>
      </c>
      <c r="I143" s="445">
        <f t="shared" si="14"/>
        <v>189976.90499999997</v>
      </c>
      <c r="J143" s="445">
        <f t="shared" si="14"/>
        <v>0</v>
      </c>
      <c r="K143" s="445">
        <f t="shared" si="14"/>
        <v>2791448.9050000003</v>
      </c>
    </row>
    <row r="144" spans="1:11" ht="18" customHeight="1">
      <c r="A144" s="461" t="s">
        <v>146</v>
      </c>
      <c r="B144" s="2" t="s">
        <v>67</v>
      </c>
      <c r="F144" s="41">
        <f t="shared" ref="F144:K144" si="15">F74</f>
        <v>0</v>
      </c>
      <c r="G144" s="41">
        <f t="shared" si="15"/>
        <v>0</v>
      </c>
      <c r="H144" s="445">
        <f t="shared" si="15"/>
        <v>0</v>
      </c>
      <c r="I144" s="445">
        <f t="shared" si="15"/>
        <v>0</v>
      </c>
      <c r="J144" s="445">
        <f t="shared" si="15"/>
        <v>0</v>
      </c>
      <c r="K144" s="445">
        <f t="shared" si="15"/>
        <v>0</v>
      </c>
    </row>
    <row r="145" spans="1:11" ht="18" customHeight="1">
      <c r="A145" s="461" t="s">
        <v>148</v>
      </c>
      <c r="B145" s="2" t="s">
        <v>68</v>
      </c>
      <c r="F145" s="41">
        <f t="shared" ref="F145:K145" si="16">F82</f>
        <v>0</v>
      </c>
      <c r="G145" s="41">
        <f t="shared" si="16"/>
        <v>0</v>
      </c>
      <c r="H145" s="445">
        <f t="shared" si="16"/>
        <v>0</v>
      </c>
      <c r="I145" s="445">
        <f t="shared" si="16"/>
        <v>0</v>
      </c>
      <c r="J145" s="445">
        <f t="shared" si="16"/>
        <v>0</v>
      </c>
      <c r="K145" s="445">
        <f t="shared" si="16"/>
        <v>0</v>
      </c>
    </row>
    <row r="146" spans="1:11" ht="18" customHeight="1">
      <c r="A146" s="461" t="s">
        <v>150</v>
      </c>
      <c r="B146" s="2" t="s">
        <v>69</v>
      </c>
      <c r="F146" s="41">
        <f t="shared" ref="F146:K146" si="17">F98</f>
        <v>417</v>
      </c>
      <c r="G146" s="41">
        <f t="shared" si="17"/>
        <v>763</v>
      </c>
      <c r="H146" s="445">
        <f t="shared" si="17"/>
        <v>14376.628646062649</v>
      </c>
      <c r="I146" s="445">
        <f t="shared" si="17"/>
        <v>7389.5871240762017</v>
      </c>
      <c r="J146" s="445">
        <f t="shared" si="17"/>
        <v>0</v>
      </c>
      <c r="K146" s="445">
        <f t="shared" si="17"/>
        <v>21766.21577013885</v>
      </c>
    </row>
    <row r="147" spans="1:11" ht="18" customHeight="1">
      <c r="A147" s="461" t="s">
        <v>153</v>
      </c>
      <c r="B147" s="2" t="s">
        <v>61</v>
      </c>
      <c r="F147" s="18">
        <f t="shared" ref="F147:K147" si="18">F108</f>
        <v>375</v>
      </c>
      <c r="G147" s="18">
        <f t="shared" si="18"/>
        <v>0</v>
      </c>
      <c r="H147" s="429">
        <f t="shared" si="18"/>
        <v>13675.263426664009</v>
      </c>
      <c r="I147" s="429">
        <f t="shared" si="18"/>
        <v>7029.0854013053004</v>
      </c>
      <c r="J147" s="429">
        <f t="shared" si="18"/>
        <v>0</v>
      </c>
      <c r="K147" s="429">
        <f t="shared" si="18"/>
        <v>20704.348827969308</v>
      </c>
    </row>
    <row r="148" spans="1:11" ht="18" customHeight="1">
      <c r="A148" s="461" t="s">
        <v>155</v>
      </c>
      <c r="B148" s="2" t="s">
        <v>70</v>
      </c>
      <c r="F148" s="42" t="s">
        <v>73</v>
      </c>
      <c r="G148" s="42" t="s">
        <v>73</v>
      </c>
      <c r="H148" s="446" t="s">
        <v>73</v>
      </c>
      <c r="I148" s="446" t="s">
        <v>73</v>
      </c>
      <c r="J148" s="446" t="s">
        <v>73</v>
      </c>
      <c r="K148" s="445">
        <f>F111</f>
        <v>2305000</v>
      </c>
    </row>
    <row r="149" spans="1:11" ht="18" customHeight="1">
      <c r="A149" s="461" t="s">
        <v>163</v>
      </c>
      <c r="B149" s="2" t="s">
        <v>71</v>
      </c>
      <c r="F149" s="18">
        <f t="shared" ref="F149:K149" si="19">F137</f>
        <v>0</v>
      </c>
      <c r="G149" s="18">
        <f t="shared" si="19"/>
        <v>0</v>
      </c>
      <c r="H149" s="429">
        <f t="shared" si="19"/>
        <v>0</v>
      </c>
      <c r="I149" s="429">
        <f t="shared" si="19"/>
        <v>0</v>
      </c>
      <c r="J149" s="429">
        <f t="shared" si="19"/>
        <v>0</v>
      </c>
      <c r="K149" s="429">
        <f t="shared" si="19"/>
        <v>0</v>
      </c>
    </row>
    <row r="150" spans="1:11" ht="18" customHeight="1">
      <c r="A150" s="461" t="s">
        <v>185</v>
      </c>
      <c r="B150" s="2" t="s">
        <v>186</v>
      </c>
      <c r="F150" s="42" t="s">
        <v>73</v>
      </c>
      <c r="G150" s="42" t="s">
        <v>73</v>
      </c>
      <c r="H150" s="429">
        <f>H18</f>
        <v>1500323</v>
      </c>
      <c r="I150" s="429">
        <f>I18</f>
        <v>0</v>
      </c>
      <c r="J150" s="429">
        <f>J18</f>
        <v>1282964</v>
      </c>
      <c r="K150" s="429">
        <f>K18</f>
        <v>217359</v>
      </c>
    </row>
    <row r="151" spans="1:11" ht="18" customHeight="1">
      <c r="B151" s="2"/>
      <c r="F151" s="48"/>
      <c r="G151" s="48"/>
      <c r="H151" s="434"/>
      <c r="I151" s="434"/>
      <c r="J151" s="434"/>
      <c r="K151" s="434"/>
    </row>
    <row r="152" spans="1:11" ht="18" customHeight="1">
      <c r="A152" s="460" t="s">
        <v>165</v>
      </c>
      <c r="B152" s="2" t="s">
        <v>26</v>
      </c>
      <c r="F152" s="49">
        <f t="shared" ref="F152:K152" si="20">SUM(F141:F150)</f>
        <v>12581.115031408772</v>
      </c>
      <c r="G152" s="49">
        <f t="shared" si="20"/>
        <v>22924.08670854503</v>
      </c>
      <c r="H152" s="447">
        <f t="shared" si="20"/>
        <v>4147491.5997013226</v>
      </c>
      <c r="I152" s="447">
        <f t="shared" si="20"/>
        <v>224572.71924647986</v>
      </c>
      <c r="J152" s="447">
        <f t="shared" si="20"/>
        <v>1282964</v>
      </c>
      <c r="K152" s="447">
        <f t="shared" si="20"/>
        <v>5394100.3189478032</v>
      </c>
    </row>
    <row r="154" spans="1:11" ht="18" customHeight="1">
      <c r="A154" s="460" t="s">
        <v>168</v>
      </c>
      <c r="B154" s="2" t="s">
        <v>28</v>
      </c>
      <c r="F154" s="348">
        <f>K152/F121</f>
        <v>0.13596058675575448</v>
      </c>
    </row>
    <row r="155" spans="1:11" ht="18" customHeight="1">
      <c r="A155" s="460" t="s">
        <v>169</v>
      </c>
      <c r="B155" s="2" t="s">
        <v>72</v>
      </c>
      <c r="F155" s="348">
        <f>K152/F127</f>
        <v>0.86666136229881152</v>
      </c>
      <c r="G155" s="2"/>
    </row>
    <row r="156" spans="1:11" ht="18" customHeight="1">
      <c r="G156" s="2"/>
    </row>
    <row r="157" spans="1:11" ht="38.25" hidden="1" customHeight="1">
      <c r="A157" s="8"/>
      <c r="B157" s="449" t="s">
        <v>787</v>
      </c>
      <c r="F157" s="9" t="s">
        <v>9</v>
      </c>
      <c r="G157" s="9" t="s">
        <v>37</v>
      </c>
      <c r="H157" s="426" t="s">
        <v>29</v>
      </c>
      <c r="I157" s="426" t="s">
        <v>30</v>
      </c>
      <c r="J157" s="426" t="s">
        <v>33</v>
      </c>
      <c r="K157" s="9" t="s">
        <v>34</v>
      </c>
    </row>
    <row r="158" spans="1:11" ht="18" hidden="1" customHeight="1">
      <c r="A158" s="8"/>
      <c r="B158" s="2" t="str">
        <f>+B152</f>
        <v>TOTAL HOSPITAL COMMUNITY BENEFIT</v>
      </c>
      <c r="F158" s="450">
        <f t="shared" ref="F158:K158" si="21">+F152</f>
        <v>12581.115031408772</v>
      </c>
      <c r="G158" s="450">
        <f t="shared" si="21"/>
        <v>22924.08670854503</v>
      </c>
      <c r="H158" s="450">
        <f t="shared" si="21"/>
        <v>4147491.5997013226</v>
      </c>
      <c r="I158" s="450">
        <f t="shared" si="21"/>
        <v>224572.71924647986</v>
      </c>
      <c r="J158" s="450">
        <f t="shared" si="21"/>
        <v>1282964</v>
      </c>
      <c r="K158" s="450">
        <f t="shared" si="21"/>
        <v>5394100.3189478032</v>
      </c>
    </row>
    <row r="159" spans="1:11" ht="18" hidden="1" customHeight="1">
      <c r="A159" s="8"/>
      <c r="B159" s="2" t="s">
        <v>788</v>
      </c>
      <c r="K159"/>
    </row>
    <row r="160" spans="1:11" ht="18" hidden="1" customHeight="1">
      <c r="A160" s="3"/>
      <c r="B160" s="5" t="s">
        <v>181</v>
      </c>
      <c r="F160" s="451" t="str">
        <f t="shared" ref="F160:K160" si="22">+F18</f>
        <v>N/A</v>
      </c>
      <c r="G160" s="451" t="str">
        <f t="shared" si="22"/>
        <v>N/A</v>
      </c>
      <c r="H160" s="451">
        <f t="shared" si="22"/>
        <v>1500323</v>
      </c>
      <c r="I160" s="451">
        <f t="shared" si="22"/>
        <v>0</v>
      </c>
      <c r="J160" s="451">
        <f t="shared" si="22"/>
        <v>1282964</v>
      </c>
      <c r="K160" s="450">
        <f t="shared" si="22"/>
        <v>217359</v>
      </c>
    </row>
    <row r="161" spans="1:11" ht="18" hidden="1" customHeight="1">
      <c r="A161" s="8"/>
      <c r="B161" s="5" t="s">
        <v>164</v>
      </c>
      <c r="F161" s="452"/>
      <c r="G161" s="453"/>
      <c r="H161" s="454"/>
      <c r="I161" s="454"/>
      <c r="J161" s="454"/>
      <c r="K161" s="455">
        <f>+K148</f>
        <v>2305000</v>
      </c>
    </row>
    <row r="162" spans="1:11" ht="18" hidden="1" customHeight="1">
      <c r="A162" s="8"/>
      <c r="F162" s="453"/>
      <c r="G162" s="453"/>
      <c r="H162" s="454"/>
      <c r="I162" s="454"/>
      <c r="J162" s="454"/>
      <c r="K162" s="453"/>
    </row>
    <row r="163" spans="1:11" ht="18" hidden="1" customHeight="1">
      <c r="A163" s="8"/>
      <c r="B163" s="2" t="s">
        <v>789</v>
      </c>
      <c r="F163" s="451">
        <f t="shared" ref="F163:K163" si="23">+F152-SUM(F160:F161)</f>
        <v>12581.115031408772</v>
      </c>
      <c r="G163" s="451">
        <f t="shared" si="23"/>
        <v>22924.08670854503</v>
      </c>
      <c r="H163" s="451">
        <f t="shared" si="23"/>
        <v>2647168.5997013226</v>
      </c>
      <c r="I163" s="451">
        <f t="shared" si="23"/>
        <v>224572.71924647986</v>
      </c>
      <c r="J163" s="451">
        <f t="shared" si="23"/>
        <v>0</v>
      </c>
      <c r="K163" s="451">
        <f t="shared" si="23"/>
        <v>2871741.3189478032</v>
      </c>
    </row>
    <row r="164" spans="1:11" ht="18" hidden="1" customHeight="1">
      <c r="A164" s="8"/>
      <c r="B164" s="2"/>
      <c r="F164" s="456"/>
      <c r="G164" s="456"/>
      <c r="H164" s="451"/>
      <c r="I164" s="451"/>
      <c r="J164" s="451"/>
      <c r="K164" s="451"/>
    </row>
    <row r="165" spans="1:11" ht="18" hidden="1" customHeight="1">
      <c r="A165" s="8"/>
      <c r="B165" s="2" t="s">
        <v>28</v>
      </c>
      <c r="F165" s="2"/>
      <c r="G165" s="2"/>
      <c r="H165" s="457">
        <f>+H163/$F$121</f>
        <v>6.672300750368812E-2</v>
      </c>
      <c r="I165" s="457">
        <f>+I163/$F$121</f>
        <v>5.6604506539920316E-3</v>
      </c>
      <c r="J165" s="457">
        <f>+J163/$F$121</f>
        <v>0</v>
      </c>
      <c r="K165" s="457">
        <f>+K163/$F$121</f>
        <v>7.2383458157680172E-2</v>
      </c>
    </row>
    <row r="166" spans="1:11" ht="18" hidden="1" customHeight="1">
      <c r="A166" s="8"/>
      <c r="B166" s="2" t="s">
        <v>72</v>
      </c>
      <c r="F166" s="2"/>
      <c r="G166" s="2"/>
      <c r="H166" s="457">
        <f>+H163/$F$127</f>
        <v>0.42531629172579088</v>
      </c>
      <c r="I166" s="457">
        <f>+I163/$F$127</f>
        <v>3.6081735097442134E-2</v>
      </c>
      <c r="J166" s="457">
        <f>+J163/$F$127</f>
        <v>0</v>
      </c>
      <c r="K166" s="457">
        <f>+K163/$F$127</f>
        <v>0.46139802682323316</v>
      </c>
    </row>
    <row r="167" spans="1:11" ht="18" hidden="1" customHeight="1"/>
    <row r="168" spans="1:11" ht="18" hidden="1" customHeight="1"/>
    <row r="169" spans="1:11" ht="18" hidden="1" customHeight="1"/>
  </sheetData>
  <mergeCells count="36">
    <mergeCell ref="B41:C41"/>
    <mergeCell ref="D2:H2"/>
    <mergeCell ref="C5:G5"/>
    <mergeCell ref="C6:G6"/>
    <mergeCell ref="C7:G7"/>
    <mergeCell ref="C9:G9"/>
    <mergeCell ref="C10:G10"/>
    <mergeCell ref="C11:G11"/>
    <mergeCell ref="B13:H13"/>
    <mergeCell ref="B30:D30"/>
    <mergeCell ref="B31:D31"/>
    <mergeCell ref="B34:D34"/>
    <mergeCell ref="B59:D59"/>
    <mergeCell ref="B44:D44"/>
    <mergeCell ref="B45:D45"/>
    <mergeCell ref="B46:D46"/>
    <mergeCell ref="B47:D47"/>
    <mergeCell ref="B52:C52"/>
    <mergeCell ref="B53:D53"/>
    <mergeCell ref="B54:D54"/>
    <mergeCell ref="B55:D55"/>
    <mergeCell ref="B56:D56"/>
    <mergeCell ref="B57:D57"/>
    <mergeCell ref="B58:D58"/>
    <mergeCell ref="B135:D135"/>
    <mergeCell ref="B62:D62"/>
    <mergeCell ref="B90:C90"/>
    <mergeCell ref="B94:D94"/>
    <mergeCell ref="B95:D95"/>
    <mergeCell ref="B96:D96"/>
    <mergeCell ref="B103:C103"/>
    <mergeCell ref="B104:D104"/>
    <mergeCell ref="B105:D105"/>
    <mergeCell ref="B106:D106"/>
    <mergeCell ref="B133:D133"/>
    <mergeCell ref="B134:D134"/>
  </mergeCells>
  <pageMargins left="0.75" right="0.75" top="1" bottom="1" header="0.5" footer="0.5"/>
  <pageSetup scale="59" fitToHeight="0" orientation="landscape" horizontalDpi="1200" verticalDpi="1200" r:id="rId1"/>
  <headerFooter alignWithMargins="0"/>
  <rowBreaks count="6" manualBreakCount="6">
    <brk id="37" max="16383" man="1"/>
    <brk id="65" max="16383" man="1"/>
    <brk id="83" max="16383" man="1"/>
    <brk id="109" max="16383" man="1"/>
    <brk id="128" max="16383" man="1"/>
    <brk id="15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46" zoomScale="70" zoomScaleNormal="70" zoomScaleSheetLayoutView="70" workbookViewId="0">
      <selection activeCell="K64" sqref="K64"/>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53" t="s">
        <v>745</v>
      </c>
      <c r="D5" s="654"/>
      <c r="E5" s="654"/>
      <c r="F5" s="654"/>
      <c r="G5" s="655"/>
    </row>
    <row r="6" spans="1:11" ht="18" customHeight="1">
      <c r="B6" s="5" t="s">
        <v>3</v>
      </c>
      <c r="C6" s="719" t="s">
        <v>746</v>
      </c>
      <c r="D6" s="657"/>
      <c r="E6" s="657"/>
      <c r="F6" s="657"/>
      <c r="G6" s="658"/>
    </row>
    <row r="7" spans="1:11" ht="18" customHeight="1">
      <c r="B7" s="5" t="s">
        <v>4</v>
      </c>
      <c r="C7" s="659">
        <v>2690</v>
      </c>
      <c r="D7" s="660"/>
      <c r="E7" s="660"/>
      <c r="F7" s="660"/>
      <c r="G7" s="661"/>
    </row>
    <row r="9" spans="1:11" ht="18" customHeight="1">
      <c r="B9" s="5" t="s">
        <v>1</v>
      </c>
      <c r="C9" s="653" t="s">
        <v>747</v>
      </c>
      <c r="D9" s="654"/>
      <c r="E9" s="654"/>
      <c r="F9" s="654"/>
      <c r="G9" s="655"/>
    </row>
    <row r="10" spans="1:11" ht="18" customHeight="1">
      <c r="B10" s="5" t="s">
        <v>2</v>
      </c>
      <c r="C10" s="662" t="s">
        <v>748</v>
      </c>
      <c r="D10" s="663"/>
      <c r="E10" s="663"/>
      <c r="F10" s="663"/>
      <c r="G10" s="664"/>
    </row>
    <row r="11" spans="1:11" ht="18" customHeight="1">
      <c r="B11" s="5" t="s">
        <v>32</v>
      </c>
      <c r="C11" s="653" t="s">
        <v>749</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10385792.253880026</v>
      </c>
      <c r="I18" s="50">
        <v>0</v>
      </c>
      <c r="J18" s="15">
        <v>8881150.944117371</v>
      </c>
      <c r="K18" s="16">
        <f>(H18+I18)-J18</f>
        <v>1504641.3097626548</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394</v>
      </c>
      <c r="G21" s="14">
        <v>144</v>
      </c>
      <c r="H21" s="15">
        <v>87162.834000000032</v>
      </c>
      <c r="I21" s="50">
        <f t="shared" ref="I21:I34" si="0">H21*F$114</f>
        <v>47345.678261912457</v>
      </c>
      <c r="J21" s="15">
        <v>7110</v>
      </c>
      <c r="K21" s="16">
        <f t="shared" ref="K21:K34" si="1">(H21+I21)-J21</f>
        <v>127398.51226191249</v>
      </c>
    </row>
    <row r="22" spans="1:11" ht="18" customHeight="1">
      <c r="A22" s="5" t="s">
        <v>76</v>
      </c>
      <c r="B22" t="s">
        <v>6</v>
      </c>
      <c r="F22" s="14"/>
      <c r="G22" s="14"/>
      <c r="H22" s="15"/>
      <c r="I22" s="50">
        <f t="shared" si="0"/>
        <v>0</v>
      </c>
      <c r="J22" s="15"/>
      <c r="K22" s="16">
        <f t="shared" si="1"/>
        <v>0</v>
      </c>
    </row>
    <row r="23" spans="1:11" ht="18" customHeight="1">
      <c r="A23" s="5" t="s">
        <v>77</v>
      </c>
      <c r="B23" t="s">
        <v>43</v>
      </c>
      <c r="F23" s="14"/>
      <c r="G23" s="14"/>
      <c r="H23" s="15"/>
      <c r="I23" s="50">
        <f t="shared" si="0"/>
        <v>0</v>
      </c>
      <c r="J23" s="15"/>
      <c r="K23" s="16">
        <f t="shared" si="1"/>
        <v>0</v>
      </c>
    </row>
    <row r="24" spans="1:11" ht="18" customHeight="1">
      <c r="A24" s="5" t="s">
        <v>78</v>
      </c>
      <c r="B24" t="s">
        <v>44</v>
      </c>
      <c r="F24" s="14"/>
      <c r="G24" s="14"/>
      <c r="H24" s="15"/>
      <c r="I24" s="50">
        <f t="shared" si="0"/>
        <v>0</v>
      </c>
      <c r="J24" s="15"/>
      <c r="K24" s="16">
        <f t="shared" si="1"/>
        <v>0</v>
      </c>
    </row>
    <row r="25" spans="1:11" ht="18" customHeight="1">
      <c r="A25" s="5" t="s">
        <v>79</v>
      </c>
      <c r="B25" t="s">
        <v>5</v>
      </c>
      <c r="F25" s="14">
        <v>899</v>
      </c>
      <c r="G25" s="14">
        <v>7791</v>
      </c>
      <c r="H25" s="15">
        <v>214965.08000000002</v>
      </c>
      <c r="I25" s="50">
        <f t="shared" si="0"/>
        <v>116766.13813665432</v>
      </c>
      <c r="J25" s="15">
        <v>3515</v>
      </c>
      <c r="K25" s="16">
        <f t="shared" si="1"/>
        <v>328216.21813665435</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9048.34</v>
      </c>
      <c r="G29" s="14"/>
      <c r="H29" s="15">
        <v>217421</v>
      </c>
      <c r="I29" s="50">
        <f t="shared" si="0"/>
        <v>118100.16082523504</v>
      </c>
      <c r="J29" s="15"/>
      <c r="K29" s="16">
        <f t="shared" si="1"/>
        <v>335521.16082523507</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363"/>
      <c r="C32" s="364"/>
      <c r="D32" s="365"/>
      <c r="F32" s="14"/>
      <c r="G32" s="342" t="s">
        <v>85</v>
      </c>
      <c r="H32" s="15"/>
      <c r="I32" s="50">
        <f t="shared" si="0"/>
        <v>0</v>
      </c>
      <c r="J32" s="15"/>
      <c r="K32" s="16">
        <f t="shared" si="1"/>
        <v>0</v>
      </c>
    </row>
    <row r="33" spans="1:11" ht="18" customHeight="1">
      <c r="A33" s="5" t="s">
        <v>135</v>
      </c>
      <c r="B33" s="363"/>
      <c r="C33" s="364"/>
      <c r="D33" s="365"/>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10341.34</v>
      </c>
      <c r="G36" s="18">
        <f t="shared" si="2"/>
        <v>7935</v>
      </c>
      <c r="H36" s="18">
        <f t="shared" si="2"/>
        <v>519548.91400000005</v>
      </c>
      <c r="I36" s="16">
        <f t="shared" si="2"/>
        <v>282211.97722380178</v>
      </c>
      <c r="J36" s="16">
        <f t="shared" si="2"/>
        <v>10625</v>
      </c>
      <c r="K36" s="16">
        <f t="shared" si="2"/>
        <v>791135.89122380188</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151839.99999999997</v>
      </c>
      <c r="G40" s="14"/>
      <c r="H40" s="15">
        <v>6929063.4356563874</v>
      </c>
      <c r="I40" s="50">
        <v>0</v>
      </c>
      <c r="J40" s="15"/>
      <c r="K40" s="16">
        <f t="shared" ref="K40:K47" si="3">(H40+I40)-J40</f>
        <v>6929063.4356563874</v>
      </c>
    </row>
    <row r="41" spans="1:11" ht="18" customHeight="1">
      <c r="A41" s="5" t="s">
        <v>88</v>
      </c>
      <c r="B41" s="641" t="s">
        <v>50</v>
      </c>
      <c r="C41" s="649"/>
      <c r="F41" s="14"/>
      <c r="G41" s="14"/>
      <c r="H41" s="15"/>
      <c r="I41" s="50">
        <v>0</v>
      </c>
      <c r="J41" s="15"/>
      <c r="K41" s="16">
        <f t="shared" si="3"/>
        <v>0</v>
      </c>
    </row>
    <row r="42" spans="1:11" ht="18" customHeight="1">
      <c r="A42" s="5" t="s">
        <v>89</v>
      </c>
      <c r="B42" s="341" t="s">
        <v>11</v>
      </c>
      <c r="F42" s="14"/>
      <c r="G42" s="14"/>
      <c r="H42" s="15"/>
      <c r="I42" s="50">
        <v>0</v>
      </c>
      <c r="J42" s="15"/>
      <c r="K42" s="16">
        <f t="shared" si="3"/>
        <v>0</v>
      </c>
    </row>
    <row r="43" spans="1:11" ht="18" customHeight="1">
      <c r="A43" s="5" t="s">
        <v>90</v>
      </c>
      <c r="B43" s="343" t="s">
        <v>10</v>
      </c>
      <c r="C43" s="10"/>
      <c r="D43" s="10"/>
      <c r="F43" s="14"/>
      <c r="G43" s="14"/>
      <c r="H43" s="15"/>
      <c r="I43" s="50">
        <v>0</v>
      </c>
      <c r="J43" s="15"/>
      <c r="K43" s="16">
        <f t="shared" si="3"/>
        <v>0</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151839.99999999997</v>
      </c>
      <c r="G49" s="23">
        <f t="shared" si="4"/>
        <v>0</v>
      </c>
      <c r="H49" s="16">
        <f t="shared" si="4"/>
        <v>6929063.4356563874</v>
      </c>
      <c r="I49" s="16">
        <f t="shared" si="4"/>
        <v>0</v>
      </c>
      <c r="J49" s="16">
        <f t="shared" si="4"/>
        <v>0</v>
      </c>
      <c r="K49" s="16">
        <f t="shared" si="4"/>
        <v>6929063.4356563874</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47" t="s">
        <v>750</v>
      </c>
      <c r="C53" s="648"/>
      <c r="D53" s="644"/>
      <c r="F53" s="14"/>
      <c r="G53" s="14"/>
      <c r="H53" s="15">
        <v>63146</v>
      </c>
      <c r="I53" s="50">
        <f t="shared" ref="I53:I57" si="5">+H53*F$114</f>
        <v>34300.057287337891</v>
      </c>
      <c r="J53" s="15"/>
      <c r="K53" s="16">
        <f t="shared" ref="K53:K62" si="6">(H53+I53)-J53</f>
        <v>97446.057287337899</v>
      </c>
    </row>
    <row r="54" spans="1:11" ht="18" customHeight="1">
      <c r="A54" s="5" t="s">
        <v>93</v>
      </c>
      <c r="B54" s="369" t="s">
        <v>751</v>
      </c>
      <c r="C54" s="361"/>
      <c r="D54" s="362"/>
      <c r="F54" s="14"/>
      <c r="G54" s="14"/>
      <c r="H54" s="15">
        <v>0</v>
      </c>
      <c r="I54" s="50">
        <v>0</v>
      </c>
      <c r="J54" s="15"/>
      <c r="K54" s="16">
        <f t="shared" si="6"/>
        <v>0</v>
      </c>
    </row>
    <row r="55" spans="1:11" ht="18" customHeight="1">
      <c r="A55" s="5" t="s">
        <v>94</v>
      </c>
      <c r="B55" s="650" t="s">
        <v>752</v>
      </c>
      <c r="C55" s="643"/>
      <c r="D55" s="644"/>
      <c r="F55" s="14"/>
      <c r="G55" s="14"/>
      <c r="H55" s="15">
        <v>4601</v>
      </c>
      <c r="I55" s="50">
        <f t="shared" si="5"/>
        <v>2499.2012729078901</v>
      </c>
      <c r="J55" s="15"/>
      <c r="K55" s="16">
        <f t="shared" si="6"/>
        <v>7100.2012729078906</v>
      </c>
    </row>
    <row r="56" spans="1:11" ht="18" customHeight="1">
      <c r="A56" s="5" t="s">
        <v>95</v>
      </c>
      <c r="B56" s="650" t="s">
        <v>753</v>
      </c>
      <c r="C56" s="643"/>
      <c r="D56" s="644"/>
      <c r="F56" s="14"/>
      <c r="G56" s="14"/>
      <c r="H56" s="15">
        <v>52278</v>
      </c>
      <c r="I56" s="50">
        <f t="shared" si="5"/>
        <v>28396.70596502471</v>
      </c>
      <c r="J56" s="15"/>
      <c r="K56" s="16">
        <f t="shared" si="6"/>
        <v>80674.70596502471</v>
      </c>
    </row>
    <row r="57" spans="1:11" ht="18" customHeight="1">
      <c r="A57" s="5" t="s">
        <v>96</v>
      </c>
      <c r="B57" s="650" t="s">
        <v>754</v>
      </c>
      <c r="C57" s="643"/>
      <c r="D57" s="644"/>
      <c r="F57" s="14"/>
      <c r="G57" s="14"/>
      <c r="H57" s="15">
        <v>1669605.06</v>
      </c>
      <c r="I57" s="50">
        <f t="shared" si="5"/>
        <v>906906.99656714941</v>
      </c>
      <c r="J57" s="15">
        <v>457610.08</v>
      </c>
      <c r="K57" s="16">
        <f t="shared" si="6"/>
        <v>2118901.9765671492</v>
      </c>
    </row>
    <row r="58" spans="1:11" ht="18" customHeight="1">
      <c r="A58" s="5" t="s">
        <v>97</v>
      </c>
      <c r="B58" s="369" t="s">
        <v>755</v>
      </c>
      <c r="C58" s="361"/>
      <c r="D58" s="362"/>
      <c r="F58" s="14"/>
      <c r="G58" s="14"/>
      <c r="H58" s="15">
        <v>1604572.0499571187</v>
      </c>
      <c r="I58" s="50">
        <v>0</v>
      </c>
      <c r="J58" s="15"/>
      <c r="K58" s="16">
        <f t="shared" si="6"/>
        <v>1604572.0499571187</v>
      </c>
    </row>
    <row r="59" spans="1:11" ht="18" customHeight="1">
      <c r="A59" s="5" t="s">
        <v>98</v>
      </c>
      <c r="B59" s="650" t="s">
        <v>756</v>
      </c>
      <c r="C59" s="643"/>
      <c r="D59" s="644"/>
      <c r="F59" s="14"/>
      <c r="G59" s="14"/>
      <c r="H59" s="15">
        <v>928568.62</v>
      </c>
      <c r="I59" s="50">
        <v>0</v>
      </c>
      <c r="J59" s="15">
        <v>888119.02</v>
      </c>
      <c r="K59" s="16">
        <f t="shared" si="6"/>
        <v>40449.599999999977</v>
      </c>
    </row>
    <row r="60" spans="1:11" ht="18" customHeight="1">
      <c r="A60" s="5" t="s">
        <v>99</v>
      </c>
      <c r="B60" s="369" t="s">
        <v>757</v>
      </c>
      <c r="C60" s="361"/>
      <c r="D60" s="362"/>
      <c r="F60" s="14"/>
      <c r="G60" s="14"/>
      <c r="H60" s="15">
        <v>660199.35</v>
      </c>
      <c r="I60" s="50">
        <v>0</v>
      </c>
      <c r="J60" s="15">
        <v>218688.36</v>
      </c>
      <c r="K60" s="16">
        <f t="shared" si="6"/>
        <v>441510.99</v>
      </c>
    </row>
    <row r="61" spans="1:11" ht="18" customHeight="1">
      <c r="A61" s="5" t="s">
        <v>100</v>
      </c>
      <c r="B61" s="369" t="s">
        <v>758</v>
      </c>
      <c r="C61" s="361"/>
      <c r="D61" s="362"/>
      <c r="F61" s="14"/>
      <c r="G61" s="14"/>
      <c r="H61" s="15">
        <v>767266.15384615387</v>
      </c>
      <c r="I61" s="50">
        <v>0</v>
      </c>
      <c r="J61" s="15">
        <v>466198.39583333349</v>
      </c>
      <c r="K61" s="16">
        <f t="shared" si="6"/>
        <v>301067.75801282038</v>
      </c>
    </row>
    <row r="62" spans="1:11" ht="18" customHeight="1">
      <c r="A62" s="5" t="s">
        <v>101</v>
      </c>
      <c r="B62" s="642"/>
      <c r="C62" s="643"/>
      <c r="D62" s="644"/>
      <c r="F62" s="14"/>
      <c r="G62" s="14"/>
      <c r="H62" s="15"/>
      <c r="I62" s="50">
        <v>0</v>
      </c>
      <c r="J62" s="15"/>
      <c r="K62" s="16">
        <f t="shared" si="6"/>
        <v>0</v>
      </c>
    </row>
    <row r="63" spans="1:11" ht="18" customHeight="1">
      <c r="A63" s="5"/>
      <c r="I63" s="46"/>
    </row>
    <row r="64" spans="1:11" ht="18" customHeight="1">
      <c r="A64" s="5" t="s">
        <v>144</v>
      </c>
      <c r="B64" s="2" t="s">
        <v>145</v>
      </c>
      <c r="E64" s="2" t="s">
        <v>7</v>
      </c>
      <c r="F64" s="18">
        <f t="shared" ref="F64:K64" si="7">SUM(F53:F62)</f>
        <v>0</v>
      </c>
      <c r="G64" s="18">
        <f t="shared" si="7"/>
        <v>0</v>
      </c>
      <c r="H64" s="16">
        <f t="shared" si="7"/>
        <v>5750236.2338032722</v>
      </c>
      <c r="I64" s="16">
        <f t="shared" si="7"/>
        <v>972102.96109241992</v>
      </c>
      <c r="J64" s="16">
        <f t="shared" si="7"/>
        <v>2030615.8558333335</v>
      </c>
      <c r="K64" s="16">
        <f t="shared" si="7"/>
        <v>4691723.3390623583</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v>5702.9</v>
      </c>
      <c r="G68" s="51"/>
      <c r="H68" s="51">
        <v>280141</v>
      </c>
      <c r="I68" s="50">
        <f t="shared" ref="I68" si="8">+H68*F$114</f>
        <v>152168.82064631369</v>
      </c>
      <c r="J68" s="51">
        <v>180816.52000000002</v>
      </c>
      <c r="K68" s="16">
        <f>(H68+I68)-J68</f>
        <v>251493.3006463137</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9">SUM(F68:F72)</f>
        <v>5702.9</v>
      </c>
      <c r="G74" s="21">
        <f t="shared" si="9"/>
        <v>0</v>
      </c>
      <c r="H74" s="21">
        <f t="shared" si="9"/>
        <v>280141</v>
      </c>
      <c r="I74" s="53">
        <f t="shared" si="9"/>
        <v>152168.82064631369</v>
      </c>
      <c r="J74" s="21">
        <f t="shared" si="9"/>
        <v>180816.52000000002</v>
      </c>
      <c r="K74" s="17">
        <f t="shared" si="9"/>
        <v>251493.3006463137</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v>462333.72353961354</v>
      </c>
      <c r="I77" s="50">
        <v>0</v>
      </c>
      <c r="J77" s="15"/>
      <c r="K77" s="16">
        <f>(H77+I77)-J77</f>
        <v>462333.72353961354</v>
      </c>
    </row>
    <row r="78" spans="1:11" ht="18" customHeight="1">
      <c r="A78" s="5" t="s">
        <v>108</v>
      </c>
      <c r="B78" s="341" t="s">
        <v>55</v>
      </c>
      <c r="F78" s="14"/>
      <c r="G78" s="14"/>
      <c r="H78" s="15"/>
      <c r="I78" s="50">
        <v>0</v>
      </c>
      <c r="J78" s="15"/>
      <c r="K78" s="16">
        <f>(H78+I78)-J78</f>
        <v>0</v>
      </c>
    </row>
    <row r="79" spans="1:11" ht="18" customHeight="1">
      <c r="A79" s="5" t="s">
        <v>109</v>
      </c>
      <c r="B79" s="341" t="s">
        <v>13</v>
      </c>
      <c r="F79" s="14"/>
      <c r="G79" s="14"/>
      <c r="H79" s="15">
        <v>138258.9</v>
      </c>
      <c r="I79" s="50">
        <v>0</v>
      </c>
      <c r="J79" s="15"/>
      <c r="K79" s="16">
        <f>(H79+I79)-J79</f>
        <v>138258.9</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10">SUM(F77:F80)</f>
        <v>0</v>
      </c>
      <c r="G82" s="21">
        <f t="shared" si="10"/>
        <v>0</v>
      </c>
      <c r="H82" s="17">
        <f t="shared" si="10"/>
        <v>600592.62353961356</v>
      </c>
      <c r="I82" s="17">
        <f t="shared" si="10"/>
        <v>0</v>
      </c>
      <c r="J82" s="17">
        <f t="shared" si="10"/>
        <v>0</v>
      </c>
      <c r="K82" s="17">
        <f t="shared" si="10"/>
        <v>600592.62353961356</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v>136370.97</v>
      </c>
      <c r="I86" s="50">
        <v>0</v>
      </c>
      <c r="J86" s="15"/>
      <c r="K86" s="16">
        <f t="shared" ref="K86:K96" si="11">(H86+I86)-J86</f>
        <v>136370.97</v>
      </c>
    </row>
    <row r="87" spans="1:11" ht="18" customHeight="1">
      <c r="A87" s="5" t="s">
        <v>114</v>
      </c>
      <c r="B87" s="341" t="s">
        <v>14</v>
      </c>
      <c r="F87" s="14"/>
      <c r="G87" s="14"/>
      <c r="H87" s="15"/>
      <c r="I87" s="50">
        <f t="shared" ref="I87:I96" si="12">H87*F$114</f>
        <v>0</v>
      </c>
      <c r="J87" s="15"/>
      <c r="K87" s="16">
        <f t="shared" si="11"/>
        <v>0</v>
      </c>
    </row>
    <row r="88" spans="1:11" ht="18" customHeight="1">
      <c r="A88" s="5" t="s">
        <v>115</v>
      </c>
      <c r="B88" s="341" t="s">
        <v>116</v>
      </c>
      <c r="F88" s="14"/>
      <c r="G88" s="14"/>
      <c r="H88" s="15">
        <v>40000</v>
      </c>
      <c r="I88" s="50">
        <f t="shared" si="12"/>
        <v>21727.461620585877</v>
      </c>
      <c r="J88" s="15">
        <v>40000</v>
      </c>
      <c r="K88" s="16">
        <f t="shared" si="11"/>
        <v>21727.461620585877</v>
      </c>
    </row>
    <row r="89" spans="1:11" ht="18" customHeight="1">
      <c r="A89" s="5" t="s">
        <v>117</v>
      </c>
      <c r="B89" s="341" t="s">
        <v>58</v>
      </c>
      <c r="F89" s="14"/>
      <c r="G89" s="14"/>
      <c r="H89" s="15"/>
      <c r="I89" s="50">
        <f t="shared" si="12"/>
        <v>0</v>
      </c>
      <c r="J89" s="15"/>
      <c r="K89" s="16">
        <f t="shared" si="11"/>
        <v>0</v>
      </c>
    </row>
    <row r="90" spans="1:11" ht="18" customHeight="1">
      <c r="A90" s="5" t="s">
        <v>118</v>
      </c>
      <c r="B90" s="641" t="s">
        <v>59</v>
      </c>
      <c r="C90" s="649"/>
      <c r="F90" s="14"/>
      <c r="G90" s="14"/>
      <c r="H90" s="15"/>
      <c r="I90" s="50">
        <f t="shared" si="12"/>
        <v>0</v>
      </c>
      <c r="J90" s="15"/>
      <c r="K90" s="16">
        <f t="shared" si="11"/>
        <v>0</v>
      </c>
    </row>
    <row r="91" spans="1:11" ht="18" customHeight="1">
      <c r="A91" s="5" t="s">
        <v>119</v>
      </c>
      <c r="B91" s="341" t="s">
        <v>60</v>
      </c>
      <c r="F91" s="14"/>
      <c r="G91" s="14"/>
      <c r="H91" s="15"/>
      <c r="I91" s="50">
        <f t="shared" si="12"/>
        <v>0</v>
      </c>
      <c r="J91" s="15"/>
      <c r="K91" s="16">
        <f t="shared" si="11"/>
        <v>0</v>
      </c>
    </row>
    <row r="92" spans="1:11" ht="18" customHeight="1">
      <c r="A92" s="5" t="s">
        <v>120</v>
      </c>
      <c r="B92" s="341" t="s">
        <v>121</v>
      </c>
      <c r="F92" s="38"/>
      <c r="G92" s="38"/>
      <c r="H92" s="39"/>
      <c r="I92" s="50">
        <f t="shared" si="12"/>
        <v>0</v>
      </c>
      <c r="J92" s="39"/>
      <c r="K92" s="16">
        <f t="shared" si="11"/>
        <v>0</v>
      </c>
    </row>
    <row r="93" spans="1:11" ht="18" customHeight="1">
      <c r="A93" s="5" t="s">
        <v>122</v>
      </c>
      <c r="B93" s="341" t="s">
        <v>123</v>
      </c>
      <c r="F93" s="14"/>
      <c r="G93" s="14"/>
      <c r="H93" s="15"/>
      <c r="I93" s="50">
        <f t="shared" si="12"/>
        <v>0</v>
      </c>
      <c r="J93" s="15"/>
      <c r="K93" s="16">
        <f t="shared" si="11"/>
        <v>0</v>
      </c>
    </row>
    <row r="94" spans="1:11" ht="18" customHeight="1">
      <c r="A94" s="5" t="s">
        <v>124</v>
      </c>
      <c r="B94" s="642"/>
      <c r="C94" s="643"/>
      <c r="D94" s="644"/>
      <c r="F94" s="14"/>
      <c r="G94" s="14"/>
      <c r="H94" s="15"/>
      <c r="I94" s="50">
        <f t="shared" si="12"/>
        <v>0</v>
      </c>
      <c r="J94" s="15"/>
      <c r="K94" s="16">
        <f t="shared" si="11"/>
        <v>0</v>
      </c>
    </row>
    <row r="95" spans="1:11" ht="18" customHeight="1">
      <c r="A95" s="5" t="s">
        <v>125</v>
      </c>
      <c r="B95" s="642"/>
      <c r="C95" s="643"/>
      <c r="D95" s="644"/>
      <c r="F95" s="14"/>
      <c r="G95" s="14"/>
      <c r="H95" s="15"/>
      <c r="I95" s="50">
        <f t="shared" si="12"/>
        <v>0</v>
      </c>
      <c r="J95" s="15"/>
      <c r="K95" s="16">
        <f t="shared" si="11"/>
        <v>0</v>
      </c>
    </row>
    <row r="96" spans="1:11" ht="18" customHeight="1">
      <c r="A96" s="5" t="s">
        <v>126</v>
      </c>
      <c r="B96" s="642"/>
      <c r="C96" s="643"/>
      <c r="D96" s="644"/>
      <c r="F96" s="14"/>
      <c r="G96" s="14"/>
      <c r="H96" s="15"/>
      <c r="I96" s="50">
        <f t="shared" si="12"/>
        <v>0</v>
      </c>
      <c r="J96" s="15"/>
      <c r="K96" s="16">
        <f t="shared" si="11"/>
        <v>0</v>
      </c>
    </row>
    <row r="97" spans="1:11" ht="18" customHeight="1">
      <c r="A97" s="5"/>
      <c r="B97" s="341"/>
    </row>
    <row r="98" spans="1:11" ht="18" customHeight="1">
      <c r="A98" s="6" t="s">
        <v>150</v>
      </c>
      <c r="B98" s="2" t="s">
        <v>151</v>
      </c>
      <c r="E98" s="2" t="s">
        <v>7</v>
      </c>
      <c r="F98" s="18">
        <f t="shared" ref="F98:K98" si="13">SUM(F86:F96)</f>
        <v>0</v>
      </c>
      <c r="G98" s="18">
        <f t="shared" si="13"/>
        <v>0</v>
      </c>
      <c r="H98" s="18">
        <f t="shared" si="13"/>
        <v>176370.97</v>
      </c>
      <c r="I98" s="18">
        <f t="shared" si="13"/>
        <v>21727.461620585877</v>
      </c>
      <c r="J98" s="18">
        <f t="shared" si="13"/>
        <v>40000</v>
      </c>
      <c r="K98" s="18">
        <f t="shared" si="13"/>
        <v>158098.43162058588</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c r="G102" s="14"/>
      <c r="H102" s="15"/>
      <c r="I102" s="50">
        <f>H102*F$114</f>
        <v>0</v>
      </c>
      <c r="J102" s="15"/>
      <c r="K102" s="16">
        <f>(H102+I102)-J102</f>
        <v>0</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4">SUM(F102:F106)</f>
        <v>0</v>
      </c>
      <c r="G108" s="18">
        <f t="shared" si="14"/>
        <v>0</v>
      </c>
      <c r="H108" s="16">
        <f t="shared" si="14"/>
        <v>0</v>
      </c>
      <c r="I108" s="16">
        <f t="shared" si="14"/>
        <v>0</v>
      </c>
      <c r="J108" s="16">
        <f t="shared" si="14"/>
        <v>0</v>
      </c>
      <c r="K108" s="16">
        <f t="shared" si="14"/>
        <v>0</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11750468.134</v>
      </c>
    </row>
    <row r="112" spans="1:11" ht="18" customHeight="1">
      <c r="B112" s="2"/>
      <c r="E112" s="2"/>
      <c r="F112" s="22"/>
    </row>
    <row r="113" spans="1:6" ht="18" customHeight="1">
      <c r="A113" s="6"/>
      <c r="B113" s="2" t="s">
        <v>15</v>
      </c>
    </row>
    <row r="114" spans="1:6" ht="18" customHeight="1">
      <c r="A114" s="5" t="s">
        <v>171</v>
      </c>
      <c r="B114" s="341" t="s">
        <v>35</v>
      </c>
      <c r="F114" s="25">
        <v>0.54318654051464688</v>
      </c>
    </row>
    <row r="115" spans="1:6" ht="18" customHeight="1">
      <c r="A115" s="5"/>
      <c r="B115" s="2"/>
    </row>
    <row r="116" spans="1:6" ht="18" customHeight="1">
      <c r="A116" s="5" t="s">
        <v>170</v>
      </c>
      <c r="B116" s="2" t="s">
        <v>16</v>
      </c>
    </row>
    <row r="117" spans="1:6" ht="18" customHeight="1">
      <c r="A117" s="5" t="s">
        <v>172</v>
      </c>
      <c r="B117" s="341" t="s">
        <v>17</v>
      </c>
      <c r="F117" s="15">
        <v>405630116.13999999</v>
      </c>
    </row>
    <row r="118" spans="1:6" ht="18" customHeight="1">
      <c r="A118" s="5" t="s">
        <v>173</v>
      </c>
      <c r="B118" t="s">
        <v>18</v>
      </c>
      <c r="F118" s="15">
        <v>10972282.85</v>
      </c>
    </row>
    <row r="119" spans="1:6" ht="18" customHeight="1">
      <c r="A119" s="5" t="s">
        <v>174</v>
      </c>
      <c r="B119" s="2" t="s">
        <v>19</v>
      </c>
      <c r="F119" s="17">
        <f>SUM(F117:F118)</f>
        <v>416602398.99000001</v>
      </c>
    </row>
    <row r="120" spans="1:6" ht="18" customHeight="1">
      <c r="A120" s="5"/>
      <c r="B120" s="2"/>
    </row>
    <row r="121" spans="1:6" ht="18" customHeight="1">
      <c r="A121" s="5" t="s">
        <v>167</v>
      </c>
      <c r="B121" s="2" t="s">
        <v>36</v>
      </c>
      <c r="F121" s="15">
        <v>392471131.77999997</v>
      </c>
    </row>
    <row r="122" spans="1:6" ht="18" customHeight="1">
      <c r="A122" s="5"/>
    </row>
    <row r="123" spans="1:6" ht="18" customHeight="1">
      <c r="A123" s="5" t="s">
        <v>175</v>
      </c>
      <c r="B123" s="2" t="s">
        <v>20</v>
      </c>
      <c r="F123" s="15">
        <v>24131267.210000001</v>
      </c>
    </row>
    <row r="124" spans="1:6" ht="18" customHeight="1">
      <c r="A124" s="5"/>
    </row>
    <row r="125" spans="1:6" ht="18" customHeight="1">
      <c r="A125" s="5" t="s">
        <v>176</v>
      </c>
      <c r="B125" s="2" t="s">
        <v>21</v>
      </c>
      <c r="F125" s="15">
        <v>20935452.420000002</v>
      </c>
    </row>
    <row r="126" spans="1:6" ht="18" customHeight="1">
      <c r="A126" s="5"/>
    </row>
    <row r="127" spans="1:6" ht="18" customHeight="1">
      <c r="A127" s="5" t="s">
        <v>177</v>
      </c>
      <c r="B127" s="2" t="s">
        <v>22</v>
      </c>
      <c r="F127" s="15">
        <v>45066719.630000003</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v>619211.29511627904</v>
      </c>
      <c r="I131" s="50">
        <v>0</v>
      </c>
      <c r="J131" s="15">
        <v>491221.43</v>
      </c>
      <c r="K131" s="16">
        <f>(H131+I131)-J131</f>
        <v>127989.86511627905</v>
      </c>
    </row>
    <row r="132" spans="1:11" ht="18" customHeight="1">
      <c r="A132" s="5" t="s">
        <v>159</v>
      </c>
      <c r="B132" t="s">
        <v>25</v>
      </c>
      <c r="F132" s="14"/>
      <c r="G132" s="14"/>
      <c r="H132" s="15">
        <v>109911.9</v>
      </c>
      <c r="I132" s="50">
        <v>0</v>
      </c>
      <c r="J132" s="15">
        <v>46090.9</v>
      </c>
      <c r="K132" s="16">
        <f>(H132+I132)-J132</f>
        <v>63820.999999999993</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5">SUM(F131:F135)</f>
        <v>0</v>
      </c>
      <c r="G137" s="18">
        <f t="shared" si="15"/>
        <v>0</v>
      </c>
      <c r="H137" s="16">
        <f t="shared" si="15"/>
        <v>729123.19511627906</v>
      </c>
      <c r="I137" s="16">
        <f t="shared" si="15"/>
        <v>0</v>
      </c>
      <c r="J137" s="16">
        <f t="shared" si="15"/>
        <v>537312.32999999996</v>
      </c>
      <c r="K137" s="16">
        <f t="shared" si="15"/>
        <v>191810.86511627905</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6">F36</f>
        <v>10341.34</v>
      </c>
      <c r="G141" s="41">
        <f t="shared" si="16"/>
        <v>7935</v>
      </c>
      <c r="H141" s="41">
        <f t="shared" si="16"/>
        <v>519548.91400000005</v>
      </c>
      <c r="I141" s="41">
        <f t="shared" si="16"/>
        <v>282211.97722380178</v>
      </c>
      <c r="J141" s="41">
        <f t="shared" si="16"/>
        <v>10625</v>
      </c>
      <c r="K141" s="41">
        <f t="shared" si="16"/>
        <v>791135.89122380188</v>
      </c>
    </row>
    <row r="142" spans="1:11" ht="18" customHeight="1">
      <c r="A142" s="5" t="s">
        <v>142</v>
      </c>
      <c r="B142" s="2" t="s">
        <v>65</v>
      </c>
      <c r="F142" s="41">
        <f t="shared" ref="F142:K142" si="17">F49</f>
        <v>151839.99999999997</v>
      </c>
      <c r="G142" s="41">
        <f t="shared" si="17"/>
        <v>0</v>
      </c>
      <c r="H142" s="41">
        <f t="shared" si="17"/>
        <v>6929063.4356563874</v>
      </c>
      <c r="I142" s="41">
        <f t="shared" si="17"/>
        <v>0</v>
      </c>
      <c r="J142" s="41">
        <f t="shared" si="17"/>
        <v>0</v>
      </c>
      <c r="K142" s="41">
        <f t="shared" si="17"/>
        <v>6929063.4356563874</v>
      </c>
    </row>
    <row r="143" spans="1:11" ht="18" customHeight="1">
      <c r="A143" s="5" t="s">
        <v>144</v>
      </c>
      <c r="B143" s="2" t="s">
        <v>66</v>
      </c>
      <c r="F143" s="41">
        <f t="shared" ref="F143:K143" si="18">F64</f>
        <v>0</v>
      </c>
      <c r="G143" s="41">
        <f t="shared" si="18"/>
        <v>0</v>
      </c>
      <c r="H143" s="41">
        <f t="shared" si="18"/>
        <v>5750236.2338032722</v>
      </c>
      <c r="I143" s="41">
        <f t="shared" si="18"/>
        <v>972102.96109241992</v>
      </c>
      <c r="J143" s="41">
        <f t="shared" si="18"/>
        <v>2030615.8558333335</v>
      </c>
      <c r="K143" s="41">
        <f t="shared" si="18"/>
        <v>4691723.3390623583</v>
      </c>
    </row>
    <row r="144" spans="1:11" ht="18" customHeight="1">
      <c r="A144" s="5" t="s">
        <v>146</v>
      </c>
      <c r="B144" s="2" t="s">
        <v>67</v>
      </c>
      <c r="F144" s="41">
        <f t="shared" ref="F144:K144" si="19">F74</f>
        <v>5702.9</v>
      </c>
      <c r="G144" s="41">
        <f t="shared" si="19"/>
        <v>0</v>
      </c>
      <c r="H144" s="41">
        <f t="shared" si="19"/>
        <v>280141</v>
      </c>
      <c r="I144" s="41">
        <f t="shared" si="19"/>
        <v>152168.82064631369</v>
      </c>
      <c r="J144" s="41">
        <f t="shared" si="19"/>
        <v>180816.52000000002</v>
      </c>
      <c r="K144" s="41">
        <f t="shared" si="19"/>
        <v>251493.3006463137</v>
      </c>
    </row>
    <row r="145" spans="1:11" ht="18" customHeight="1">
      <c r="A145" s="5" t="s">
        <v>148</v>
      </c>
      <c r="B145" s="2" t="s">
        <v>68</v>
      </c>
      <c r="F145" s="41">
        <f t="shared" ref="F145:K145" si="20">F82</f>
        <v>0</v>
      </c>
      <c r="G145" s="41">
        <f t="shared" si="20"/>
        <v>0</v>
      </c>
      <c r="H145" s="41">
        <f t="shared" si="20"/>
        <v>600592.62353961356</v>
      </c>
      <c r="I145" s="41">
        <f t="shared" si="20"/>
        <v>0</v>
      </c>
      <c r="J145" s="41">
        <f t="shared" si="20"/>
        <v>0</v>
      </c>
      <c r="K145" s="41">
        <f t="shared" si="20"/>
        <v>600592.62353961356</v>
      </c>
    </row>
    <row r="146" spans="1:11" ht="18" customHeight="1">
      <c r="A146" s="5" t="s">
        <v>150</v>
      </c>
      <c r="B146" s="2" t="s">
        <v>69</v>
      </c>
      <c r="F146" s="41">
        <f t="shared" ref="F146:K146" si="21">F98</f>
        <v>0</v>
      </c>
      <c r="G146" s="41">
        <f t="shared" si="21"/>
        <v>0</v>
      </c>
      <c r="H146" s="41">
        <f t="shared" si="21"/>
        <v>176370.97</v>
      </c>
      <c r="I146" s="41">
        <f t="shared" si="21"/>
        <v>21727.461620585877</v>
      </c>
      <c r="J146" s="41">
        <f t="shared" si="21"/>
        <v>40000</v>
      </c>
      <c r="K146" s="41">
        <f t="shared" si="21"/>
        <v>158098.43162058588</v>
      </c>
    </row>
    <row r="147" spans="1:11" ht="18" customHeight="1">
      <c r="A147" s="5" t="s">
        <v>153</v>
      </c>
      <c r="B147" s="2" t="s">
        <v>61</v>
      </c>
      <c r="F147" s="18">
        <f t="shared" ref="F147:K147" si="22">F108</f>
        <v>0</v>
      </c>
      <c r="G147" s="18">
        <f t="shared" si="22"/>
        <v>0</v>
      </c>
      <c r="H147" s="18">
        <f t="shared" si="22"/>
        <v>0</v>
      </c>
      <c r="I147" s="18">
        <f t="shared" si="22"/>
        <v>0</v>
      </c>
      <c r="J147" s="18">
        <f t="shared" si="22"/>
        <v>0</v>
      </c>
      <c r="K147" s="18">
        <f t="shared" si="22"/>
        <v>0</v>
      </c>
    </row>
    <row r="148" spans="1:11" ht="18" customHeight="1">
      <c r="A148" s="5" t="s">
        <v>155</v>
      </c>
      <c r="B148" s="2" t="s">
        <v>70</v>
      </c>
      <c r="F148" s="42" t="s">
        <v>73</v>
      </c>
      <c r="G148" s="42" t="s">
        <v>73</v>
      </c>
      <c r="H148" s="43" t="s">
        <v>73</v>
      </c>
      <c r="I148" s="43" t="s">
        <v>73</v>
      </c>
      <c r="J148" s="43" t="s">
        <v>73</v>
      </c>
      <c r="K148" s="37">
        <f>F111</f>
        <v>11750468.134</v>
      </c>
    </row>
    <row r="149" spans="1:11" ht="18" customHeight="1">
      <c r="A149" s="5" t="s">
        <v>163</v>
      </c>
      <c r="B149" s="2" t="s">
        <v>71</v>
      </c>
      <c r="F149" s="18">
        <f t="shared" ref="F149:K149" si="23">F137</f>
        <v>0</v>
      </c>
      <c r="G149" s="18">
        <f t="shared" si="23"/>
        <v>0</v>
      </c>
      <c r="H149" s="18">
        <f t="shared" si="23"/>
        <v>729123.19511627906</v>
      </c>
      <c r="I149" s="18">
        <f t="shared" si="23"/>
        <v>0</v>
      </c>
      <c r="J149" s="18">
        <f t="shared" si="23"/>
        <v>537312.32999999996</v>
      </c>
      <c r="K149" s="18">
        <f t="shared" si="23"/>
        <v>191810.86511627905</v>
      </c>
    </row>
    <row r="150" spans="1:11" ht="18" customHeight="1">
      <c r="A150" s="5" t="s">
        <v>185</v>
      </c>
      <c r="B150" s="2" t="s">
        <v>186</v>
      </c>
      <c r="F150" s="42" t="s">
        <v>73</v>
      </c>
      <c r="G150" s="42" t="s">
        <v>73</v>
      </c>
      <c r="H150" s="18">
        <f>H18</f>
        <v>10385792.253880026</v>
      </c>
      <c r="I150" s="18">
        <f>I18</f>
        <v>0</v>
      </c>
      <c r="J150" s="18">
        <f>J18</f>
        <v>8881150.944117371</v>
      </c>
      <c r="K150" s="18">
        <f>K18</f>
        <v>1504641.3097626548</v>
      </c>
    </row>
    <row r="151" spans="1:11" ht="18" customHeight="1">
      <c r="B151" s="2"/>
      <c r="F151" s="48"/>
      <c r="G151" s="48"/>
      <c r="H151" s="48"/>
      <c r="I151" s="48"/>
      <c r="J151" s="48"/>
      <c r="K151" s="48"/>
    </row>
    <row r="152" spans="1:11" ht="18" customHeight="1">
      <c r="A152" s="6" t="s">
        <v>165</v>
      </c>
      <c r="B152" s="2" t="s">
        <v>26</v>
      </c>
      <c r="F152" s="49">
        <f t="shared" ref="F152:K152" si="24">SUM(F141:F150)</f>
        <v>167884.23999999996</v>
      </c>
      <c r="G152" s="49">
        <f t="shared" si="24"/>
        <v>7935</v>
      </c>
      <c r="H152" s="49">
        <f t="shared" si="24"/>
        <v>25370868.62599558</v>
      </c>
      <c r="I152" s="49">
        <f t="shared" si="24"/>
        <v>1428211.2205831213</v>
      </c>
      <c r="J152" s="49">
        <f t="shared" si="24"/>
        <v>11680520.649950705</v>
      </c>
      <c r="K152" s="49">
        <f t="shared" si="24"/>
        <v>26869027.330627993</v>
      </c>
    </row>
    <row r="154" spans="1:11" ht="18" customHeight="1">
      <c r="A154" s="6" t="s">
        <v>168</v>
      </c>
      <c r="B154" s="2" t="s">
        <v>28</v>
      </c>
      <c r="F154" s="64">
        <f>K152/F121</f>
        <v>6.8461155878566507E-2</v>
      </c>
    </row>
    <row r="155" spans="1:11" ht="18" customHeight="1">
      <c r="A155" s="6" t="s">
        <v>169</v>
      </c>
      <c r="B155" s="2" t="s">
        <v>72</v>
      </c>
      <c r="F155" s="64">
        <f>K152/F127</f>
        <v>0.59620552707683272</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43" zoomScale="70" zoomScaleNormal="50" zoomScaleSheetLayoutView="70" workbookViewId="0">
      <selection activeCell="F64" sqref="F64"/>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806</v>
      </c>
      <c r="D5" s="654"/>
      <c r="E5" s="654"/>
      <c r="F5" s="654"/>
      <c r="G5" s="655"/>
    </row>
    <row r="6" spans="1:11" ht="18" customHeight="1">
      <c r="B6" s="5" t="s">
        <v>3</v>
      </c>
      <c r="C6" s="671">
        <v>12</v>
      </c>
      <c r="D6" s="657"/>
      <c r="E6" s="657"/>
      <c r="F6" s="657"/>
      <c r="G6" s="658"/>
    </row>
    <row r="7" spans="1:11" ht="18" customHeight="1">
      <c r="B7" s="5" t="s">
        <v>4</v>
      </c>
      <c r="C7" s="659">
        <v>4612</v>
      </c>
      <c r="D7" s="660"/>
      <c r="E7" s="660"/>
      <c r="F7" s="660"/>
      <c r="G7" s="661"/>
    </row>
    <row r="9" spans="1:11" ht="18" customHeight="1">
      <c r="B9" s="5" t="s">
        <v>1</v>
      </c>
      <c r="C9" s="670" t="s">
        <v>613</v>
      </c>
      <c r="D9" s="654"/>
      <c r="E9" s="654"/>
      <c r="F9" s="654"/>
      <c r="G9" s="655"/>
    </row>
    <row r="10" spans="1:11" ht="18" customHeight="1">
      <c r="B10" s="5" t="s">
        <v>2</v>
      </c>
      <c r="C10" s="674" t="s">
        <v>614</v>
      </c>
      <c r="D10" s="663"/>
      <c r="E10" s="663"/>
      <c r="F10" s="663"/>
      <c r="G10" s="664"/>
    </row>
    <row r="11" spans="1:11" ht="18" customHeight="1">
      <c r="B11" s="5" t="s">
        <v>32</v>
      </c>
      <c r="C11" s="670" t="s">
        <v>615</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17746913</v>
      </c>
      <c r="I18" s="50">
        <v>0</v>
      </c>
      <c r="J18" s="15">
        <v>15175829</v>
      </c>
      <c r="K18" s="16">
        <f>(H18+I18)-J18</f>
        <v>2571084</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1673</v>
      </c>
      <c r="G21" s="14">
        <f>4424+97</f>
        <v>4521</v>
      </c>
      <c r="H21" s="15">
        <f>84725+1060</f>
        <v>85785</v>
      </c>
      <c r="I21" s="50">
        <f t="shared" ref="I21:I34" si="0">H21*F$114</f>
        <v>51325.165500000003</v>
      </c>
      <c r="J21" s="15">
        <f>43299+1131</f>
        <v>44430</v>
      </c>
      <c r="K21" s="16">
        <f t="shared" ref="K21:K34" si="1">(H21+I21)-J21</f>
        <v>92680.165500000003</v>
      </c>
    </row>
    <row r="22" spans="1:11" ht="18" customHeight="1">
      <c r="A22" s="5" t="s">
        <v>76</v>
      </c>
      <c r="B22" t="s">
        <v>6</v>
      </c>
      <c r="F22" s="14"/>
      <c r="G22" s="14"/>
      <c r="H22" s="15"/>
      <c r="I22" s="50">
        <f t="shared" si="0"/>
        <v>0</v>
      </c>
      <c r="J22" s="15"/>
      <c r="K22" s="16">
        <f t="shared" si="1"/>
        <v>0</v>
      </c>
    </row>
    <row r="23" spans="1:11" ht="18" customHeight="1">
      <c r="A23" s="5" t="s">
        <v>77</v>
      </c>
      <c r="B23" t="s">
        <v>43</v>
      </c>
      <c r="F23" s="14"/>
      <c r="G23" s="14"/>
      <c r="H23" s="15"/>
      <c r="I23" s="50">
        <f t="shared" si="0"/>
        <v>0</v>
      </c>
      <c r="J23" s="15"/>
      <c r="K23" s="16">
        <f t="shared" si="1"/>
        <v>0</v>
      </c>
    </row>
    <row r="24" spans="1:11" ht="18" customHeight="1">
      <c r="A24" s="5" t="s">
        <v>78</v>
      </c>
      <c r="B24" t="s">
        <v>44</v>
      </c>
      <c r="F24" s="14">
        <v>401</v>
      </c>
      <c r="G24" s="14">
        <v>449</v>
      </c>
      <c r="H24" s="15">
        <v>217703</v>
      </c>
      <c r="I24" s="50">
        <f t="shared" si="0"/>
        <v>130251.70490000001</v>
      </c>
      <c r="J24" s="15">
        <v>206003</v>
      </c>
      <c r="K24" s="16">
        <f t="shared" si="1"/>
        <v>141951.70490000001</v>
      </c>
    </row>
    <row r="25" spans="1:11" ht="18" customHeight="1">
      <c r="A25" s="5" t="s">
        <v>79</v>
      </c>
      <c r="B25" t="s">
        <v>5</v>
      </c>
      <c r="F25" s="14"/>
      <c r="G25" s="14"/>
      <c r="H25" s="15"/>
      <c r="I25" s="50">
        <f t="shared" si="0"/>
        <v>0</v>
      </c>
      <c r="J25" s="15"/>
      <c r="K25" s="16">
        <f t="shared" si="1"/>
        <v>0</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24162</v>
      </c>
      <c r="G29" s="14">
        <v>10504</v>
      </c>
      <c r="H29" s="15">
        <v>2014241</v>
      </c>
      <c r="I29" s="50">
        <f t="shared" si="0"/>
        <v>1205120.3903000001</v>
      </c>
      <c r="J29" s="15">
        <v>781854</v>
      </c>
      <c r="K29" s="16">
        <f t="shared" si="1"/>
        <v>2437507.3903000001</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363"/>
      <c r="C32" s="364"/>
      <c r="D32" s="365"/>
      <c r="F32" s="14"/>
      <c r="G32" s="342" t="s">
        <v>85</v>
      </c>
      <c r="H32" s="15"/>
      <c r="I32" s="50">
        <f t="shared" si="0"/>
        <v>0</v>
      </c>
      <c r="J32" s="15"/>
      <c r="K32" s="16">
        <f t="shared" si="1"/>
        <v>0</v>
      </c>
    </row>
    <row r="33" spans="1:11" ht="18" customHeight="1">
      <c r="A33" s="5" t="s">
        <v>135</v>
      </c>
      <c r="B33" s="363"/>
      <c r="C33" s="364"/>
      <c r="D33" s="365"/>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26236</v>
      </c>
      <c r="G36" s="18">
        <f t="shared" si="2"/>
        <v>15474</v>
      </c>
      <c r="H36" s="18">
        <f t="shared" si="2"/>
        <v>2317729</v>
      </c>
      <c r="I36" s="16">
        <f t="shared" si="2"/>
        <v>1386697.2607</v>
      </c>
      <c r="J36" s="16">
        <f t="shared" si="2"/>
        <v>1032287</v>
      </c>
      <c r="K36" s="16">
        <f t="shared" si="2"/>
        <v>2672139.2607</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394930</v>
      </c>
      <c r="G40" s="14"/>
      <c r="H40" s="15">
        <v>13329449</v>
      </c>
      <c r="I40" s="50">
        <f t="shared" ref="I40:I47" si="3">H40*F$114</f>
        <v>7975009.3367000008</v>
      </c>
      <c r="J40" s="15"/>
      <c r="K40" s="16">
        <f t="shared" ref="K40:K47" si="4">(H40+I40)-J40</f>
        <v>21304458.3367</v>
      </c>
    </row>
    <row r="41" spans="1:11" ht="18" customHeight="1">
      <c r="A41" s="5" t="s">
        <v>88</v>
      </c>
      <c r="B41" s="641" t="s">
        <v>50</v>
      </c>
      <c r="C41" s="649"/>
      <c r="F41" s="14">
        <v>7870</v>
      </c>
      <c r="G41" s="14"/>
      <c r="H41" s="15">
        <v>480450</v>
      </c>
      <c r="I41" s="50">
        <f t="shared" si="3"/>
        <v>287453.23500000004</v>
      </c>
      <c r="J41" s="15"/>
      <c r="K41" s="16">
        <f t="shared" si="4"/>
        <v>767903.2350000001</v>
      </c>
    </row>
    <row r="42" spans="1:11" ht="18" customHeight="1">
      <c r="A42" s="5" t="s">
        <v>89</v>
      </c>
      <c r="B42" s="341" t="s">
        <v>11</v>
      </c>
      <c r="F42" s="14">
        <v>11902</v>
      </c>
      <c r="G42" s="14">
        <v>932</v>
      </c>
      <c r="H42" s="15">
        <f>367745+11520</f>
        <v>379265</v>
      </c>
      <c r="I42" s="50">
        <f t="shared" si="3"/>
        <v>226914.24950000003</v>
      </c>
      <c r="J42" s="15">
        <v>102000</v>
      </c>
      <c r="K42" s="16">
        <f t="shared" si="4"/>
        <v>504179.24950000003</v>
      </c>
    </row>
    <row r="43" spans="1:11" ht="18" customHeight="1">
      <c r="A43" s="5" t="s">
        <v>90</v>
      </c>
      <c r="B43" s="343" t="s">
        <v>10</v>
      </c>
      <c r="C43" s="10"/>
      <c r="D43" s="10"/>
      <c r="F43" s="14"/>
      <c r="G43" s="14"/>
      <c r="H43" s="15"/>
      <c r="I43" s="50">
        <f t="shared" si="3"/>
        <v>0</v>
      </c>
      <c r="J43" s="15"/>
      <c r="K43" s="16">
        <f t="shared" si="4"/>
        <v>0</v>
      </c>
    </row>
    <row r="44" spans="1:11" ht="18" customHeight="1">
      <c r="A44" s="5" t="s">
        <v>91</v>
      </c>
      <c r="B44" s="636"/>
      <c r="C44" s="637"/>
      <c r="D44" s="638"/>
      <c r="F44" s="54"/>
      <c r="G44" s="54"/>
      <c r="H44" s="54"/>
      <c r="I44" s="50">
        <f t="shared" si="3"/>
        <v>0</v>
      </c>
      <c r="J44" s="54"/>
      <c r="K44" s="56">
        <f t="shared" si="4"/>
        <v>0</v>
      </c>
    </row>
    <row r="45" spans="1:11" ht="18" customHeight="1">
      <c r="A45" s="5" t="s">
        <v>139</v>
      </c>
      <c r="B45" s="636"/>
      <c r="C45" s="637"/>
      <c r="D45" s="638"/>
      <c r="F45" s="14"/>
      <c r="G45" s="14"/>
      <c r="H45" s="15"/>
      <c r="I45" s="50">
        <f t="shared" si="3"/>
        <v>0</v>
      </c>
      <c r="J45" s="15"/>
      <c r="K45" s="16">
        <f t="shared" si="4"/>
        <v>0</v>
      </c>
    </row>
    <row r="46" spans="1:11" ht="18" customHeight="1">
      <c r="A46" s="5" t="s">
        <v>140</v>
      </c>
      <c r="B46" s="636"/>
      <c r="C46" s="637"/>
      <c r="D46" s="638"/>
      <c r="F46" s="14"/>
      <c r="G46" s="14"/>
      <c r="H46" s="15"/>
      <c r="I46" s="50">
        <f t="shared" si="3"/>
        <v>0</v>
      </c>
      <c r="J46" s="15"/>
      <c r="K46" s="16">
        <f t="shared" si="4"/>
        <v>0</v>
      </c>
    </row>
    <row r="47" spans="1:11" ht="18" customHeight="1">
      <c r="A47" s="5" t="s">
        <v>141</v>
      </c>
      <c r="B47" s="636"/>
      <c r="C47" s="637"/>
      <c r="D47" s="638"/>
      <c r="F47" s="14"/>
      <c r="G47" s="14"/>
      <c r="H47" s="15"/>
      <c r="I47" s="50">
        <f t="shared" si="3"/>
        <v>0</v>
      </c>
      <c r="J47" s="15"/>
      <c r="K47" s="16">
        <f t="shared" si="4"/>
        <v>0</v>
      </c>
    </row>
    <row r="49" spans="1:11" ht="18" customHeight="1">
      <c r="A49" s="6" t="s">
        <v>142</v>
      </c>
      <c r="B49" s="2" t="s">
        <v>143</v>
      </c>
      <c r="E49" s="2" t="s">
        <v>7</v>
      </c>
      <c r="F49" s="23">
        <f t="shared" ref="F49:K49" si="5">SUM(F40:F47)</f>
        <v>414702</v>
      </c>
      <c r="G49" s="23">
        <f t="shared" si="5"/>
        <v>932</v>
      </c>
      <c r="H49" s="16">
        <f t="shared" si="5"/>
        <v>14189164</v>
      </c>
      <c r="I49" s="16">
        <f t="shared" si="5"/>
        <v>8489376.821200002</v>
      </c>
      <c r="J49" s="16">
        <f t="shared" si="5"/>
        <v>102000</v>
      </c>
      <c r="K49" s="16">
        <f t="shared" si="5"/>
        <v>22576540.821199998</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723</v>
      </c>
      <c r="C53" s="648"/>
      <c r="D53" s="644"/>
      <c r="F53" s="14"/>
      <c r="G53" s="14"/>
      <c r="H53" s="15">
        <v>4430002</v>
      </c>
      <c r="I53" s="50">
        <f t="shared" ref="I53:I62" si="6">H53*F$114</f>
        <v>2650470.1966000004</v>
      </c>
      <c r="J53" s="15"/>
      <c r="K53" s="16">
        <f t="shared" ref="K53:K62" si="7">(H53+I53)-J53</f>
        <v>7080472.1966000004</v>
      </c>
    </row>
    <row r="54" spans="1:11" ht="18" customHeight="1">
      <c r="A54" s="5" t="s">
        <v>93</v>
      </c>
      <c r="B54" s="360" t="s">
        <v>807</v>
      </c>
      <c r="C54" s="361"/>
      <c r="D54" s="362"/>
      <c r="F54" s="14"/>
      <c r="G54" s="14"/>
      <c r="H54" s="15">
        <f>118644+249111</f>
        <v>367755</v>
      </c>
      <c r="I54" s="50">
        <f t="shared" si="6"/>
        <v>220027.81650000002</v>
      </c>
      <c r="J54" s="15"/>
      <c r="K54" s="16">
        <f t="shared" si="7"/>
        <v>587782.81649999996</v>
      </c>
    </row>
    <row r="55" spans="1:11" ht="18" customHeight="1">
      <c r="A55" s="5" t="s">
        <v>94</v>
      </c>
      <c r="B55" s="642" t="s">
        <v>724</v>
      </c>
      <c r="C55" s="643"/>
      <c r="D55" s="644"/>
      <c r="F55" s="14"/>
      <c r="G55" s="14"/>
      <c r="H55" s="15">
        <v>492188</v>
      </c>
      <c r="I55" s="50">
        <f t="shared" si="6"/>
        <v>294476.08040000004</v>
      </c>
      <c r="J55" s="15"/>
      <c r="K55" s="16">
        <f t="shared" si="7"/>
        <v>786664.08040000009</v>
      </c>
    </row>
    <row r="56" spans="1:11" ht="18" customHeight="1">
      <c r="A56" s="5" t="s">
        <v>95</v>
      </c>
      <c r="B56" s="642" t="s">
        <v>726</v>
      </c>
      <c r="C56" s="643"/>
      <c r="D56" s="644"/>
      <c r="F56" s="14"/>
      <c r="G56" s="14"/>
      <c r="H56" s="15">
        <v>992325</v>
      </c>
      <c r="I56" s="50">
        <f t="shared" si="6"/>
        <v>593708.0475000001</v>
      </c>
      <c r="J56" s="15"/>
      <c r="K56" s="16">
        <f t="shared" si="7"/>
        <v>1586033.0475000001</v>
      </c>
    </row>
    <row r="57" spans="1:11" ht="18" customHeight="1">
      <c r="A57" s="5" t="s">
        <v>96</v>
      </c>
      <c r="B57" s="642" t="s">
        <v>808</v>
      </c>
      <c r="C57" s="643"/>
      <c r="D57" s="644"/>
      <c r="F57" s="14"/>
      <c r="G57" s="14"/>
      <c r="H57" s="15">
        <v>434918</v>
      </c>
      <c r="I57" s="50">
        <f t="shared" si="6"/>
        <v>260211.43940000003</v>
      </c>
      <c r="J57" s="15"/>
      <c r="K57" s="16">
        <f t="shared" si="7"/>
        <v>695129.43940000003</v>
      </c>
    </row>
    <row r="58" spans="1:11" ht="18" customHeight="1">
      <c r="A58" s="5" t="s">
        <v>97</v>
      </c>
      <c r="B58" s="360" t="s">
        <v>809</v>
      </c>
      <c r="C58" s="361"/>
      <c r="D58" s="362"/>
      <c r="F58" s="14"/>
      <c r="G58" s="14"/>
      <c r="H58" s="15">
        <v>669553</v>
      </c>
      <c r="I58" s="50">
        <f t="shared" si="6"/>
        <v>400593.55990000005</v>
      </c>
      <c r="J58" s="15"/>
      <c r="K58" s="16">
        <f t="shared" si="7"/>
        <v>1070146.5599</v>
      </c>
    </row>
    <row r="59" spans="1:11" ht="18" customHeight="1">
      <c r="A59" s="5" t="s">
        <v>98</v>
      </c>
      <c r="B59" s="642" t="s">
        <v>810</v>
      </c>
      <c r="C59" s="643"/>
      <c r="D59" s="644"/>
      <c r="F59" s="14">
        <v>25798</v>
      </c>
      <c r="G59" s="14">
        <v>22967</v>
      </c>
      <c r="H59" s="15">
        <v>2982855</v>
      </c>
      <c r="I59" s="50">
        <f t="shared" si="6"/>
        <v>1784642.1465000003</v>
      </c>
      <c r="J59" s="15">
        <v>712908</v>
      </c>
      <c r="K59" s="16">
        <f t="shared" si="7"/>
        <v>4054589.1465000007</v>
      </c>
    </row>
    <row r="60" spans="1:11" ht="18" customHeight="1">
      <c r="A60" s="5" t="s">
        <v>99</v>
      </c>
      <c r="B60" s="360"/>
      <c r="C60" s="361"/>
      <c r="D60" s="362"/>
      <c r="F60" s="14"/>
      <c r="G60" s="14"/>
      <c r="H60" s="15"/>
      <c r="I60" s="50">
        <f t="shared" si="6"/>
        <v>0</v>
      </c>
      <c r="J60" s="15"/>
      <c r="K60" s="16">
        <f t="shared" si="7"/>
        <v>0</v>
      </c>
    </row>
    <row r="61" spans="1:11" ht="18" customHeight="1">
      <c r="A61" s="5" t="s">
        <v>100</v>
      </c>
      <c r="B61" s="360"/>
      <c r="C61" s="361"/>
      <c r="D61" s="362"/>
      <c r="F61" s="14"/>
      <c r="G61" s="14"/>
      <c r="H61" s="15"/>
      <c r="I61" s="50">
        <f t="shared" si="6"/>
        <v>0</v>
      </c>
      <c r="J61" s="15"/>
      <c r="K61" s="16">
        <f t="shared" si="7"/>
        <v>0</v>
      </c>
    </row>
    <row r="62" spans="1:11" ht="18" customHeight="1">
      <c r="A62" s="5" t="s">
        <v>101</v>
      </c>
      <c r="B62" s="642"/>
      <c r="C62" s="643"/>
      <c r="D62" s="644"/>
      <c r="F62" s="14"/>
      <c r="G62" s="14"/>
      <c r="H62" s="15"/>
      <c r="I62" s="50">
        <f t="shared" si="6"/>
        <v>0</v>
      </c>
      <c r="J62" s="15"/>
      <c r="K62" s="16">
        <f t="shared" si="7"/>
        <v>0</v>
      </c>
    </row>
    <row r="63" spans="1:11" ht="18" customHeight="1">
      <c r="A63" s="5"/>
      <c r="I63" s="46"/>
    </row>
    <row r="64" spans="1:11" ht="18" customHeight="1">
      <c r="A64" s="5" t="s">
        <v>144</v>
      </c>
      <c r="B64" s="2" t="s">
        <v>145</v>
      </c>
      <c r="E64" s="2" t="s">
        <v>7</v>
      </c>
      <c r="F64" s="18">
        <f t="shared" ref="F64:K64" si="8">SUM(F53:F62)</f>
        <v>25798</v>
      </c>
      <c r="G64" s="18">
        <f t="shared" si="8"/>
        <v>22967</v>
      </c>
      <c r="H64" s="16">
        <f t="shared" si="8"/>
        <v>10369596</v>
      </c>
      <c r="I64" s="16">
        <f t="shared" si="8"/>
        <v>6204129.2868000008</v>
      </c>
      <c r="J64" s="16">
        <f t="shared" si="8"/>
        <v>712908</v>
      </c>
      <c r="K64" s="16">
        <f t="shared" si="8"/>
        <v>15860817.286800001</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14">
        <v>4146</v>
      </c>
      <c r="G68" s="51"/>
      <c r="H68" s="50">
        <v>740214</v>
      </c>
      <c r="I68" s="50">
        <f t="shared" ref="I68:I72" si="9">H68*F$114</f>
        <v>442870.03620000003</v>
      </c>
      <c r="J68" s="50">
        <v>225097</v>
      </c>
      <c r="K68" s="16">
        <f>(H68+I68)-J68</f>
        <v>957987.03619999997</v>
      </c>
    </row>
    <row r="69" spans="1:11" ht="18" customHeight="1">
      <c r="A69" s="5" t="s">
        <v>104</v>
      </c>
      <c r="B69" s="341" t="s">
        <v>53</v>
      </c>
      <c r="F69" s="51"/>
      <c r="G69" s="51"/>
      <c r="H69" s="51"/>
      <c r="I69" s="50">
        <f t="shared" si="9"/>
        <v>0</v>
      </c>
      <c r="J69" s="51"/>
      <c r="K69" s="16">
        <f>(H69+I69)-J69</f>
        <v>0</v>
      </c>
    </row>
    <row r="70" spans="1:11" ht="18" customHeight="1">
      <c r="A70" s="5" t="s">
        <v>178</v>
      </c>
      <c r="B70" s="360"/>
      <c r="C70" s="361"/>
      <c r="D70" s="362"/>
      <c r="E70" s="2"/>
      <c r="F70" s="35"/>
      <c r="G70" s="35"/>
      <c r="H70" s="36"/>
      <c r="I70" s="50">
        <f t="shared" si="9"/>
        <v>0</v>
      </c>
      <c r="J70" s="36"/>
      <c r="K70" s="16">
        <f>(H70+I70)-J70</f>
        <v>0</v>
      </c>
    </row>
    <row r="71" spans="1:11" ht="18" customHeight="1">
      <c r="A71" s="5" t="s">
        <v>179</v>
      </c>
      <c r="B71" s="360"/>
      <c r="C71" s="361"/>
      <c r="D71" s="362"/>
      <c r="E71" s="2"/>
      <c r="F71" s="35"/>
      <c r="G71" s="35"/>
      <c r="H71" s="36"/>
      <c r="I71" s="50">
        <f t="shared" si="9"/>
        <v>0</v>
      </c>
      <c r="J71" s="36"/>
      <c r="K71" s="16">
        <f>(H71+I71)-J71</f>
        <v>0</v>
      </c>
    </row>
    <row r="72" spans="1:11" ht="18" customHeight="1">
      <c r="A72" s="5" t="s">
        <v>180</v>
      </c>
      <c r="B72" s="366"/>
      <c r="C72" s="367"/>
      <c r="D72" s="34"/>
      <c r="E72" s="2"/>
      <c r="F72" s="14"/>
      <c r="G72" s="14"/>
      <c r="H72" s="15"/>
      <c r="I72" s="50">
        <f t="shared" si="9"/>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10">SUM(F68:F72)</f>
        <v>4146</v>
      </c>
      <c r="G74" s="21">
        <f t="shared" si="10"/>
        <v>0</v>
      </c>
      <c r="H74" s="21">
        <f t="shared" si="10"/>
        <v>740214</v>
      </c>
      <c r="I74" s="53">
        <f t="shared" si="10"/>
        <v>442870.03620000003</v>
      </c>
      <c r="J74" s="21">
        <f t="shared" si="10"/>
        <v>225097</v>
      </c>
      <c r="K74" s="17">
        <f t="shared" si="10"/>
        <v>957987.03619999997</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v>150118</v>
      </c>
      <c r="I77" s="50">
        <v>0</v>
      </c>
      <c r="J77" s="15"/>
      <c r="K77" s="16">
        <f>(H77+I77)-J77</f>
        <v>150118</v>
      </c>
    </row>
    <row r="78" spans="1:11" ht="18" customHeight="1">
      <c r="A78" s="5" t="s">
        <v>108</v>
      </c>
      <c r="B78" s="341" t="s">
        <v>55</v>
      </c>
      <c r="F78" s="14"/>
      <c r="G78" s="14"/>
      <c r="H78" s="15">
        <v>14670</v>
      </c>
      <c r="I78" s="50">
        <v>0</v>
      </c>
      <c r="J78" s="15"/>
      <c r="K78" s="16">
        <f>(H78+I78)-J78</f>
        <v>14670</v>
      </c>
    </row>
    <row r="79" spans="1:11" ht="18" customHeight="1">
      <c r="A79" s="5" t="s">
        <v>109</v>
      </c>
      <c r="B79" s="341" t="s">
        <v>13</v>
      </c>
      <c r="F79" s="14">
        <v>116</v>
      </c>
      <c r="G79" s="14">
        <v>306</v>
      </c>
      <c r="H79" s="15">
        <v>216268</v>
      </c>
      <c r="I79" s="50">
        <v>0</v>
      </c>
      <c r="J79" s="15"/>
      <c r="K79" s="16">
        <f>(H79+I79)-J79</f>
        <v>216268</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11">SUM(F77:F80)</f>
        <v>116</v>
      </c>
      <c r="G82" s="21">
        <f t="shared" si="11"/>
        <v>306</v>
      </c>
      <c r="H82" s="17">
        <f t="shared" si="11"/>
        <v>381056</v>
      </c>
      <c r="I82" s="17">
        <f t="shared" si="11"/>
        <v>0</v>
      </c>
      <c r="J82" s="17">
        <f t="shared" si="11"/>
        <v>0</v>
      </c>
      <c r="K82" s="17">
        <f t="shared" si="11"/>
        <v>381056</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2">H86*F$114</f>
        <v>0</v>
      </c>
      <c r="J86" s="15"/>
      <c r="K86" s="16">
        <f t="shared" ref="K86:K96" si="13">(H86+I86)-J86</f>
        <v>0</v>
      </c>
    </row>
    <row r="87" spans="1:11" ht="18" customHeight="1">
      <c r="A87" s="5" t="s">
        <v>114</v>
      </c>
      <c r="B87" s="341" t="s">
        <v>14</v>
      </c>
      <c r="F87" s="14"/>
      <c r="G87" s="14"/>
      <c r="H87" s="15"/>
      <c r="I87" s="50">
        <f t="shared" si="12"/>
        <v>0</v>
      </c>
      <c r="J87" s="15"/>
      <c r="K87" s="16">
        <f t="shared" si="13"/>
        <v>0</v>
      </c>
    </row>
    <row r="88" spans="1:11" ht="18" customHeight="1">
      <c r="A88" s="5" t="s">
        <v>115</v>
      </c>
      <c r="B88" s="341" t="s">
        <v>116</v>
      </c>
      <c r="F88" s="14"/>
      <c r="G88" s="14"/>
      <c r="H88" s="15"/>
      <c r="I88" s="50">
        <f t="shared" si="12"/>
        <v>0</v>
      </c>
      <c r="J88" s="15"/>
      <c r="K88" s="16">
        <f t="shared" si="13"/>
        <v>0</v>
      </c>
    </row>
    <row r="89" spans="1:11" ht="18" customHeight="1">
      <c r="A89" s="5" t="s">
        <v>117</v>
      </c>
      <c r="B89" s="341" t="s">
        <v>58</v>
      </c>
      <c r="F89" s="14"/>
      <c r="G89" s="14"/>
      <c r="H89" s="15"/>
      <c r="I89" s="50">
        <f t="shared" si="12"/>
        <v>0</v>
      </c>
      <c r="J89" s="15"/>
      <c r="K89" s="16">
        <f t="shared" si="13"/>
        <v>0</v>
      </c>
    </row>
    <row r="90" spans="1:11" ht="18" customHeight="1">
      <c r="A90" s="5" t="s">
        <v>118</v>
      </c>
      <c r="B90" s="641" t="s">
        <v>59</v>
      </c>
      <c r="C90" s="649"/>
      <c r="F90" s="14"/>
      <c r="G90" s="14"/>
      <c r="H90" s="15"/>
      <c r="I90" s="50">
        <f t="shared" si="12"/>
        <v>0</v>
      </c>
      <c r="J90" s="15"/>
      <c r="K90" s="16">
        <f t="shared" si="13"/>
        <v>0</v>
      </c>
    </row>
    <row r="91" spans="1:11" ht="18" customHeight="1">
      <c r="A91" s="5" t="s">
        <v>119</v>
      </c>
      <c r="B91" s="341" t="s">
        <v>60</v>
      </c>
      <c r="F91" s="14">
        <v>295</v>
      </c>
      <c r="G91" s="14"/>
      <c r="H91" s="15">
        <v>14524</v>
      </c>
      <c r="I91" s="50">
        <f t="shared" si="12"/>
        <v>8689.7092000000011</v>
      </c>
      <c r="J91" s="15">
        <v>8647</v>
      </c>
      <c r="K91" s="16">
        <f t="shared" si="13"/>
        <v>14566.709200000001</v>
      </c>
    </row>
    <row r="92" spans="1:11" ht="18" customHeight="1">
      <c r="A92" s="5" t="s">
        <v>120</v>
      </c>
      <c r="B92" s="341" t="s">
        <v>121</v>
      </c>
      <c r="F92" s="38"/>
      <c r="G92" s="38"/>
      <c r="H92" s="39"/>
      <c r="I92" s="50">
        <f t="shared" si="12"/>
        <v>0</v>
      </c>
      <c r="J92" s="39"/>
      <c r="K92" s="16">
        <f t="shared" si="13"/>
        <v>0</v>
      </c>
    </row>
    <row r="93" spans="1:11" ht="18" customHeight="1">
      <c r="A93" s="5" t="s">
        <v>122</v>
      </c>
      <c r="B93" s="341" t="s">
        <v>123</v>
      </c>
      <c r="F93" s="14">
        <v>6570</v>
      </c>
      <c r="G93" s="14">
        <v>2578</v>
      </c>
      <c r="H93" s="15">
        <v>366352</v>
      </c>
      <c r="I93" s="50">
        <f t="shared" si="12"/>
        <v>219188.40160000001</v>
      </c>
      <c r="J93" s="15">
        <v>256458</v>
      </c>
      <c r="K93" s="16">
        <f t="shared" si="13"/>
        <v>329082.40159999998</v>
      </c>
    </row>
    <row r="94" spans="1:11" ht="18" customHeight="1">
      <c r="A94" s="5" t="s">
        <v>124</v>
      </c>
      <c r="B94" s="642"/>
      <c r="C94" s="643"/>
      <c r="D94" s="644"/>
      <c r="F94" s="14"/>
      <c r="G94" s="14"/>
      <c r="H94" s="15"/>
      <c r="I94" s="50">
        <f t="shared" si="12"/>
        <v>0</v>
      </c>
      <c r="J94" s="15"/>
      <c r="K94" s="16">
        <f t="shared" si="13"/>
        <v>0</v>
      </c>
    </row>
    <row r="95" spans="1:11" ht="18" customHeight="1">
      <c r="A95" s="5" t="s">
        <v>125</v>
      </c>
      <c r="B95" s="642"/>
      <c r="C95" s="643"/>
      <c r="D95" s="644"/>
      <c r="F95" s="14"/>
      <c r="G95" s="14"/>
      <c r="H95" s="15"/>
      <c r="I95" s="50">
        <f t="shared" si="12"/>
        <v>0</v>
      </c>
      <c r="J95" s="15"/>
      <c r="K95" s="16">
        <f t="shared" si="13"/>
        <v>0</v>
      </c>
    </row>
    <row r="96" spans="1:11" ht="18" customHeight="1">
      <c r="A96" s="5" t="s">
        <v>126</v>
      </c>
      <c r="B96" s="642"/>
      <c r="C96" s="643"/>
      <c r="D96" s="644"/>
      <c r="F96" s="14"/>
      <c r="G96" s="14"/>
      <c r="H96" s="15"/>
      <c r="I96" s="50">
        <f t="shared" si="12"/>
        <v>0</v>
      </c>
      <c r="J96" s="15"/>
      <c r="K96" s="16">
        <f t="shared" si="13"/>
        <v>0</v>
      </c>
    </row>
    <row r="97" spans="1:11" ht="18" customHeight="1">
      <c r="A97" s="5"/>
      <c r="B97" s="341"/>
    </row>
    <row r="98" spans="1:11" ht="18" customHeight="1">
      <c r="A98" s="6" t="s">
        <v>150</v>
      </c>
      <c r="B98" s="2" t="s">
        <v>151</v>
      </c>
      <c r="E98" s="2" t="s">
        <v>7</v>
      </c>
      <c r="F98" s="18">
        <f t="shared" ref="F98:K98" si="14">SUM(F86:F96)</f>
        <v>6865</v>
      </c>
      <c r="G98" s="18">
        <f t="shared" si="14"/>
        <v>2578</v>
      </c>
      <c r="H98" s="18">
        <f t="shared" si="14"/>
        <v>380876</v>
      </c>
      <c r="I98" s="18">
        <f t="shared" si="14"/>
        <v>227878.11080000002</v>
      </c>
      <c r="J98" s="18">
        <f t="shared" si="14"/>
        <v>265105</v>
      </c>
      <c r="K98" s="18">
        <f t="shared" si="14"/>
        <v>343649.11079999997</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4411</v>
      </c>
      <c r="G102" s="14"/>
      <c r="H102" s="15">
        <v>197623</v>
      </c>
      <c r="I102" s="50">
        <f>H102*F$114</f>
        <v>118237.84090000001</v>
      </c>
      <c r="J102" s="15"/>
      <c r="K102" s="16">
        <f>(H102+I102)-J102</f>
        <v>315860.84090000001</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t="s">
        <v>811</v>
      </c>
      <c r="C104" s="643"/>
      <c r="D104" s="644"/>
      <c r="F104" s="14">
        <v>1560</v>
      </c>
      <c r="G104" s="14"/>
      <c r="H104" s="15">
        <v>135447</v>
      </c>
      <c r="I104" s="50">
        <f>H104*F$114</f>
        <v>81037.940100000007</v>
      </c>
      <c r="J104" s="15"/>
      <c r="K104" s="16">
        <f>(H104+I104)-J104</f>
        <v>216484.94010000001</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5">SUM(F102:F106)</f>
        <v>5971</v>
      </c>
      <c r="G108" s="18">
        <f t="shared" si="15"/>
        <v>0</v>
      </c>
      <c r="H108" s="16">
        <f t="shared" si="15"/>
        <v>333070</v>
      </c>
      <c r="I108" s="16">
        <f t="shared" si="15"/>
        <v>199275.78100000002</v>
      </c>
      <c r="J108" s="16">
        <f t="shared" si="15"/>
        <v>0</v>
      </c>
      <c r="K108" s="16">
        <f t="shared" si="15"/>
        <v>532345.78099999996</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12880700</v>
      </c>
    </row>
    <row r="112" spans="1:11" ht="18" customHeight="1">
      <c r="B112" s="2"/>
      <c r="E112" s="2"/>
      <c r="F112" s="22"/>
    </row>
    <row r="113" spans="1:6" ht="18" customHeight="1">
      <c r="A113" s="6"/>
      <c r="B113" s="2" t="s">
        <v>15</v>
      </c>
    </row>
    <row r="114" spans="1:6" ht="18" customHeight="1">
      <c r="A114" s="5" t="s">
        <v>171</v>
      </c>
      <c r="B114" s="341" t="s">
        <v>35</v>
      </c>
      <c r="F114" s="25">
        <v>0.59830000000000005</v>
      </c>
    </row>
    <row r="115" spans="1:6" ht="18" customHeight="1">
      <c r="A115" s="5"/>
      <c r="B115" s="2"/>
    </row>
    <row r="116" spans="1:6" ht="18" customHeight="1">
      <c r="A116" s="5" t="s">
        <v>170</v>
      </c>
      <c r="B116" s="2" t="s">
        <v>16</v>
      </c>
    </row>
    <row r="117" spans="1:6" ht="18" customHeight="1">
      <c r="A117" s="5" t="s">
        <v>172</v>
      </c>
      <c r="B117" s="341" t="s">
        <v>17</v>
      </c>
      <c r="F117" s="15">
        <v>649652000</v>
      </c>
    </row>
    <row r="118" spans="1:6" ht="18" customHeight="1">
      <c r="A118" s="5" t="s">
        <v>173</v>
      </c>
      <c r="B118" t="s">
        <v>18</v>
      </c>
      <c r="F118" s="15">
        <f>3465000+44403000</f>
        <v>47868000</v>
      </c>
    </row>
    <row r="119" spans="1:6" ht="18" customHeight="1">
      <c r="A119" s="5" t="s">
        <v>174</v>
      </c>
      <c r="B119" s="2" t="s">
        <v>19</v>
      </c>
      <c r="F119" s="17">
        <f>SUM(F117:F118)</f>
        <v>697520000</v>
      </c>
    </row>
    <row r="120" spans="1:6" ht="18" customHeight="1">
      <c r="A120" s="5"/>
      <c r="B120" s="2"/>
    </row>
    <row r="121" spans="1:6" ht="18" customHeight="1">
      <c r="A121" s="5" t="s">
        <v>167</v>
      </c>
      <c r="B121" s="2" t="s">
        <v>36</v>
      </c>
      <c r="F121" s="15">
        <v>669579000</v>
      </c>
    </row>
    <row r="122" spans="1:6" ht="18" customHeight="1">
      <c r="A122" s="5"/>
    </row>
    <row r="123" spans="1:6" ht="18" customHeight="1">
      <c r="A123" s="5" t="s">
        <v>175</v>
      </c>
      <c r="B123" s="2" t="s">
        <v>20</v>
      </c>
      <c r="F123" s="15">
        <f>F119-F121</f>
        <v>27941000</v>
      </c>
    </row>
    <row r="124" spans="1:6" ht="18" customHeight="1">
      <c r="A124" s="5"/>
    </row>
    <row r="125" spans="1:6" ht="18" customHeight="1">
      <c r="A125" s="5" t="s">
        <v>176</v>
      </c>
      <c r="B125" s="2" t="s">
        <v>21</v>
      </c>
      <c r="F125" s="15">
        <f>29800000</f>
        <v>29800000</v>
      </c>
    </row>
    <row r="126" spans="1:6" ht="18" customHeight="1">
      <c r="A126" s="5"/>
    </row>
    <row r="127" spans="1:6" ht="18" customHeight="1">
      <c r="A127" s="5" t="s">
        <v>177</v>
      </c>
      <c r="B127" s="2" t="s">
        <v>22</v>
      </c>
      <c r="F127" s="15">
        <f>F123+F125</f>
        <v>57741000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6">SUM(F131:F135)</f>
        <v>0</v>
      </c>
      <c r="G137" s="18">
        <f t="shared" si="16"/>
        <v>0</v>
      </c>
      <c r="H137" s="16">
        <f t="shared" si="16"/>
        <v>0</v>
      </c>
      <c r="I137" s="16">
        <f t="shared" si="16"/>
        <v>0</v>
      </c>
      <c r="J137" s="16">
        <f t="shared" si="16"/>
        <v>0</v>
      </c>
      <c r="K137" s="16">
        <f t="shared" si="16"/>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7">F36</f>
        <v>26236</v>
      </c>
      <c r="G141" s="41">
        <f t="shared" si="17"/>
        <v>15474</v>
      </c>
      <c r="H141" s="41">
        <f t="shared" si="17"/>
        <v>2317729</v>
      </c>
      <c r="I141" s="41">
        <f t="shared" si="17"/>
        <v>1386697.2607</v>
      </c>
      <c r="J141" s="41">
        <f t="shared" si="17"/>
        <v>1032287</v>
      </c>
      <c r="K141" s="41">
        <f t="shared" si="17"/>
        <v>2672139.2607</v>
      </c>
    </row>
    <row r="142" spans="1:11" ht="18" customHeight="1">
      <c r="A142" s="5" t="s">
        <v>142</v>
      </c>
      <c r="B142" s="2" t="s">
        <v>65</v>
      </c>
      <c r="F142" s="41">
        <f t="shared" ref="F142:K142" si="18">F49</f>
        <v>414702</v>
      </c>
      <c r="G142" s="41">
        <f t="shared" si="18"/>
        <v>932</v>
      </c>
      <c r="H142" s="41">
        <f t="shared" si="18"/>
        <v>14189164</v>
      </c>
      <c r="I142" s="41">
        <f t="shared" si="18"/>
        <v>8489376.821200002</v>
      </c>
      <c r="J142" s="41">
        <f t="shared" si="18"/>
        <v>102000</v>
      </c>
      <c r="K142" s="41">
        <f t="shared" si="18"/>
        <v>22576540.821199998</v>
      </c>
    </row>
    <row r="143" spans="1:11" ht="18" customHeight="1">
      <c r="A143" s="5" t="s">
        <v>144</v>
      </c>
      <c r="B143" s="2" t="s">
        <v>66</v>
      </c>
      <c r="F143" s="41">
        <f t="shared" ref="F143:K143" si="19">F64</f>
        <v>25798</v>
      </c>
      <c r="G143" s="41">
        <f t="shared" si="19"/>
        <v>22967</v>
      </c>
      <c r="H143" s="41">
        <f t="shared" si="19"/>
        <v>10369596</v>
      </c>
      <c r="I143" s="41">
        <f t="shared" si="19"/>
        <v>6204129.2868000008</v>
      </c>
      <c r="J143" s="41">
        <f t="shared" si="19"/>
        <v>712908</v>
      </c>
      <c r="K143" s="41">
        <f t="shared" si="19"/>
        <v>15860817.286800001</v>
      </c>
    </row>
    <row r="144" spans="1:11" ht="18" customHeight="1">
      <c r="A144" s="5" t="s">
        <v>146</v>
      </c>
      <c r="B144" s="2" t="s">
        <v>67</v>
      </c>
      <c r="F144" s="41">
        <f t="shared" ref="F144:K144" si="20">F74</f>
        <v>4146</v>
      </c>
      <c r="G144" s="41">
        <f t="shared" si="20"/>
        <v>0</v>
      </c>
      <c r="H144" s="41">
        <f t="shared" si="20"/>
        <v>740214</v>
      </c>
      <c r="I144" s="41">
        <f t="shared" si="20"/>
        <v>442870.03620000003</v>
      </c>
      <c r="J144" s="41">
        <f t="shared" si="20"/>
        <v>225097</v>
      </c>
      <c r="K144" s="41">
        <f t="shared" si="20"/>
        <v>957987.03619999997</v>
      </c>
    </row>
    <row r="145" spans="1:11" ht="18" customHeight="1">
      <c r="A145" s="5" t="s">
        <v>148</v>
      </c>
      <c r="B145" s="2" t="s">
        <v>68</v>
      </c>
      <c r="F145" s="41">
        <f t="shared" ref="F145:K145" si="21">F82</f>
        <v>116</v>
      </c>
      <c r="G145" s="41">
        <f t="shared" si="21"/>
        <v>306</v>
      </c>
      <c r="H145" s="41">
        <f t="shared" si="21"/>
        <v>381056</v>
      </c>
      <c r="I145" s="41">
        <f t="shared" si="21"/>
        <v>0</v>
      </c>
      <c r="J145" s="41">
        <f t="shared" si="21"/>
        <v>0</v>
      </c>
      <c r="K145" s="41">
        <f t="shared" si="21"/>
        <v>381056</v>
      </c>
    </row>
    <row r="146" spans="1:11" ht="18" customHeight="1">
      <c r="A146" s="5" t="s">
        <v>150</v>
      </c>
      <c r="B146" s="2" t="s">
        <v>69</v>
      </c>
      <c r="F146" s="41">
        <f t="shared" ref="F146:K146" si="22">F98</f>
        <v>6865</v>
      </c>
      <c r="G146" s="41">
        <f t="shared" si="22"/>
        <v>2578</v>
      </c>
      <c r="H146" s="41">
        <f t="shared" si="22"/>
        <v>380876</v>
      </c>
      <c r="I146" s="41">
        <f t="shared" si="22"/>
        <v>227878.11080000002</v>
      </c>
      <c r="J146" s="41">
        <f t="shared" si="22"/>
        <v>265105</v>
      </c>
      <c r="K146" s="41">
        <f t="shared" si="22"/>
        <v>343649.11079999997</v>
      </c>
    </row>
    <row r="147" spans="1:11" ht="18" customHeight="1">
      <c r="A147" s="5" t="s">
        <v>153</v>
      </c>
      <c r="B147" s="2" t="s">
        <v>61</v>
      </c>
      <c r="F147" s="18">
        <f t="shared" ref="F147:K147" si="23">F108</f>
        <v>5971</v>
      </c>
      <c r="G147" s="18">
        <f t="shared" si="23"/>
        <v>0</v>
      </c>
      <c r="H147" s="18">
        <f t="shared" si="23"/>
        <v>333070</v>
      </c>
      <c r="I147" s="18">
        <f t="shared" si="23"/>
        <v>199275.78100000002</v>
      </c>
      <c r="J147" s="18">
        <f t="shared" si="23"/>
        <v>0</v>
      </c>
      <c r="K147" s="18">
        <f t="shared" si="23"/>
        <v>532345.78099999996</v>
      </c>
    </row>
    <row r="148" spans="1:11" ht="18" customHeight="1">
      <c r="A148" s="5" t="s">
        <v>155</v>
      </c>
      <c r="B148" s="2" t="s">
        <v>70</v>
      </c>
      <c r="F148" s="42" t="s">
        <v>73</v>
      </c>
      <c r="G148" s="42" t="s">
        <v>73</v>
      </c>
      <c r="H148" s="43" t="s">
        <v>73</v>
      </c>
      <c r="I148" s="43" t="s">
        <v>73</v>
      </c>
      <c r="J148" s="43" t="s">
        <v>73</v>
      </c>
      <c r="K148" s="37">
        <f>F111</f>
        <v>12880700</v>
      </c>
    </row>
    <row r="149" spans="1:11" ht="18" customHeight="1">
      <c r="A149" s="5" t="s">
        <v>163</v>
      </c>
      <c r="B149" s="2" t="s">
        <v>71</v>
      </c>
      <c r="F149" s="18">
        <f t="shared" ref="F149:K149" si="24">F137</f>
        <v>0</v>
      </c>
      <c r="G149" s="18">
        <f t="shared" si="24"/>
        <v>0</v>
      </c>
      <c r="H149" s="18">
        <f t="shared" si="24"/>
        <v>0</v>
      </c>
      <c r="I149" s="18">
        <f t="shared" si="24"/>
        <v>0</v>
      </c>
      <c r="J149" s="18">
        <f t="shared" si="24"/>
        <v>0</v>
      </c>
      <c r="K149" s="18">
        <f t="shared" si="24"/>
        <v>0</v>
      </c>
    </row>
    <row r="150" spans="1:11" ht="18" customHeight="1">
      <c r="A150" s="5" t="s">
        <v>185</v>
      </c>
      <c r="B150" s="2" t="s">
        <v>186</v>
      </c>
      <c r="F150" s="42" t="s">
        <v>73</v>
      </c>
      <c r="G150" s="42" t="s">
        <v>73</v>
      </c>
      <c r="H150" s="18">
        <f>H18</f>
        <v>17746913</v>
      </c>
      <c r="I150" s="18">
        <f>I18</f>
        <v>0</v>
      </c>
      <c r="J150" s="18">
        <f>J18</f>
        <v>15175829</v>
      </c>
      <c r="K150" s="18">
        <f>K18</f>
        <v>2571084</v>
      </c>
    </row>
    <row r="151" spans="1:11" ht="18" customHeight="1">
      <c r="B151" s="2"/>
      <c r="F151" s="48"/>
      <c r="G151" s="48"/>
      <c r="H151" s="48"/>
      <c r="I151" s="48"/>
      <c r="J151" s="48"/>
      <c r="K151" s="48"/>
    </row>
    <row r="152" spans="1:11" ht="18" customHeight="1">
      <c r="A152" s="6" t="s">
        <v>165</v>
      </c>
      <c r="B152" s="2" t="s">
        <v>26</v>
      </c>
      <c r="F152" s="49">
        <f t="shared" ref="F152:K152" si="25">SUM(F141:F150)</f>
        <v>483834</v>
      </c>
      <c r="G152" s="49">
        <f t="shared" si="25"/>
        <v>42257</v>
      </c>
      <c r="H152" s="49">
        <f t="shared" si="25"/>
        <v>46458618</v>
      </c>
      <c r="I152" s="49">
        <f t="shared" si="25"/>
        <v>16950227.296700004</v>
      </c>
      <c r="J152" s="49">
        <f t="shared" si="25"/>
        <v>17513226</v>
      </c>
      <c r="K152" s="49">
        <f t="shared" si="25"/>
        <v>58776319.296700001</v>
      </c>
    </row>
    <row r="154" spans="1:11" ht="18" customHeight="1">
      <c r="A154" s="6" t="s">
        <v>168</v>
      </c>
      <c r="B154" s="2" t="s">
        <v>28</v>
      </c>
      <c r="F154" s="348">
        <f>K152/F121</f>
        <v>8.7781007613291342E-2</v>
      </c>
    </row>
    <row r="155" spans="1:11" ht="18" customHeight="1">
      <c r="A155" s="6" t="s">
        <v>169</v>
      </c>
      <c r="B155" s="2" t="s">
        <v>72</v>
      </c>
      <c r="F155" s="348">
        <f>K152/F127</f>
        <v>1.0179304012175057</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topLeftCell="A40" workbookViewId="0">
      <selection activeCell="F64" sqref="F64"/>
    </sheetView>
  </sheetViews>
  <sheetFormatPr defaultRowHeight="15"/>
  <cols>
    <col min="1" max="1" width="7.5703125" style="350" bestFit="1" customWidth="1"/>
    <col min="2" max="2" width="55.5703125" style="350" bestFit="1" customWidth="1"/>
    <col min="3" max="5" width="9.140625" style="350"/>
    <col min="6" max="7" width="17.5703125" style="350" bestFit="1" customWidth="1"/>
    <col min="8" max="8" width="15" style="350" bestFit="1" customWidth="1"/>
    <col min="9" max="9" width="16.7109375" style="350" bestFit="1" customWidth="1"/>
    <col min="10" max="10" width="23.42578125" style="350" bestFit="1" customWidth="1"/>
    <col min="11" max="11" width="24.7109375" style="350" bestFit="1" customWidth="1"/>
    <col min="12" max="16384" width="9.140625" style="350"/>
  </cols>
  <sheetData>
    <row r="1" spans="1:11">
      <c r="A1" s="349"/>
    </row>
    <row r="2" spans="1:11" ht="15.75">
      <c r="D2" s="721" t="s">
        <v>371</v>
      </c>
      <c r="E2" s="721"/>
      <c r="F2" s="721"/>
      <c r="G2" s="721"/>
      <c r="H2" s="721"/>
    </row>
    <row r="3" spans="1:11">
      <c r="B3" s="351" t="s">
        <v>0</v>
      </c>
    </row>
    <row r="5" spans="1:11">
      <c r="B5" s="352" t="s">
        <v>40</v>
      </c>
      <c r="C5" s="720" t="s">
        <v>404</v>
      </c>
      <c r="D5" s="720"/>
      <c r="E5" s="720"/>
      <c r="F5" s="720"/>
      <c r="G5" s="720"/>
    </row>
    <row r="6" spans="1:11">
      <c r="B6" s="352" t="s">
        <v>3</v>
      </c>
      <c r="C6" s="720">
        <v>13</v>
      </c>
      <c r="D6" s="720"/>
      <c r="E6" s="720"/>
      <c r="F6" s="720"/>
      <c r="G6" s="720"/>
    </row>
    <row r="7" spans="1:11">
      <c r="B7" s="352" t="s">
        <v>4</v>
      </c>
      <c r="C7" s="720">
        <v>785</v>
      </c>
      <c r="D7" s="720"/>
      <c r="E7" s="720"/>
      <c r="F7" s="720"/>
      <c r="G7" s="720"/>
    </row>
    <row r="8" spans="1:11">
      <c r="B8" s="352"/>
    </row>
    <row r="9" spans="1:11">
      <c r="B9" s="352" t="s">
        <v>1</v>
      </c>
      <c r="C9" s="720" t="s">
        <v>405</v>
      </c>
      <c r="D9" s="720"/>
      <c r="E9" s="720"/>
      <c r="F9" s="720"/>
      <c r="G9" s="720"/>
    </row>
    <row r="10" spans="1:11">
      <c r="B10" s="352" t="s">
        <v>2</v>
      </c>
      <c r="C10" s="720" t="s">
        <v>406</v>
      </c>
      <c r="D10" s="720"/>
      <c r="E10" s="720"/>
      <c r="F10" s="720"/>
      <c r="G10" s="720"/>
    </row>
    <row r="11" spans="1:11">
      <c r="B11" s="352" t="s">
        <v>32</v>
      </c>
      <c r="C11" s="720" t="s">
        <v>407</v>
      </c>
      <c r="D11" s="720"/>
      <c r="E11" s="720"/>
      <c r="F11" s="720"/>
      <c r="G11" s="720"/>
    </row>
    <row r="16" spans="1:11">
      <c r="B16" s="351" t="s">
        <v>181</v>
      </c>
      <c r="F16" s="353" t="s">
        <v>9</v>
      </c>
      <c r="G16" s="353" t="s">
        <v>37</v>
      </c>
      <c r="H16" s="353" t="s">
        <v>29</v>
      </c>
      <c r="I16" s="353" t="s">
        <v>30</v>
      </c>
      <c r="J16" s="353" t="s">
        <v>33</v>
      </c>
      <c r="K16" s="353" t="s">
        <v>34</v>
      </c>
    </row>
    <row r="17" spans="1:11">
      <c r="A17" s="354" t="s">
        <v>184</v>
      </c>
      <c r="B17" s="353" t="s">
        <v>182</v>
      </c>
    </row>
    <row r="18" spans="1:11">
      <c r="A18" s="352" t="s">
        <v>408</v>
      </c>
      <c r="B18" s="352" t="s">
        <v>183</v>
      </c>
      <c r="F18" s="355" t="s">
        <v>73</v>
      </c>
      <c r="G18" s="355" t="s">
        <v>73</v>
      </c>
      <c r="H18" s="356">
        <v>3397596</v>
      </c>
      <c r="I18" s="356">
        <v>0</v>
      </c>
      <c r="J18" s="356">
        <v>2905370</v>
      </c>
      <c r="K18" s="356">
        <v>492226</v>
      </c>
    </row>
    <row r="19" spans="1:11">
      <c r="B19" s="351" t="s">
        <v>8</v>
      </c>
      <c r="F19" s="353" t="s">
        <v>9</v>
      </c>
      <c r="G19" s="353" t="s">
        <v>37</v>
      </c>
      <c r="H19" s="353" t="s">
        <v>29</v>
      </c>
      <c r="I19" s="353" t="s">
        <v>30</v>
      </c>
      <c r="J19" s="353" t="s">
        <v>33</v>
      </c>
      <c r="K19" s="353" t="s">
        <v>34</v>
      </c>
    </row>
    <row r="20" spans="1:11">
      <c r="A20" s="354" t="s">
        <v>409</v>
      </c>
      <c r="B20" s="353" t="s">
        <v>41</v>
      </c>
    </row>
    <row r="21" spans="1:11">
      <c r="A21" s="352" t="s">
        <v>410</v>
      </c>
      <c r="B21" s="352" t="s">
        <v>42</v>
      </c>
      <c r="F21" s="355">
        <v>1232</v>
      </c>
      <c r="G21" s="355">
        <v>1804</v>
      </c>
      <c r="H21" s="356">
        <v>76965</v>
      </c>
      <c r="I21" s="356">
        <v>798.13</v>
      </c>
      <c r="J21" s="356">
        <v>0</v>
      </c>
      <c r="K21" s="356">
        <v>77763.13</v>
      </c>
    </row>
    <row r="22" spans="1:11">
      <c r="A22" s="352" t="s">
        <v>411</v>
      </c>
      <c r="B22" s="352" t="s">
        <v>6</v>
      </c>
      <c r="F22" s="355">
        <v>0</v>
      </c>
      <c r="G22" s="355">
        <v>0</v>
      </c>
      <c r="H22" s="356">
        <v>0</v>
      </c>
      <c r="I22" s="356">
        <v>0</v>
      </c>
      <c r="J22" s="356">
        <v>0</v>
      </c>
      <c r="K22" s="356">
        <v>0</v>
      </c>
    </row>
    <row r="23" spans="1:11">
      <c r="A23" s="352" t="s">
        <v>412</v>
      </c>
      <c r="B23" s="352" t="s">
        <v>43</v>
      </c>
      <c r="F23" s="355">
        <v>0</v>
      </c>
      <c r="G23" s="355">
        <v>0</v>
      </c>
      <c r="H23" s="356">
        <v>0</v>
      </c>
      <c r="I23" s="356">
        <v>0</v>
      </c>
      <c r="J23" s="356">
        <v>0</v>
      </c>
      <c r="K23" s="356">
        <v>0</v>
      </c>
    </row>
    <row r="24" spans="1:11">
      <c r="A24" s="352" t="s">
        <v>413</v>
      </c>
      <c r="B24" s="352" t="s">
        <v>44</v>
      </c>
      <c r="F24" s="355">
        <v>201739</v>
      </c>
      <c r="G24" s="355">
        <v>263578</v>
      </c>
      <c r="H24" s="356">
        <v>6219798</v>
      </c>
      <c r="I24" s="356">
        <v>64499.31</v>
      </c>
      <c r="J24" s="356">
        <v>4109484</v>
      </c>
      <c r="K24" s="356">
        <v>2174813.31</v>
      </c>
    </row>
    <row r="25" spans="1:11">
      <c r="A25" s="352" t="s">
        <v>414</v>
      </c>
      <c r="B25" s="352" t="s">
        <v>5</v>
      </c>
      <c r="F25" s="355">
        <v>0</v>
      </c>
      <c r="G25" s="355">
        <v>0</v>
      </c>
      <c r="H25" s="356">
        <v>0</v>
      </c>
      <c r="I25" s="356">
        <v>0</v>
      </c>
      <c r="J25" s="356">
        <v>0</v>
      </c>
      <c r="K25" s="356">
        <v>0</v>
      </c>
    </row>
    <row r="26" spans="1:11">
      <c r="A26" s="352" t="s">
        <v>415</v>
      </c>
      <c r="B26" s="352" t="s">
        <v>45</v>
      </c>
      <c r="F26" s="355">
        <v>0</v>
      </c>
      <c r="G26" s="355">
        <v>0</v>
      </c>
      <c r="H26" s="356">
        <v>0</v>
      </c>
      <c r="I26" s="356">
        <v>0</v>
      </c>
      <c r="J26" s="356">
        <v>0</v>
      </c>
      <c r="K26" s="356">
        <v>0</v>
      </c>
    </row>
    <row r="27" spans="1:11">
      <c r="A27" s="352" t="s">
        <v>416</v>
      </c>
      <c r="B27" s="352" t="s">
        <v>46</v>
      </c>
      <c r="F27" s="355">
        <v>0</v>
      </c>
      <c r="G27" s="355">
        <v>0</v>
      </c>
      <c r="H27" s="356">
        <v>0</v>
      </c>
      <c r="I27" s="356">
        <v>0</v>
      </c>
      <c r="J27" s="356">
        <v>0</v>
      </c>
      <c r="K27" s="356">
        <v>0</v>
      </c>
    </row>
    <row r="28" spans="1:11">
      <c r="A28" s="352" t="s">
        <v>417</v>
      </c>
      <c r="B28" s="352" t="s">
        <v>47</v>
      </c>
      <c r="F28" s="355">
        <v>0</v>
      </c>
      <c r="G28" s="355">
        <v>0</v>
      </c>
      <c r="H28" s="356">
        <v>0</v>
      </c>
      <c r="I28" s="356">
        <v>0</v>
      </c>
      <c r="J28" s="356">
        <v>0</v>
      </c>
      <c r="K28" s="356">
        <v>0</v>
      </c>
    </row>
    <row r="29" spans="1:11">
      <c r="A29" s="352" t="s">
        <v>75</v>
      </c>
      <c r="B29" s="352" t="s">
        <v>48</v>
      </c>
      <c r="F29" s="355">
        <v>9243</v>
      </c>
      <c r="G29" s="355">
        <v>9915</v>
      </c>
      <c r="H29" s="356">
        <v>828</v>
      </c>
      <c r="I29" s="356">
        <v>8.59</v>
      </c>
      <c r="J29" s="356">
        <v>0</v>
      </c>
      <c r="K29" s="356">
        <v>836.59</v>
      </c>
    </row>
    <row r="30" spans="1:11">
      <c r="A30" s="352" t="s">
        <v>76</v>
      </c>
      <c r="B30" s="352" t="s">
        <v>418</v>
      </c>
      <c r="F30" s="355">
        <v>3043</v>
      </c>
      <c r="G30" s="355">
        <v>4744</v>
      </c>
      <c r="H30" s="356">
        <v>959730</v>
      </c>
      <c r="I30" s="356">
        <v>9952.4</v>
      </c>
      <c r="J30" s="356">
        <v>0</v>
      </c>
      <c r="K30" s="356">
        <v>969682.4</v>
      </c>
    </row>
    <row r="31" spans="1:11">
      <c r="A31" s="352" t="s">
        <v>77</v>
      </c>
      <c r="B31" s="352" t="s">
        <v>419</v>
      </c>
      <c r="F31" s="355">
        <v>42661</v>
      </c>
      <c r="G31" s="355">
        <v>7944</v>
      </c>
      <c r="H31" s="356">
        <v>2882505</v>
      </c>
      <c r="I31" s="356">
        <v>29891.58</v>
      </c>
      <c r="J31" s="356">
        <v>0</v>
      </c>
      <c r="K31" s="356">
        <v>2912396.58</v>
      </c>
    </row>
    <row r="32" spans="1:11">
      <c r="A32" s="352"/>
      <c r="B32" s="352"/>
      <c r="F32" s="355"/>
      <c r="G32" s="355"/>
      <c r="H32" s="356"/>
      <c r="I32" s="356"/>
      <c r="J32" s="356"/>
      <c r="K32" s="356"/>
    </row>
    <row r="33" spans="1:11">
      <c r="A33" s="352"/>
      <c r="B33" s="352"/>
      <c r="F33" s="355"/>
      <c r="G33" s="355"/>
      <c r="H33" s="356"/>
      <c r="I33" s="356"/>
      <c r="J33" s="356"/>
      <c r="K33" s="356"/>
    </row>
    <row r="34" spans="1:11">
      <c r="A34" s="352"/>
      <c r="B34" s="352"/>
      <c r="F34" s="355"/>
      <c r="G34" s="355"/>
      <c r="H34" s="356"/>
      <c r="I34" s="356"/>
      <c r="J34" s="356"/>
      <c r="K34" s="356"/>
    </row>
    <row r="35" spans="1:11">
      <c r="A35" s="352"/>
      <c r="B35" s="352"/>
      <c r="F35" s="355"/>
      <c r="G35" s="355"/>
      <c r="H35" s="356"/>
      <c r="I35" s="356"/>
      <c r="J35" s="356"/>
      <c r="K35" s="356"/>
    </row>
    <row r="36" spans="1:11">
      <c r="A36" s="354" t="s">
        <v>420</v>
      </c>
      <c r="B36" s="352" t="s">
        <v>138</v>
      </c>
      <c r="F36" s="355">
        <v>257918</v>
      </c>
      <c r="G36" s="355">
        <v>287985</v>
      </c>
      <c r="H36" s="356">
        <v>10139826</v>
      </c>
      <c r="I36" s="356">
        <v>105150.01</v>
      </c>
      <c r="J36" s="356">
        <v>4109484</v>
      </c>
      <c r="K36" s="356">
        <v>6135492.0099999998</v>
      </c>
    </row>
    <row r="39" spans="1:11">
      <c r="A39" s="354" t="s">
        <v>86</v>
      </c>
      <c r="B39" s="353" t="s">
        <v>49</v>
      </c>
    </row>
    <row r="40" spans="1:11">
      <c r="A40" s="352" t="s">
        <v>421</v>
      </c>
      <c r="B40" s="352" t="s">
        <v>31</v>
      </c>
      <c r="F40" s="355">
        <v>0</v>
      </c>
      <c r="G40" s="355">
        <v>0</v>
      </c>
      <c r="H40" s="356">
        <v>0</v>
      </c>
      <c r="I40" s="356">
        <v>0</v>
      </c>
      <c r="J40" s="356">
        <v>0</v>
      </c>
      <c r="K40" s="356">
        <v>0</v>
      </c>
    </row>
    <row r="41" spans="1:11">
      <c r="A41" s="352" t="s">
        <v>422</v>
      </c>
      <c r="B41" s="352" t="s">
        <v>50</v>
      </c>
      <c r="F41" s="355">
        <v>0</v>
      </c>
      <c r="G41" s="355">
        <v>0</v>
      </c>
      <c r="H41" s="356">
        <v>0</v>
      </c>
      <c r="I41" s="356">
        <v>0</v>
      </c>
      <c r="J41" s="356">
        <v>0</v>
      </c>
      <c r="K41" s="356">
        <v>0</v>
      </c>
    </row>
    <row r="42" spans="1:11">
      <c r="A42" s="352" t="s">
        <v>423</v>
      </c>
      <c r="B42" s="352" t="s">
        <v>11</v>
      </c>
      <c r="F42" s="355">
        <v>42</v>
      </c>
      <c r="G42" s="355">
        <v>566</v>
      </c>
      <c r="H42" s="356">
        <v>70035</v>
      </c>
      <c r="I42" s="356">
        <v>0</v>
      </c>
      <c r="J42" s="356">
        <v>0</v>
      </c>
      <c r="K42" s="356">
        <v>70035</v>
      </c>
    </row>
    <row r="43" spans="1:11">
      <c r="A43" s="352" t="s">
        <v>424</v>
      </c>
      <c r="B43" s="352" t="s">
        <v>10</v>
      </c>
      <c r="F43" s="355">
        <v>0</v>
      </c>
      <c r="G43" s="355">
        <v>0</v>
      </c>
      <c r="H43" s="356">
        <v>0</v>
      </c>
      <c r="I43" s="356">
        <v>0</v>
      </c>
      <c r="J43" s="356">
        <v>0</v>
      </c>
      <c r="K43" s="356">
        <v>0</v>
      </c>
    </row>
    <row r="44" spans="1:11">
      <c r="A44" s="352"/>
      <c r="B44" s="352"/>
      <c r="F44" s="355"/>
      <c r="G44" s="355"/>
      <c r="H44" s="356"/>
      <c r="I44" s="356"/>
      <c r="J44" s="356"/>
      <c r="K44" s="356"/>
    </row>
    <row r="45" spans="1:11">
      <c r="A45" s="352"/>
      <c r="B45" s="352"/>
      <c r="F45" s="355"/>
      <c r="G45" s="355"/>
      <c r="H45" s="356"/>
      <c r="I45" s="356"/>
      <c r="J45" s="356"/>
      <c r="K45" s="356"/>
    </row>
    <row r="46" spans="1:11">
      <c r="A46" s="352"/>
      <c r="B46" s="352"/>
      <c r="F46" s="355"/>
      <c r="G46" s="355"/>
      <c r="H46" s="356"/>
      <c r="I46" s="356"/>
      <c r="J46" s="356"/>
      <c r="K46" s="356"/>
    </row>
    <row r="47" spans="1:11">
      <c r="A47" s="352"/>
      <c r="B47" s="352"/>
      <c r="F47" s="355"/>
      <c r="G47" s="355"/>
      <c r="H47" s="356"/>
      <c r="I47" s="356"/>
      <c r="J47" s="356"/>
      <c r="K47" s="356"/>
    </row>
    <row r="48" spans="1:11">
      <c r="A48" s="352"/>
      <c r="B48" s="352"/>
      <c r="F48" s="355"/>
      <c r="G48" s="355"/>
      <c r="H48" s="356"/>
      <c r="I48" s="356"/>
      <c r="J48" s="356"/>
      <c r="K48" s="356"/>
    </row>
    <row r="49" spans="1:11">
      <c r="A49" s="354" t="s">
        <v>425</v>
      </c>
      <c r="B49" s="352" t="s">
        <v>143</v>
      </c>
      <c r="F49" s="355">
        <v>42</v>
      </c>
      <c r="G49" s="355">
        <v>566</v>
      </c>
      <c r="H49" s="356">
        <v>70035</v>
      </c>
      <c r="I49" s="356">
        <v>0</v>
      </c>
      <c r="J49" s="356">
        <v>0</v>
      </c>
      <c r="K49" s="356">
        <v>70035</v>
      </c>
    </row>
    <row r="52" spans="1:11">
      <c r="A52" s="354" t="s">
        <v>92</v>
      </c>
      <c r="B52" s="353" t="s">
        <v>38</v>
      </c>
    </row>
    <row r="53" spans="1:11">
      <c r="A53" s="352" t="s">
        <v>426</v>
      </c>
      <c r="B53" s="352" t="s">
        <v>427</v>
      </c>
      <c r="F53" s="355">
        <v>2167</v>
      </c>
      <c r="G53" s="355">
        <v>20805</v>
      </c>
      <c r="H53" s="356">
        <v>460738</v>
      </c>
      <c r="I53" s="356">
        <v>0</v>
      </c>
      <c r="J53" s="356">
        <v>0</v>
      </c>
      <c r="K53" s="356">
        <v>460738</v>
      </c>
    </row>
    <row r="54" spans="1:11">
      <c r="A54" s="352"/>
      <c r="B54" s="352"/>
      <c r="F54" s="355"/>
      <c r="G54" s="355"/>
      <c r="H54" s="356"/>
      <c r="I54" s="356"/>
      <c r="J54" s="356"/>
      <c r="K54" s="356"/>
    </row>
    <row r="55" spans="1:11">
      <c r="A55" s="352"/>
      <c r="B55" s="352"/>
      <c r="F55" s="355"/>
      <c r="G55" s="355"/>
      <c r="H55" s="356"/>
      <c r="I55" s="356"/>
      <c r="J55" s="356"/>
      <c r="K55" s="356"/>
    </row>
    <row r="56" spans="1:11">
      <c r="A56" s="352"/>
      <c r="B56" s="352"/>
      <c r="F56" s="355"/>
      <c r="G56" s="355"/>
      <c r="H56" s="356"/>
      <c r="I56" s="356"/>
      <c r="J56" s="356"/>
      <c r="K56" s="356"/>
    </row>
    <row r="57" spans="1:11">
      <c r="A57" s="352"/>
      <c r="B57" s="352"/>
      <c r="F57" s="355"/>
      <c r="G57" s="355"/>
      <c r="H57" s="356"/>
      <c r="I57" s="356"/>
      <c r="J57" s="356"/>
      <c r="K57" s="356"/>
    </row>
    <row r="58" spans="1:11">
      <c r="A58" s="352"/>
      <c r="B58" s="352"/>
      <c r="F58" s="355"/>
      <c r="G58" s="355"/>
      <c r="H58" s="356"/>
      <c r="I58" s="356"/>
      <c r="J58" s="356"/>
      <c r="K58" s="356"/>
    </row>
    <row r="59" spans="1:11">
      <c r="A59" s="352"/>
      <c r="B59" s="352"/>
      <c r="F59" s="355"/>
      <c r="G59" s="355"/>
      <c r="H59" s="356"/>
      <c r="I59" s="356"/>
      <c r="J59" s="356"/>
      <c r="K59" s="356"/>
    </row>
    <row r="60" spans="1:11">
      <c r="A60" s="352"/>
      <c r="B60" s="352"/>
      <c r="F60" s="355"/>
      <c r="G60" s="355"/>
      <c r="H60" s="356"/>
      <c r="I60" s="356"/>
      <c r="J60" s="356"/>
      <c r="K60" s="356"/>
    </row>
    <row r="61" spans="1:11">
      <c r="A61" s="352"/>
      <c r="B61" s="352"/>
      <c r="F61" s="355"/>
      <c r="G61" s="355"/>
      <c r="H61" s="356"/>
      <c r="I61" s="356"/>
      <c r="J61" s="356"/>
      <c r="K61" s="356"/>
    </row>
    <row r="62" spans="1:11">
      <c r="A62" s="352"/>
      <c r="B62" s="352"/>
      <c r="F62" s="355"/>
      <c r="G62" s="355"/>
      <c r="H62" s="356"/>
      <c r="I62" s="356"/>
      <c r="J62" s="356"/>
      <c r="K62" s="356"/>
    </row>
    <row r="63" spans="1:11">
      <c r="A63" s="352"/>
      <c r="B63" s="352"/>
      <c r="F63" s="538"/>
      <c r="G63" s="538"/>
      <c r="H63" s="539"/>
      <c r="I63" s="539"/>
      <c r="J63" s="539"/>
      <c r="K63" s="539"/>
    </row>
    <row r="64" spans="1:11">
      <c r="A64" s="354" t="s">
        <v>428</v>
      </c>
      <c r="B64" s="352" t="s">
        <v>145</v>
      </c>
      <c r="F64" s="614">
        <f>SUM(F53:F62)</f>
        <v>2167</v>
      </c>
      <c r="G64" s="614">
        <f t="shared" ref="G64:K64" si="0">SUM(G53:G62)</f>
        <v>20805</v>
      </c>
      <c r="H64" s="614">
        <f t="shared" si="0"/>
        <v>460738</v>
      </c>
      <c r="I64" s="614">
        <f t="shared" si="0"/>
        <v>0</v>
      </c>
      <c r="J64" s="614">
        <f t="shared" si="0"/>
        <v>0</v>
      </c>
      <c r="K64" s="614">
        <f t="shared" si="0"/>
        <v>460738</v>
      </c>
    </row>
    <row r="67" spans="1:11">
      <c r="A67" s="354" t="s">
        <v>102</v>
      </c>
      <c r="B67" s="353" t="s">
        <v>12</v>
      </c>
    </row>
    <row r="68" spans="1:11">
      <c r="A68" s="352" t="s">
        <v>429</v>
      </c>
      <c r="B68" s="352" t="s">
        <v>52</v>
      </c>
      <c r="F68" s="355">
        <v>0</v>
      </c>
      <c r="G68" s="355">
        <v>0</v>
      </c>
      <c r="H68" s="356">
        <v>53263</v>
      </c>
      <c r="I68" s="356">
        <v>0</v>
      </c>
      <c r="J68" s="356">
        <v>0</v>
      </c>
      <c r="K68" s="356">
        <v>53263</v>
      </c>
    </row>
    <row r="69" spans="1:11">
      <c r="A69" s="352" t="s">
        <v>430</v>
      </c>
      <c r="B69" s="352" t="s">
        <v>53</v>
      </c>
      <c r="F69" s="355">
        <v>0</v>
      </c>
      <c r="G69" s="355">
        <v>0</v>
      </c>
      <c r="H69" s="356">
        <v>0</v>
      </c>
      <c r="I69" s="356">
        <v>0</v>
      </c>
      <c r="J69" s="356">
        <v>0</v>
      </c>
      <c r="K69" s="356">
        <v>0</v>
      </c>
    </row>
    <row r="70" spans="1:11">
      <c r="A70" s="352"/>
      <c r="B70" s="352"/>
      <c r="F70" s="355"/>
      <c r="G70" s="355"/>
      <c r="H70" s="356"/>
      <c r="I70" s="356"/>
      <c r="J70" s="356"/>
      <c r="K70" s="356"/>
    </row>
    <row r="71" spans="1:11">
      <c r="A71" s="352"/>
      <c r="B71" s="352"/>
      <c r="F71" s="355"/>
      <c r="G71" s="355"/>
      <c r="H71" s="356"/>
      <c r="I71" s="356"/>
      <c r="J71" s="356"/>
      <c r="K71" s="356"/>
    </row>
    <row r="72" spans="1:11">
      <c r="A72" s="352"/>
      <c r="B72" s="352"/>
      <c r="F72" s="355"/>
      <c r="G72" s="355"/>
      <c r="H72" s="356"/>
      <c r="I72" s="356"/>
      <c r="J72" s="356"/>
      <c r="K72" s="356"/>
    </row>
    <row r="73" spans="1:11">
      <c r="A73" s="352"/>
      <c r="B73" s="352"/>
      <c r="F73" s="355"/>
      <c r="G73" s="355"/>
      <c r="H73" s="356"/>
      <c r="I73" s="356"/>
      <c r="J73" s="356"/>
      <c r="K73" s="356"/>
    </row>
    <row r="74" spans="1:11">
      <c r="A74" s="354" t="s">
        <v>431</v>
      </c>
      <c r="B74" s="352" t="s">
        <v>147</v>
      </c>
      <c r="F74" s="355">
        <v>0</v>
      </c>
      <c r="G74" s="355">
        <v>0</v>
      </c>
      <c r="H74" s="356">
        <v>53263</v>
      </c>
      <c r="I74" s="356">
        <v>0</v>
      </c>
      <c r="J74" s="356">
        <v>0</v>
      </c>
      <c r="K74" s="356">
        <v>53263</v>
      </c>
    </row>
    <row r="76" spans="1:11">
      <c r="A76" s="354" t="s">
        <v>105</v>
      </c>
      <c r="B76" s="353" t="s">
        <v>106</v>
      </c>
    </row>
    <row r="77" spans="1:11">
      <c r="A77" s="352" t="s">
        <v>432</v>
      </c>
      <c r="B77" s="352" t="s">
        <v>54</v>
      </c>
      <c r="F77" s="355">
        <v>0</v>
      </c>
      <c r="G77" s="355">
        <v>0</v>
      </c>
      <c r="H77" s="356">
        <v>0</v>
      </c>
      <c r="I77" s="356">
        <v>0</v>
      </c>
      <c r="J77" s="356">
        <v>0</v>
      </c>
      <c r="K77" s="356">
        <v>0</v>
      </c>
    </row>
    <row r="78" spans="1:11">
      <c r="A78" s="352" t="s">
        <v>433</v>
      </c>
      <c r="B78" s="352" t="s">
        <v>55</v>
      </c>
      <c r="F78" s="355">
        <v>0</v>
      </c>
      <c r="G78" s="355">
        <v>0</v>
      </c>
      <c r="H78" s="356">
        <v>0</v>
      </c>
      <c r="I78" s="356">
        <v>0</v>
      </c>
      <c r="J78" s="356">
        <v>0</v>
      </c>
      <c r="K78" s="356">
        <v>0</v>
      </c>
    </row>
    <row r="79" spans="1:11">
      <c r="A79" s="352" t="s">
        <v>434</v>
      </c>
      <c r="B79" s="352" t="s">
        <v>13</v>
      </c>
      <c r="F79" s="355">
        <v>0</v>
      </c>
      <c r="G79" s="355">
        <v>0</v>
      </c>
      <c r="H79" s="356">
        <v>0</v>
      </c>
      <c r="I79" s="356">
        <v>0</v>
      </c>
      <c r="J79" s="356">
        <v>0</v>
      </c>
      <c r="K79" s="356">
        <v>0</v>
      </c>
    </row>
    <row r="80" spans="1:11">
      <c r="A80" s="352" t="s">
        <v>435</v>
      </c>
      <c r="B80" s="352" t="s">
        <v>436</v>
      </c>
      <c r="F80" s="355">
        <v>0</v>
      </c>
      <c r="G80" s="355">
        <v>0</v>
      </c>
      <c r="H80" s="356">
        <v>0</v>
      </c>
      <c r="I80" s="356">
        <v>0</v>
      </c>
      <c r="J80" s="356">
        <v>0</v>
      </c>
      <c r="K80" s="356">
        <v>0</v>
      </c>
    </row>
    <row r="81" spans="1:11">
      <c r="A81" s="352"/>
      <c r="B81" s="352"/>
      <c r="F81" s="355"/>
      <c r="G81" s="355"/>
      <c r="H81" s="356"/>
      <c r="I81" s="356"/>
      <c r="J81" s="356"/>
      <c r="K81" s="356"/>
    </row>
    <row r="82" spans="1:11">
      <c r="A82" s="354" t="s">
        <v>437</v>
      </c>
      <c r="B82" s="352" t="s">
        <v>106</v>
      </c>
      <c r="F82" s="355">
        <v>0</v>
      </c>
      <c r="G82" s="355">
        <v>0</v>
      </c>
      <c r="H82" s="356">
        <v>0</v>
      </c>
      <c r="I82" s="356">
        <v>0</v>
      </c>
      <c r="J82" s="356">
        <v>0</v>
      </c>
      <c r="K82" s="356">
        <v>0</v>
      </c>
    </row>
    <row r="85" spans="1:11">
      <c r="A85" s="354" t="s">
        <v>111</v>
      </c>
      <c r="B85" s="353" t="s">
        <v>57</v>
      </c>
    </row>
    <row r="86" spans="1:11">
      <c r="A86" s="352" t="s">
        <v>438</v>
      </c>
      <c r="B86" s="352" t="s">
        <v>113</v>
      </c>
      <c r="F86" s="355">
        <v>7628</v>
      </c>
      <c r="G86" s="355">
        <v>5477</v>
      </c>
      <c r="H86" s="356">
        <v>3173927</v>
      </c>
      <c r="I86" s="356">
        <v>32913.620000000003</v>
      </c>
      <c r="J86" s="356">
        <v>2605966</v>
      </c>
      <c r="K86" s="356">
        <v>600874.62</v>
      </c>
    </row>
    <row r="87" spans="1:11">
      <c r="A87" s="352" t="s">
        <v>439</v>
      </c>
      <c r="B87" s="352" t="s">
        <v>14</v>
      </c>
      <c r="F87" s="355">
        <v>0</v>
      </c>
      <c r="G87" s="355">
        <v>0</v>
      </c>
      <c r="H87" s="356">
        <v>0</v>
      </c>
      <c r="I87" s="356">
        <v>0</v>
      </c>
      <c r="J87" s="356">
        <v>0</v>
      </c>
      <c r="K87" s="356">
        <v>0</v>
      </c>
    </row>
    <row r="88" spans="1:11">
      <c r="A88" s="352" t="s">
        <v>440</v>
      </c>
      <c r="B88" s="352" t="s">
        <v>116</v>
      </c>
      <c r="F88" s="355">
        <v>0</v>
      </c>
      <c r="G88" s="355">
        <v>0</v>
      </c>
      <c r="H88" s="356">
        <v>0</v>
      </c>
      <c r="I88" s="356">
        <v>0</v>
      </c>
      <c r="J88" s="356">
        <v>0</v>
      </c>
      <c r="K88" s="356">
        <v>0</v>
      </c>
    </row>
    <row r="89" spans="1:11">
      <c r="A89" s="352" t="s">
        <v>441</v>
      </c>
      <c r="B89" s="352" t="s">
        <v>58</v>
      </c>
      <c r="F89" s="355">
        <v>0</v>
      </c>
      <c r="G89" s="355">
        <v>0</v>
      </c>
      <c r="H89" s="356">
        <v>0</v>
      </c>
      <c r="I89" s="356">
        <v>0</v>
      </c>
      <c r="J89" s="356">
        <v>0</v>
      </c>
      <c r="K89" s="356">
        <v>0</v>
      </c>
    </row>
    <row r="90" spans="1:11">
      <c r="A90" s="352" t="s">
        <v>442</v>
      </c>
      <c r="B90" s="352" t="s">
        <v>59</v>
      </c>
      <c r="F90" s="355">
        <v>0</v>
      </c>
      <c r="G90" s="355">
        <v>0</v>
      </c>
      <c r="H90" s="356">
        <v>0</v>
      </c>
      <c r="I90" s="356">
        <v>0</v>
      </c>
      <c r="J90" s="356">
        <v>0</v>
      </c>
      <c r="K90" s="356">
        <v>0</v>
      </c>
    </row>
    <row r="91" spans="1:11">
      <c r="A91" s="352" t="s">
        <v>443</v>
      </c>
      <c r="B91" s="352" t="s">
        <v>60</v>
      </c>
      <c r="F91" s="355">
        <v>0</v>
      </c>
      <c r="G91" s="355">
        <v>0</v>
      </c>
      <c r="H91" s="356">
        <v>0</v>
      </c>
      <c r="I91" s="356">
        <v>0</v>
      </c>
      <c r="J91" s="356">
        <v>0</v>
      </c>
      <c r="K91" s="356">
        <v>0</v>
      </c>
    </row>
    <row r="92" spans="1:11">
      <c r="A92" s="352" t="s">
        <v>444</v>
      </c>
      <c r="B92" s="352" t="s">
        <v>121</v>
      </c>
      <c r="F92" s="355">
        <v>0</v>
      </c>
      <c r="G92" s="355">
        <v>0</v>
      </c>
      <c r="H92" s="356">
        <v>0</v>
      </c>
      <c r="I92" s="356">
        <v>0</v>
      </c>
      <c r="J92" s="356">
        <v>0</v>
      </c>
      <c r="K92" s="356">
        <v>0</v>
      </c>
    </row>
    <row r="93" spans="1:11">
      <c r="A93" s="352" t="s">
        <v>445</v>
      </c>
      <c r="B93" s="352" t="s">
        <v>123</v>
      </c>
      <c r="F93" s="355">
        <v>0</v>
      </c>
      <c r="G93" s="355">
        <v>0</v>
      </c>
      <c r="H93" s="356">
        <v>0</v>
      </c>
      <c r="I93" s="356">
        <v>0</v>
      </c>
      <c r="J93" s="356">
        <v>0</v>
      </c>
      <c r="K93" s="356">
        <v>0</v>
      </c>
    </row>
    <row r="94" spans="1:11">
      <c r="A94" s="352"/>
      <c r="B94" s="352"/>
      <c r="F94" s="355"/>
      <c r="G94" s="355"/>
      <c r="H94" s="356"/>
      <c r="I94" s="356"/>
      <c r="J94" s="356"/>
      <c r="K94" s="356"/>
    </row>
    <row r="95" spans="1:11">
      <c r="A95" s="352"/>
      <c r="B95" s="352"/>
      <c r="F95" s="355"/>
      <c r="G95" s="355"/>
      <c r="H95" s="356"/>
      <c r="I95" s="356"/>
      <c r="J95" s="356"/>
      <c r="K95" s="356"/>
    </row>
    <row r="96" spans="1:11">
      <c r="A96" s="352"/>
      <c r="B96" s="352"/>
      <c r="F96" s="355"/>
      <c r="G96" s="355"/>
      <c r="H96" s="356"/>
      <c r="I96" s="356"/>
      <c r="J96" s="356"/>
      <c r="K96" s="356"/>
    </row>
    <row r="97" spans="1:11">
      <c r="A97" s="352"/>
      <c r="B97" s="352"/>
      <c r="F97" s="355"/>
      <c r="G97" s="355"/>
      <c r="H97" s="356"/>
      <c r="I97" s="356"/>
      <c r="J97" s="356"/>
      <c r="K97" s="356"/>
    </row>
    <row r="98" spans="1:11">
      <c r="A98" s="354" t="s">
        <v>446</v>
      </c>
      <c r="B98" s="352" t="s">
        <v>151</v>
      </c>
      <c r="F98" s="355">
        <v>7628</v>
      </c>
      <c r="G98" s="355">
        <v>5477</v>
      </c>
      <c r="H98" s="356">
        <v>3173927</v>
      </c>
      <c r="I98" s="356">
        <v>32913.620000000003</v>
      </c>
      <c r="J98" s="356">
        <v>2605966</v>
      </c>
      <c r="K98" s="356">
        <v>600874.62</v>
      </c>
    </row>
    <row r="101" spans="1:11">
      <c r="A101" s="354" t="s">
        <v>130</v>
      </c>
      <c r="B101" s="353" t="s">
        <v>63</v>
      </c>
    </row>
    <row r="102" spans="1:11">
      <c r="A102" s="352" t="s">
        <v>447</v>
      </c>
      <c r="B102" s="352" t="s">
        <v>152</v>
      </c>
      <c r="F102" s="355">
        <v>0</v>
      </c>
      <c r="G102" s="355">
        <v>0</v>
      </c>
      <c r="H102" s="356">
        <v>847453</v>
      </c>
      <c r="I102" s="356">
        <v>8788.09</v>
      </c>
      <c r="J102" s="356">
        <v>0</v>
      </c>
      <c r="K102" s="356">
        <v>856241.09</v>
      </c>
    </row>
    <row r="103" spans="1:11">
      <c r="A103" s="352" t="s">
        <v>448</v>
      </c>
      <c r="B103" s="352" t="s">
        <v>62</v>
      </c>
      <c r="F103" s="355">
        <v>0</v>
      </c>
      <c r="G103" s="355">
        <v>0</v>
      </c>
      <c r="H103" s="356">
        <v>0</v>
      </c>
      <c r="I103" s="356">
        <v>0</v>
      </c>
      <c r="J103" s="356">
        <v>0</v>
      </c>
      <c r="K103" s="356">
        <v>0</v>
      </c>
    </row>
    <row r="104" spans="1:11">
      <c r="A104" s="352"/>
      <c r="B104" s="352"/>
      <c r="F104" s="355"/>
      <c r="G104" s="355"/>
      <c r="H104" s="356"/>
      <c r="I104" s="356"/>
      <c r="J104" s="356"/>
      <c r="K104" s="356"/>
    </row>
    <row r="105" spans="1:11">
      <c r="A105" s="352"/>
      <c r="B105" s="352"/>
      <c r="F105" s="355"/>
      <c r="G105" s="355"/>
      <c r="H105" s="356"/>
      <c r="I105" s="356"/>
      <c r="J105" s="356"/>
      <c r="K105" s="356"/>
    </row>
    <row r="106" spans="1:11">
      <c r="A106" s="352"/>
      <c r="B106" s="352"/>
      <c r="F106" s="355"/>
      <c r="G106" s="355"/>
      <c r="H106" s="356"/>
      <c r="I106" s="356"/>
      <c r="J106" s="356"/>
      <c r="K106" s="356"/>
    </row>
    <row r="107" spans="1:11">
      <c r="A107" s="352"/>
      <c r="B107" s="352"/>
      <c r="F107" s="355"/>
      <c r="G107" s="355"/>
      <c r="H107" s="356"/>
      <c r="I107" s="356"/>
      <c r="J107" s="356"/>
      <c r="K107" s="356"/>
    </row>
    <row r="108" spans="1:11">
      <c r="A108" s="354" t="s">
        <v>449</v>
      </c>
      <c r="B108" s="352" t="s">
        <v>154</v>
      </c>
      <c r="F108" s="355">
        <v>0</v>
      </c>
      <c r="G108" s="355">
        <v>0</v>
      </c>
      <c r="H108" s="356">
        <v>847453</v>
      </c>
      <c r="I108" s="356">
        <v>8788.09</v>
      </c>
      <c r="J108" s="356">
        <v>0</v>
      </c>
      <c r="K108" s="356">
        <v>856241.09</v>
      </c>
    </row>
    <row r="110" spans="1:11">
      <c r="A110" s="353" t="s">
        <v>156</v>
      </c>
      <c r="B110" s="353" t="s">
        <v>39</v>
      </c>
    </row>
    <row r="111" spans="1:11">
      <c r="A111" s="352" t="s">
        <v>450</v>
      </c>
      <c r="B111" s="350" t="s">
        <v>164</v>
      </c>
      <c r="F111" s="356">
        <v>12073632</v>
      </c>
    </row>
    <row r="113" spans="1:6">
      <c r="A113" s="353"/>
      <c r="B113" s="353" t="s">
        <v>15</v>
      </c>
    </row>
    <row r="114" spans="1:6">
      <c r="A114" s="352" t="s">
        <v>451</v>
      </c>
      <c r="B114" s="350" t="s">
        <v>452</v>
      </c>
      <c r="F114" s="357">
        <v>1.04</v>
      </c>
    </row>
    <row r="116" spans="1:6">
      <c r="A116" s="353" t="s">
        <v>170</v>
      </c>
      <c r="B116" s="353" t="s">
        <v>16</v>
      </c>
    </row>
    <row r="117" spans="1:6">
      <c r="A117" s="352" t="s">
        <v>453</v>
      </c>
      <c r="B117" s="350" t="s">
        <v>17</v>
      </c>
      <c r="F117" s="356">
        <v>114144706</v>
      </c>
    </row>
    <row r="118" spans="1:6">
      <c r="A118" s="352" t="s">
        <v>454</v>
      </c>
      <c r="B118" s="350" t="s">
        <v>18</v>
      </c>
      <c r="F118" s="356">
        <v>8272047</v>
      </c>
    </row>
    <row r="119" spans="1:6">
      <c r="A119" s="352" t="s">
        <v>455</v>
      </c>
      <c r="B119" s="353" t="s">
        <v>19</v>
      </c>
      <c r="F119" s="355">
        <v>122416753</v>
      </c>
    </row>
    <row r="121" spans="1:6">
      <c r="A121" s="352" t="s">
        <v>456</v>
      </c>
      <c r="B121" s="350" t="s">
        <v>282</v>
      </c>
      <c r="F121" s="356">
        <v>119439002</v>
      </c>
    </row>
    <row r="123" spans="1:6">
      <c r="A123" s="352" t="s">
        <v>457</v>
      </c>
      <c r="B123" s="350" t="s">
        <v>458</v>
      </c>
      <c r="F123" s="356">
        <v>1625747</v>
      </c>
    </row>
    <row r="125" spans="1:6">
      <c r="A125" s="352" t="s">
        <v>459</v>
      </c>
      <c r="B125" s="350" t="s">
        <v>460</v>
      </c>
      <c r="F125" s="356">
        <v>3113625</v>
      </c>
    </row>
    <row r="127" spans="1:6">
      <c r="A127" s="352" t="s">
        <v>461</v>
      </c>
      <c r="B127" s="350" t="s">
        <v>462</v>
      </c>
      <c r="F127" s="356">
        <v>4739372</v>
      </c>
    </row>
    <row r="130" spans="1:11">
      <c r="A130" s="354" t="s">
        <v>157</v>
      </c>
      <c r="B130" s="353" t="s">
        <v>23</v>
      </c>
    </row>
    <row r="131" spans="1:11">
      <c r="A131" s="352" t="s">
        <v>463</v>
      </c>
      <c r="B131" s="352" t="s">
        <v>24</v>
      </c>
      <c r="F131" s="355">
        <v>2349</v>
      </c>
      <c r="G131" s="355">
        <v>2349</v>
      </c>
      <c r="H131" s="356">
        <v>195666</v>
      </c>
      <c r="I131" s="356">
        <v>0</v>
      </c>
      <c r="J131" s="356">
        <v>0</v>
      </c>
      <c r="K131" s="356">
        <v>195666</v>
      </c>
    </row>
    <row r="132" spans="1:11">
      <c r="A132" s="352" t="s">
        <v>464</v>
      </c>
      <c r="B132" s="352" t="s">
        <v>25</v>
      </c>
      <c r="F132" s="355">
        <v>37119</v>
      </c>
      <c r="G132" s="355">
        <v>11345</v>
      </c>
      <c r="H132" s="356">
        <v>1333684</v>
      </c>
      <c r="I132" s="356">
        <v>0</v>
      </c>
      <c r="J132" s="356">
        <v>0</v>
      </c>
      <c r="K132" s="356">
        <v>1333684</v>
      </c>
    </row>
    <row r="133" spans="1:11">
      <c r="A133" s="352"/>
      <c r="B133" s="352"/>
      <c r="F133" s="355"/>
      <c r="G133" s="355"/>
      <c r="H133" s="356"/>
      <c r="I133" s="356"/>
      <c r="J133" s="356"/>
      <c r="K133" s="356"/>
    </row>
    <row r="134" spans="1:11">
      <c r="A134" s="352"/>
      <c r="B134" s="352"/>
      <c r="F134" s="355"/>
      <c r="G134" s="355"/>
      <c r="H134" s="356"/>
      <c r="I134" s="356"/>
      <c r="J134" s="356"/>
      <c r="K134" s="356"/>
    </row>
    <row r="135" spans="1:11">
      <c r="A135" s="352"/>
      <c r="B135" s="352"/>
      <c r="F135" s="355"/>
      <c r="G135" s="355"/>
      <c r="H135" s="356"/>
      <c r="I135" s="356"/>
      <c r="J135" s="356"/>
      <c r="K135" s="356"/>
    </row>
    <row r="136" spans="1:11">
      <c r="A136" s="352"/>
      <c r="B136" s="352"/>
      <c r="F136" s="355"/>
      <c r="G136" s="355"/>
      <c r="H136" s="356"/>
      <c r="I136" s="356"/>
      <c r="J136" s="356"/>
      <c r="K136" s="356"/>
    </row>
    <row r="137" spans="1:11">
      <c r="A137" s="354" t="s">
        <v>465</v>
      </c>
      <c r="B137" s="352" t="s">
        <v>466</v>
      </c>
      <c r="F137" s="355">
        <v>39468</v>
      </c>
      <c r="G137" s="355">
        <v>13694</v>
      </c>
      <c r="H137" s="356">
        <v>1529350</v>
      </c>
      <c r="I137" s="356">
        <v>0</v>
      </c>
      <c r="J137" s="356">
        <v>0</v>
      </c>
      <c r="K137" s="356">
        <v>1529350</v>
      </c>
    </row>
    <row r="140" spans="1:11">
      <c r="A140" s="354" t="s">
        <v>166</v>
      </c>
      <c r="B140" s="353" t="s">
        <v>26</v>
      </c>
    </row>
    <row r="141" spans="1:11">
      <c r="A141" s="352" t="s">
        <v>420</v>
      </c>
      <c r="B141" s="352" t="s">
        <v>64</v>
      </c>
      <c r="F141" s="355">
        <v>257918</v>
      </c>
      <c r="G141" s="355">
        <v>287985</v>
      </c>
      <c r="H141" s="356">
        <v>10139826</v>
      </c>
      <c r="I141" s="356">
        <v>105150.01</v>
      </c>
      <c r="J141" s="356">
        <v>4109484</v>
      </c>
      <c r="K141" s="356">
        <v>6135492.0099999998</v>
      </c>
    </row>
    <row r="142" spans="1:11">
      <c r="A142" s="352" t="s">
        <v>425</v>
      </c>
      <c r="B142" s="352" t="s">
        <v>65</v>
      </c>
      <c r="F142" s="355">
        <v>42</v>
      </c>
      <c r="G142" s="355">
        <v>566</v>
      </c>
      <c r="H142" s="356">
        <v>70035</v>
      </c>
      <c r="I142" s="356">
        <v>0</v>
      </c>
      <c r="J142" s="356">
        <v>0</v>
      </c>
      <c r="K142" s="356">
        <v>70035</v>
      </c>
    </row>
    <row r="143" spans="1:11">
      <c r="A143" s="352" t="s">
        <v>428</v>
      </c>
      <c r="B143" s="352" t="s">
        <v>66</v>
      </c>
      <c r="F143" s="355">
        <v>2167</v>
      </c>
      <c r="G143" s="355">
        <v>20805</v>
      </c>
      <c r="H143" s="356">
        <v>460738</v>
      </c>
      <c r="I143" s="356">
        <v>0</v>
      </c>
      <c r="J143" s="356">
        <v>0</v>
      </c>
      <c r="K143" s="356">
        <v>460738</v>
      </c>
    </row>
    <row r="144" spans="1:11">
      <c r="A144" s="352" t="s">
        <v>431</v>
      </c>
      <c r="B144" s="352" t="s">
        <v>67</v>
      </c>
      <c r="F144" s="355">
        <v>0</v>
      </c>
      <c r="G144" s="355">
        <v>0</v>
      </c>
      <c r="H144" s="356">
        <v>53263</v>
      </c>
      <c r="I144" s="356">
        <v>0</v>
      </c>
      <c r="J144" s="356">
        <v>0</v>
      </c>
      <c r="K144" s="356">
        <v>53263</v>
      </c>
    </row>
    <row r="145" spans="1:11">
      <c r="A145" s="352" t="s">
        <v>437</v>
      </c>
      <c r="B145" s="352" t="s">
        <v>68</v>
      </c>
      <c r="F145" s="355">
        <v>0</v>
      </c>
      <c r="G145" s="355">
        <v>0</v>
      </c>
      <c r="H145" s="356">
        <v>0</v>
      </c>
      <c r="I145" s="356">
        <v>0</v>
      </c>
      <c r="J145" s="356">
        <v>0</v>
      </c>
      <c r="K145" s="356">
        <v>0</v>
      </c>
    </row>
    <row r="146" spans="1:11">
      <c r="A146" s="352" t="s">
        <v>446</v>
      </c>
      <c r="B146" s="352" t="s">
        <v>69</v>
      </c>
      <c r="F146" s="355">
        <v>7628</v>
      </c>
      <c r="G146" s="355">
        <v>5477</v>
      </c>
      <c r="H146" s="356">
        <v>3173927</v>
      </c>
      <c r="I146" s="356">
        <v>32913.620000000003</v>
      </c>
      <c r="J146" s="356">
        <v>2605966</v>
      </c>
      <c r="K146" s="356">
        <v>600874.62</v>
      </c>
    </row>
    <row r="147" spans="1:11">
      <c r="A147" s="352" t="s">
        <v>449</v>
      </c>
      <c r="B147" s="352" t="s">
        <v>61</v>
      </c>
      <c r="F147" s="355">
        <v>0</v>
      </c>
      <c r="G147" s="355">
        <v>0</v>
      </c>
      <c r="H147" s="356">
        <v>847453</v>
      </c>
      <c r="I147" s="356">
        <v>8788.09</v>
      </c>
      <c r="J147" s="356">
        <v>0</v>
      </c>
      <c r="K147" s="356">
        <v>856241.09</v>
      </c>
    </row>
    <row r="148" spans="1:11">
      <c r="A148" s="352" t="s">
        <v>450</v>
      </c>
      <c r="B148" s="352" t="s">
        <v>70</v>
      </c>
      <c r="F148" s="350" t="s">
        <v>73</v>
      </c>
      <c r="G148" s="350" t="s">
        <v>73</v>
      </c>
      <c r="H148" s="350" t="s">
        <v>73</v>
      </c>
      <c r="I148" s="350" t="s">
        <v>73</v>
      </c>
      <c r="J148" s="350" t="s">
        <v>73</v>
      </c>
      <c r="K148" s="356">
        <v>12073632</v>
      </c>
    </row>
    <row r="149" spans="1:11">
      <c r="A149" s="352" t="s">
        <v>465</v>
      </c>
      <c r="B149" s="352" t="s">
        <v>71</v>
      </c>
      <c r="F149" s="355">
        <v>39468</v>
      </c>
      <c r="G149" s="355">
        <v>13694</v>
      </c>
      <c r="H149" s="356">
        <v>1529350</v>
      </c>
      <c r="I149" s="356">
        <v>0</v>
      </c>
      <c r="J149" s="356">
        <v>0</v>
      </c>
      <c r="K149" s="356">
        <v>1529350</v>
      </c>
    </row>
    <row r="150" spans="1:11">
      <c r="A150" s="352" t="s">
        <v>408</v>
      </c>
      <c r="B150" s="352" t="s">
        <v>186</v>
      </c>
      <c r="F150" s="350" t="s">
        <v>73</v>
      </c>
      <c r="G150" s="350" t="s">
        <v>73</v>
      </c>
      <c r="H150" s="356">
        <v>3397596</v>
      </c>
      <c r="I150" s="356">
        <v>0</v>
      </c>
      <c r="J150" s="356">
        <v>2905370</v>
      </c>
      <c r="K150" s="356">
        <v>492226</v>
      </c>
    </row>
    <row r="151" spans="1:11" s="538" customFormat="1">
      <c r="A151" s="537"/>
      <c r="B151" s="537"/>
      <c r="H151" s="539"/>
      <c r="I151" s="539"/>
      <c r="J151" s="539"/>
      <c r="K151" s="539"/>
    </row>
    <row r="152" spans="1:11">
      <c r="A152" s="354" t="s">
        <v>467</v>
      </c>
      <c r="B152" s="352" t="s">
        <v>26</v>
      </c>
      <c r="F152" s="355">
        <v>307223</v>
      </c>
      <c r="G152" s="355">
        <v>328527</v>
      </c>
      <c r="H152" s="356">
        <v>19672188</v>
      </c>
      <c r="I152" s="356">
        <v>146851.72</v>
      </c>
      <c r="J152" s="356">
        <v>9620820</v>
      </c>
      <c r="K152" s="356">
        <v>22271851.719999999</v>
      </c>
    </row>
    <row r="154" spans="1:11">
      <c r="A154" s="352" t="s">
        <v>468</v>
      </c>
      <c r="B154" s="353" t="s">
        <v>28</v>
      </c>
      <c r="F154" s="355">
        <v>18.649999999999999</v>
      </c>
    </row>
    <row r="155" spans="1:11">
      <c r="A155" s="352" t="s">
        <v>469</v>
      </c>
      <c r="B155" s="353" t="s">
        <v>72</v>
      </c>
      <c r="F155" s="355">
        <v>469.93</v>
      </c>
    </row>
  </sheetData>
  <mergeCells count="7">
    <mergeCell ref="C11:G11"/>
    <mergeCell ref="D2:H2"/>
    <mergeCell ref="C5:G5"/>
    <mergeCell ref="C6:G6"/>
    <mergeCell ref="C7:G7"/>
    <mergeCell ref="C9:G9"/>
    <mergeCell ref="C10:G10"/>
  </mergeCells>
  <pageMargins left="0.7" right="0.7" top="0.75" bottom="0.75" header="0.3" footer="0.3"/>
  <pageSetup paperSize="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topLeftCell="A40" workbookViewId="0">
      <selection activeCell="K64" sqref="K64"/>
    </sheetView>
  </sheetViews>
  <sheetFormatPr defaultRowHeight="15"/>
  <cols>
    <col min="1" max="1" width="7.5703125" style="401" bestFit="1" customWidth="1"/>
    <col min="2" max="2" width="55.5703125" style="400" bestFit="1" customWidth="1"/>
    <col min="3" max="5" width="9.140625" style="401"/>
    <col min="6" max="7" width="17.5703125" style="401" bestFit="1" customWidth="1"/>
    <col min="8" max="8" width="15.28515625" style="401" bestFit="1" customWidth="1"/>
    <col min="9" max="9" width="16.85546875" style="401" bestFit="1" customWidth="1"/>
    <col min="10" max="10" width="23.5703125" style="401" bestFit="1" customWidth="1"/>
    <col min="11" max="11" width="24.85546875" style="401" bestFit="1" customWidth="1"/>
    <col min="12" max="16384" width="9.140625" style="401"/>
  </cols>
  <sheetData>
    <row r="1" spans="1:11">
      <c r="A1" s="399"/>
    </row>
    <row r="2" spans="1:11" ht="15.75">
      <c r="D2" s="723" t="s">
        <v>371</v>
      </c>
      <c r="E2" s="723"/>
      <c r="F2" s="723"/>
      <c r="G2" s="723"/>
      <c r="H2" s="723"/>
    </row>
    <row r="3" spans="1:11">
      <c r="B3" s="402" t="s">
        <v>0</v>
      </c>
    </row>
    <row r="4" spans="1:11">
      <c r="B4" s="403"/>
    </row>
    <row r="5" spans="1:11">
      <c r="B5" s="402" t="s">
        <v>40</v>
      </c>
      <c r="C5" s="722" t="s">
        <v>621</v>
      </c>
      <c r="D5" s="722"/>
      <c r="E5" s="722"/>
      <c r="F5" s="722"/>
      <c r="G5" s="722"/>
    </row>
    <row r="6" spans="1:11">
      <c r="B6" s="402" t="s">
        <v>3</v>
      </c>
      <c r="C6" s="722">
        <v>15</v>
      </c>
      <c r="D6" s="722"/>
      <c r="E6" s="722"/>
      <c r="F6" s="722"/>
      <c r="G6" s="722"/>
    </row>
    <row r="7" spans="1:11">
      <c r="B7" s="402" t="s">
        <v>4</v>
      </c>
      <c r="C7" s="722">
        <v>3309</v>
      </c>
      <c r="D7" s="722"/>
      <c r="E7" s="722"/>
      <c r="F7" s="722"/>
      <c r="G7" s="722"/>
    </row>
    <row r="8" spans="1:11">
      <c r="B8" s="402"/>
    </row>
    <row r="9" spans="1:11">
      <c r="B9" s="402" t="s">
        <v>1</v>
      </c>
      <c r="C9" s="722" t="s">
        <v>622</v>
      </c>
      <c r="D9" s="722"/>
      <c r="E9" s="722"/>
      <c r="F9" s="722"/>
      <c r="G9" s="722"/>
    </row>
    <row r="10" spans="1:11">
      <c r="B10" s="402" t="s">
        <v>2</v>
      </c>
      <c r="C10" s="722" t="s">
        <v>623</v>
      </c>
      <c r="D10" s="722"/>
      <c r="E10" s="722"/>
      <c r="F10" s="722"/>
      <c r="G10" s="722"/>
    </row>
    <row r="11" spans="1:11">
      <c r="B11" s="402" t="s">
        <v>32</v>
      </c>
      <c r="C11" s="722" t="s">
        <v>624</v>
      </c>
      <c r="D11" s="722"/>
      <c r="E11" s="722"/>
      <c r="F11" s="722"/>
      <c r="G11" s="722"/>
    </row>
    <row r="16" spans="1:11">
      <c r="B16" s="402" t="s">
        <v>181</v>
      </c>
      <c r="F16" s="404" t="s">
        <v>9</v>
      </c>
      <c r="G16" s="404" t="s">
        <v>37</v>
      </c>
      <c r="H16" s="404" t="s">
        <v>29</v>
      </c>
      <c r="I16" s="404" t="s">
        <v>30</v>
      </c>
      <c r="J16" s="404" t="s">
        <v>33</v>
      </c>
      <c r="K16" s="404" t="s">
        <v>34</v>
      </c>
    </row>
    <row r="17" spans="1:11">
      <c r="A17" s="405" t="s">
        <v>184</v>
      </c>
      <c r="B17" s="405" t="s">
        <v>182</v>
      </c>
    </row>
    <row r="18" spans="1:11">
      <c r="A18" s="402" t="s">
        <v>408</v>
      </c>
      <c r="B18" s="405" t="s">
        <v>183</v>
      </c>
      <c r="F18" s="406" t="s">
        <v>73</v>
      </c>
      <c r="G18" s="406" t="s">
        <v>73</v>
      </c>
      <c r="H18" s="407">
        <v>13032044</v>
      </c>
      <c r="I18" s="407">
        <v>0</v>
      </c>
      <c r="J18" s="407">
        <v>11144026.67</v>
      </c>
      <c r="K18" s="407">
        <v>1888017.33</v>
      </c>
    </row>
    <row r="19" spans="1:11">
      <c r="B19" s="402" t="s">
        <v>8</v>
      </c>
      <c r="F19" s="404" t="s">
        <v>9</v>
      </c>
      <c r="G19" s="404" t="s">
        <v>37</v>
      </c>
      <c r="H19" s="404" t="s">
        <v>29</v>
      </c>
      <c r="I19" s="404" t="s">
        <v>30</v>
      </c>
      <c r="J19" s="404" t="s">
        <v>33</v>
      </c>
      <c r="K19" s="404" t="s">
        <v>34</v>
      </c>
    </row>
    <row r="20" spans="1:11">
      <c r="A20" s="405" t="s">
        <v>409</v>
      </c>
      <c r="B20" s="405" t="s">
        <v>41</v>
      </c>
    </row>
    <row r="21" spans="1:11">
      <c r="A21" s="402" t="s">
        <v>75</v>
      </c>
      <c r="B21" s="405" t="s">
        <v>42</v>
      </c>
      <c r="F21" s="406">
        <v>5833.5</v>
      </c>
      <c r="G21" s="406">
        <v>9212</v>
      </c>
      <c r="H21" s="407">
        <v>332479</v>
      </c>
      <c r="I21" s="407">
        <v>142956</v>
      </c>
      <c r="J21" s="407">
        <v>80822</v>
      </c>
      <c r="K21" s="407">
        <v>394613</v>
      </c>
    </row>
    <row r="22" spans="1:11">
      <c r="A22" s="402" t="s">
        <v>76</v>
      </c>
      <c r="B22" s="405" t="s">
        <v>6</v>
      </c>
      <c r="F22" s="406">
        <v>497.3</v>
      </c>
      <c r="G22" s="406">
        <v>591</v>
      </c>
      <c r="H22" s="407">
        <v>37418</v>
      </c>
      <c r="I22" s="407">
        <v>23202</v>
      </c>
      <c r="J22" s="407">
        <v>0</v>
      </c>
      <c r="K22" s="407">
        <v>60620</v>
      </c>
    </row>
    <row r="23" spans="1:11">
      <c r="A23" s="402" t="s">
        <v>77</v>
      </c>
      <c r="B23" s="405" t="s">
        <v>43</v>
      </c>
      <c r="F23" s="406">
        <v>0</v>
      </c>
      <c r="G23" s="406">
        <v>0</v>
      </c>
      <c r="H23" s="407">
        <v>0</v>
      </c>
      <c r="I23" s="407">
        <v>0</v>
      </c>
      <c r="J23" s="407">
        <v>0</v>
      </c>
      <c r="K23" s="407">
        <v>0</v>
      </c>
    </row>
    <row r="24" spans="1:11">
      <c r="A24" s="402" t="s">
        <v>78</v>
      </c>
      <c r="B24" s="405" t="s">
        <v>44</v>
      </c>
      <c r="F24" s="406">
        <v>7117</v>
      </c>
      <c r="G24" s="406">
        <v>240</v>
      </c>
      <c r="H24" s="407">
        <v>453068</v>
      </c>
      <c r="I24" s="407">
        <v>818</v>
      </c>
      <c r="J24" s="407">
        <v>490027</v>
      </c>
      <c r="K24" s="407">
        <v>-36141</v>
      </c>
    </row>
    <row r="25" spans="1:11">
      <c r="A25" s="402" t="s">
        <v>79</v>
      </c>
      <c r="B25" s="405" t="s">
        <v>5</v>
      </c>
      <c r="F25" s="406">
        <v>0</v>
      </c>
      <c r="G25" s="406">
        <v>0</v>
      </c>
      <c r="H25" s="407">
        <v>0</v>
      </c>
      <c r="I25" s="407">
        <v>0</v>
      </c>
      <c r="J25" s="407">
        <v>0</v>
      </c>
      <c r="K25" s="407">
        <v>0</v>
      </c>
    </row>
    <row r="26" spans="1:11">
      <c r="A26" s="402" t="s">
        <v>80</v>
      </c>
      <c r="B26" s="405" t="s">
        <v>45</v>
      </c>
      <c r="F26" s="406">
        <v>0</v>
      </c>
      <c r="G26" s="406">
        <v>1796</v>
      </c>
      <c r="H26" s="407">
        <v>19888</v>
      </c>
      <c r="I26" s="407">
        <v>0</v>
      </c>
      <c r="J26" s="407">
        <v>0</v>
      </c>
      <c r="K26" s="407">
        <v>19888</v>
      </c>
    </row>
    <row r="27" spans="1:11">
      <c r="A27" s="402" t="s">
        <v>81</v>
      </c>
      <c r="B27" s="405" t="s">
        <v>46</v>
      </c>
      <c r="F27" s="406">
        <v>0</v>
      </c>
      <c r="G27" s="406">
        <v>0</v>
      </c>
      <c r="H27" s="407">
        <v>0</v>
      </c>
      <c r="I27" s="407">
        <v>0</v>
      </c>
      <c r="J27" s="407">
        <v>0</v>
      </c>
      <c r="K27" s="407">
        <v>0</v>
      </c>
    </row>
    <row r="28" spans="1:11">
      <c r="A28" s="402" t="s">
        <v>82</v>
      </c>
      <c r="B28" s="405" t="s">
        <v>47</v>
      </c>
      <c r="F28" s="406">
        <v>0</v>
      </c>
      <c r="G28" s="406">
        <v>0</v>
      </c>
      <c r="H28" s="407">
        <v>0</v>
      </c>
      <c r="I28" s="407">
        <v>0</v>
      </c>
      <c r="J28" s="407">
        <v>0</v>
      </c>
      <c r="K28" s="407">
        <v>0</v>
      </c>
    </row>
    <row r="29" spans="1:11">
      <c r="A29" s="402" t="s">
        <v>83</v>
      </c>
      <c r="B29" s="405" t="s">
        <v>48</v>
      </c>
      <c r="F29" s="406">
        <v>53</v>
      </c>
      <c r="G29" s="406">
        <v>293</v>
      </c>
      <c r="H29" s="407">
        <v>231322</v>
      </c>
      <c r="I29" s="407">
        <v>1856</v>
      </c>
      <c r="J29" s="407">
        <v>0</v>
      </c>
      <c r="K29" s="407">
        <v>233178</v>
      </c>
    </row>
    <row r="30" spans="1:11">
      <c r="A30" s="402"/>
      <c r="B30" s="405"/>
      <c r="F30" s="406"/>
      <c r="G30" s="406"/>
      <c r="H30" s="407"/>
      <c r="I30" s="407"/>
      <c r="J30" s="407"/>
      <c r="K30" s="407"/>
    </row>
    <row r="31" spans="1:11">
      <c r="A31" s="402"/>
      <c r="B31" s="405"/>
      <c r="F31" s="406"/>
      <c r="G31" s="406"/>
      <c r="H31" s="407"/>
      <c r="I31" s="407"/>
      <c r="J31" s="407"/>
      <c r="K31" s="407"/>
    </row>
    <row r="32" spans="1:11">
      <c r="A32" s="402"/>
      <c r="B32" s="405"/>
      <c r="F32" s="406"/>
      <c r="G32" s="406"/>
      <c r="H32" s="407"/>
      <c r="I32" s="407"/>
      <c r="J32" s="407"/>
      <c r="K32" s="407"/>
    </row>
    <row r="33" spans="1:11">
      <c r="A33" s="402"/>
      <c r="B33" s="405"/>
      <c r="F33" s="406"/>
      <c r="G33" s="406"/>
      <c r="H33" s="407"/>
      <c r="I33" s="407"/>
      <c r="J33" s="407"/>
      <c r="K33" s="407"/>
    </row>
    <row r="34" spans="1:11">
      <c r="A34" s="402"/>
      <c r="B34" s="405"/>
      <c r="F34" s="406"/>
      <c r="G34" s="406"/>
      <c r="H34" s="407"/>
      <c r="I34" s="407"/>
      <c r="J34" s="407"/>
      <c r="K34" s="407"/>
    </row>
    <row r="35" spans="1:11">
      <c r="A35" s="402"/>
      <c r="B35" s="405"/>
      <c r="F35" s="406"/>
      <c r="G35" s="406"/>
      <c r="H35" s="407"/>
      <c r="I35" s="407"/>
      <c r="J35" s="407"/>
      <c r="K35" s="407"/>
    </row>
    <row r="36" spans="1:11">
      <c r="A36" s="405" t="s">
        <v>137</v>
      </c>
      <c r="B36" s="405" t="s">
        <v>138</v>
      </c>
      <c r="F36" s="406">
        <v>13500.8</v>
      </c>
      <c r="G36" s="406">
        <v>12132</v>
      </c>
      <c r="H36" s="407">
        <v>1074175</v>
      </c>
      <c r="I36" s="407">
        <v>168832</v>
      </c>
      <c r="J36" s="407">
        <v>570849</v>
      </c>
      <c r="K36" s="407">
        <v>672158</v>
      </c>
    </row>
    <row r="39" spans="1:11">
      <c r="A39" s="405" t="s">
        <v>86</v>
      </c>
      <c r="B39" s="405" t="s">
        <v>49</v>
      </c>
      <c r="F39" s="404" t="s">
        <v>9</v>
      </c>
      <c r="G39" s="404" t="s">
        <v>37</v>
      </c>
      <c r="H39" s="404" t="s">
        <v>29</v>
      </c>
      <c r="I39" s="404" t="s">
        <v>30</v>
      </c>
      <c r="J39" s="404" t="s">
        <v>33</v>
      </c>
      <c r="K39" s="404" t="s">
        <v>34</v>
      </c>
    </row>
    <row r="40" spans="1:11">
      <c r="A40" s="402" t="s">
        <v>87</v>
      </c>
      <c r="B40" s="405" t="s">
        <v>31</v>
      </c>
      <c r="F40" s="406">
        <v>170198.5</v>
      </c>
      <c r="G40" s="406">
        <v>0</v>
      </c>
      <c r="H40" s="407">
        <v>7924882</v>
      </c>
      <c r="I40" s="407">
        <v>4856296</v>
      </c>
      <c r="J40" s="407">
        <v>0</v>
      </c>
      <c r="K40" s="407">
        <v>12781178</v>
      </c>
    </row>
    <row r="41" spans="1:11">
      <c r="A41" s="402" t="s">
        <v>88</v>
      </c>
      <c r="B41" s="405" t="s">
        <v>50</v>
      </c>
      <c r="F41" s="406">
        <v>12436</v>
      </c>
      <c r="G41" s="406">
        <v>1350</v>
      </c>
      <c r="H41" s="407">
        <v>448843</v>
      </c>
      <c r="I41" s="407">
        <v>272439</v>
      </c>
      <c r="J41" s="407">
        <v>5500</v>
      </c>
      <c r="K41" s="407">
        <v>715782</v>
      </c>
    </row>
    <row r="42" spans="1:11">
      <c r="A42" s="402" t="s">
        <v>89</v>
      </c>
      <c r="B42" s="405" t="s">
        <v>11</v>
      </c>
      <c r="F42" s="406">
        <v>719</v>
      </c>
      <c r="G42" s="406">
        <v>160</v>
      </c>
      <c r="H42" s="407">
        <v>75128</v>
      </c>
      <c r="I42" s="407">
        <v>15746</v>
      </c>
      <c r="J42" s="407">
        <v>0</v>
      </c>
      <c r="K42" s="407">
        <v>90874</v>
      </c>
    </row>
    <row r="43" spans="1:11">
      <c r="A43" s="402" t="s">
        <v>90</v>
      </c>
      <c r="B43" s="405" t="s">
        <v>10</v>
      </c>
      <c r="F43" s="406">
        <v>0</v>
      </c>
      <c r="G43" s="406">
        <v>0</v>
      </c>
      <c r="H43" s="407">
        <v>0</v>
      </c>
      <c r="I43" s="407">
        <v>0</v>
      </c>
      <c r="J43" s="407">
        <v>0</v>
      </c>
      <c r="K43" s="407">
        <v>0</v>
      </c>
    </row>
    <row r="44" spans="1:11">
      <c r="A44" s="402" t="s">
        <v>91</v>
      </c>
      <c r="B44" s="405"/>
      <c r="F44" s="406"/>
      <c r="G44" s="406"/>
      <c r="H44" s="407"/>
      <c r="I44" s="407"/>
      <c r="J44" s="407"/>
      <c r="K44" s="407"/>
    </row>
    <row r="45" spans="1:11">
      <c r="A45" s="402" t="s">
        <v>139</v>
      </c>
      <c r="B45" s="405"/>
      <c r="F45" s="406"/>
      <c r="G45" s="406"/>
      <c r="H45" s="407"/>
      <c r="I45" s="407"/>
      <c r="J45" s="407"/>
      <c r="K45" s="407"/>
    </row>
    <row r="46" spans="1:11">
      <c r="A46" s="402" t="s">
        <v>140</v>
      </c>
      <c r="B46" s="405"/>
      <c r="F46" s="406"/>
      <c r="G46" s="406"/>
      <c r="H46" s="407"/>
      <c r="I46" s="407"/>
      <c r="J46" s="407"/>
      <c r="K46" s="407"/>
    </row>
    <row r="47" spans="1:11">
      <c r="A47" s="402" t="s">
        <v>141</v>
      </c>
      <c r="B47" s="405"/>
      <c r="F47" s="406"/>
      <c r="G47" s="406"/>
      <c r="H47" s="407"/>
      <c r="I47" s="407"/>
      <c r="J47" s="407"/>
      <c r="K47" s="407"/>
    </row>
    <row r="48" spans="1:11">
      <c r="A48" s="402"/>
      <c r="B48" s="405"/>
      <c r="F48" s="406"/>
      <c r="G48" s="406"/>
      <c r="H48" s="407"/>
      <c r="I48" s="407"/>
      <c r="J48" s="407"/>
      <c r="K48" s="407"/>
    </row>
    <row r="49" spans="1:11">
      <c r="A49" s="405" t="s">
        <v>142</v>
      </c>
      <c r="B49" s="405" t="s">
        <v>143</v>
      </c>
      <c r="F49" s="406">
        <v>183353.5</v>
      </c>
      <c r="G49" s="406">
        <v>1510</v>
      </c>
      <c r="H49" s="407">
        <v>8448853</v>
      </c>
      <c r="I49" s="407">
        <v>5144481</v>
      </c>
      <c r="J49" s="407">
        <v>5500</v>
      </c>
      <c r="K49" s="407">
        <v>13587834</v>
      </c>
    </row>
    <row r="52" spans="1:11">
      <c r="A52" s="405" t="s">
        <v>92</v>
      </c>
      <c r="B52" s="405" t="s">
        <v>38</v>
      </c>
      <c r="F52" s="404" t="s">
        <v>9</v>
      </c>
      <c r="G52" s="404" t="s">
        <v>37</v>
      </c>
      <c r="H52" s="404" t="s">
        <v>29</v>
      </c>
      <c r="I52" s="404" t="s">
        <v>30</v>
      </c>
      <c r="J52" s="404" t="s">
        <v>33</v>
      </c>
      <c r="K52" s="404" t="s">
        <v>34</v>
      </c>
    </row>
    <row r="53" spans="1:11">
      <c r="A53" s="402" t="s">
        <v>51</v>
      </c>
      <c r="B53" s="405" t="s">
        <v>625</v>
      </c>
      <c r="F53" s="406">
        <v>0</v>
      </c>
      <c r="G53" s="406">
        <v>0</v>
      </c>
      <c r="H53" s="407">
        <v>203761</v>
      </c>
      <c r="I53" s="407">
        <v>0</v>
      </c>
      <c r="J53" s="407">
        <v>84280</v>
      </c>
      <c r="K53" s="407">
        <v>119481</v>
      </c>
    </row>
    <row r="54" spans="1:11">
      <c r="A54" s="402" t="s">
        <v>93</v>
      </c>
      <c r="B54" s="405" t="s">
        <v>626</v>
      </c>
      <c r="F54" s="406">
        <v>0</v>
      </c>
      <c r="G54" s="406">
        <v>0</v>
      </c>
      <c r="H54" s="407">
        <v>7283628</v>
      </c>
      <c r="I54" s="407">
        <v>0</v>
      </c>
      <c r="J54" s="407">
        <v>4204165</v>
      </c>
      <c r="K54" s="407">
        <v>3079463</v>
      </c>
    </row>
    <row r="55" spans="1:11">
      <c r="A55" s="402" t="s">
        <v>94</v>
      </c>
      <c r="B55" s="405" t="s">
        <v>627</v>
      </c>
      <c r="F55" s="406">
        <v>0</v>
      </c>
      <c r="G55" s="406">
        <v>0</v>
      </c>
      <c r="H55" s="407">
        <v>5815068</v>
      </c>
      <c r="I55" s="407">
        <v>0</v>
      </c>
      <c r="J55" s="407">
        <v>5219140</v>
      </c>
      <c r="K55" s="407">
        <v>595928</v>
      </c>
    </row>
    <row r="56" spans="1:11">
      <c r="A56" s="402" t="s">
        <v>95</v>
      </c>
      <c r="B56" s="405" t="s">
        <v>628</v>
      </c>
      <c r="F56" s="406">
        <v>0</v>
      </c>
      <c r="G56" s="406">
        <v>0</v>
      </c>
      <c r="H56" s="407">
        <v>13577114</v>
      </c>
      <c r="I56" s="407">
        <v>0</v>
      </c>
      <c r="J56" s="407">
        <v>12457253</v>
      </c>
      <c r="K56" s="407">
        <v>1119861</v>
      </c>
    </row>
    <row r="57" spans="1:11">
      <c r="A57" s="402" t="s">
        <v>96</v>
      </c>
      <c r="B57" s="405"/>
      <c r="F57" s="406">
        <v>0</v>
      </c>
      <c r="G57" s="406">
        <v>0</v>
      </c>
      <c r="H57" s="407">
        <v>0</v>
      </c>
      <c r="I57" s="407">
        <v>0</v>
      </c>
      <c r="J57" s="407">
        <v>0</v>
      </c>
      <c r="K57" s="407">
        <v>0</v>
      </c>
    </row>
    <row r="58" spans="1:11">
      <c r="A58" s="402" t="s">
        <v>97</v>
      </c>
      <c r="B58" s="405"/>
      <c r="F58" s="406"/>
      <c r="G58" s="406"/>
      <c r="H58" s="407"/>
      <c r="I58" s="407"/>
      <c r="J58" s="407"/>
      <c r="K58" s="407"/>
    </row>
    <row r="59" spans="1:11">
      <c r="A59" s="402" t="s">
        <v>98</v>
      </c>
      <c r="B59" s="405"/>
      <c r="F59" s="406"/>
      <c r="G59" s="406"/>
      <c r="H59" s="407"/>
      <c r="I59" s="407"/>
      <c r="J59" s="407"/>
      <c r="K59" s="407"/>
    </row>
    <row r="60" spans="1:11">
      <c r="A60" s="402" t="s">
        <v>99</v>
      </c>
      <c r="B60" s="405"/>
      <c r="F60" s="406"/>
      <c r="G60" s="406"/>
      <c r="H60" s="407"/>
      <c r="I60" s="407"/>
      <c r="J60" s="407"/>
      <c r="K60" s="407"/>
    </row>
    <row r="61" spans="1:11">
      <c r="A61" s="402" t="s">
        <v>100</v>
      </c>
      <c r="B61" s="405"/>
      <c r="F61" s="406"/>
      <c r="G61" s="406"/>
      <c r="H61" s="407"/>
      <c r="I61" s="407"/>
      <c r="J61" s="407"/>
      <c r="K61" s="407"/>
    </row>
    <row r="62" spans="1:11">
      <c r="A62" s="402" t="s">
        <v>101</v>
      </c>
      <c r="B62" s="405"/>
      <c r="F62" s="406"/>
      <c r="G62" s="406"/>
      <c r="H62" s="407"/>
      <c r="I62" s="407"/>
      <c r="J62" s="407"/>
      <c r="K62" s="407"/>
    </row>
    <row r="63" spans="1:11">
      <c r="A63" s="405"/>
      <c r="B63" s="405"/>
      <c r="F63" s="406"/>
      <c r="G63" s="406"/>
      <c r="H63" s="615"/>
      <c r="I63" s="615"/>
      <c r="J63" s="615"/>
      <c r="K63" s="615"/>
    </row>
    <row r="64" spans="1:11">
      <c r="A64" s="405" t="s">
        <v>144</v>
      </c>
      <c r="B64" s="405" t="s">
        <v>145</v>
      </c>
      <c r="F64" s="406">
        <f>SUM(F53:F62)</f>
        <v>0</v>
      </c>
      <c r="G64" s="406">
        <f t="shared" ref="G64:K64" si="0">SUM(G53:G62)</f>
        <v>0</v>
      </c>
      <c r="H64" s="615">
        <f t="shared" si="0"/>
        <v>26879571</v>
      </c>
      <c r="I64" s="615">
        <f t="shared" si="0"/>
        <v>0</v>
      </c>
      <c r="J64" s="615">
        <f t="shared" si="0"/>
        <v>21964838</v>
      </c>
      <c r="K64" s="615">
        <f t="shared" si="0"/>
        <v>4914733</v>
      </c>
    </row>
    <row r="67" spans="1:11">
      <c r="A67" s="405" t="s">
        <v>102</v>
      </c>
      <c r="B67" s="405" t="s">
        <v>12</v>
      </c>
      <c r="F67" s="404" t="s">
        <v>9</v>
      </c>
      <c r="G67" s="404" t="s">
        <v>37</v>
      </c>
      <c r="H67" s="404" t="s">
        <v>29</v>
      </c>
      <c r="I67" s="404" t="s">
        <v>30</v>
      </c>
      <c r="J67" s="404" t="s">
        <v>33</v>
      </c>
      <c r="K67" s="404" t="s">
        <v>34</v>
      </c>
    </row>
    <row r="68" spans="1:11">
      <c r="A68" s="402" t="s">
        <v>103</v>
      </c>
      <c r="B68" s="405" t="s">
        <v>52</v>
      </c>
      <c r="F68" s="406">
        <v>10</v>
      </c>
      <c r="G68" s="406">
        <v>0</v>
      </c>
      <c r="H68" s="407">
        <v>1003</v>
      </c>
      <c r="I68" s="407">
        <v>0</v>
      </c>
      <c r="J68" s="407">
        <v>0</v>
      </c>
      <c r="K68" s="407">
        <v>1003</v>
      </c>
    </row>
    <row r="69" spans="1:11">
      <c r="A69" s="402" t="s">
        <v>104</v>
      </c>
      <c r="B69" s="405" t="s">
        <v>53</v>
      </c>
      <c r="F69" s="406">
        <v>0</v>
      </c>
      <c r="G69" s="406">
        <v>0</v>
      </c>
      <c r="H69" s="407">
        <v>0</v>
      </c>
      <c r="I69" s="407">
        <v>0</v>
      </c>
      <c r="J69" s="407">
        <v>0</v>
      </c>
      <c r="K69" s="407">
        <v>0</v>
      </c>
    </row>
    <row r="70" spans="1:11">
      <c r="A70" s="402" t="s">
        <v>178</v>
      </c>
      <c r="B70" s="405" t="s">
        <v>629</v>
      </c>
      <c r="F70" s="406">
        <v>0</v>
      </c>
      <c r="G70" s="406">
        <v>0</v>
      </c>
      <c r="H70" s="407">
        <v>233373</v>
      </c>
      <c r="I70" s="407">
        <v>144691</v>
      </c>
      <c r="J70" s="407">
        <v>0</v>
      </c>
      <c r="K70" s="407">
        <v>378064</v>
      </c>
    </row>
    <row r="71" spans="1:11">
      <c r="A71" s="402" t="s">
        <v>179</v>
      </c>
      <c r="B71" s="405"/>
      <c r="F71" s="406"/>
      <c r="G71" s="406"/>
      <c r="H71" s="407"/>
      <c r="I71" s="407"/>
      <c r="J71" s="407"/>
      <c r="K71" s="407"/>
    </row>
    <row r="72" spans="1:11">
      <c r="A72" s="402" t="s">
        <v>180</v>
      </c>
      <c r="B72" s="405"/>
      <c r="F72" s="406"/>
      <c r="G72" s="406"/>
      <c r="H72" s="407"/>
      <c r="I72" s="407"/>
      <c r="J72" s="407"/>
      <c r="K72" s="407"/>
    </row>
    <row r="73" spans="1:11">
      <c r="A73" s="402"/>
      <c r="B73" s="405"/>
      <c r="F73" s="406"/>
      <c r="G73" s="406"/>
      <c r="H73" s="407"/>
      <c r="I73" s="407"/>
      <c r="J73" s="407"/>
      <c r="K73" s="407"/>
    </row>
    <row r="74" spans="1:11">
      <c r="A74" s="405" t="s">
        <v>146</v>
      </c>
      <c r="B74" s="405" t="s">
        <v>147</v>
      </c>
      <c r="F74" s="406">
        <v>10</v>
      </c>
      <c r="G74" s="406">
        <v>0</v>
      </c>
      <c r="H74" s="407">
        <v>234376</v>
      </c>
      <c r="I74" s="407">
        <v>144691</v>
      </c>
      <c r="J74" s="407">
        <v>0</v>
      </c>
      <c r="K74" s="407">
        <v>379067</v>
      </c>
    </row>
    <row r="76" spans="1:11">
      <c r="A76" s="405" t="s">
        <v>105</v>
      </c>
      <c r="B76" s="405" t="s">
        <v>106</v>
      </c>
      <c r="F76" s="404" t="s">
        <v>9</v>
      </c>
      <c r="G76" s="404" t="s">
        <v>37</v>
      </c>
      <c r="H76" s="404" t="s">
        <v>29</v>
      </c>
      <c r="I76" s="404" t="s">
        <v>30</v>
      </c>
      <c r="J76" s="404" t="s">
        <v>33</v>
      </c>
      <c r="K76" s="404" t="s">
        <v>34</v>
      </c>
    </row>
    <row r="77" spans="1:11">
      <c r="A77" s="402" t="s">
        <v>107</v>
      </c>
      <c r="B77" s="405" t="s">
        <v>54</v>
      </c>
      <c r="F77" s="406">
        <v>4</v>
      </c>
      <c r="G77" s="406">
        <v>0</v>
      </c>
      <c r="H77" s="407">
        <v>45189</v>
      </c>
      <c r="I77" s="407">
        <v>0</v>
      </c>
      <c r="J77" s="407">
        <v>0</v>
      </c>
      <c r="K77" s="407">
        <v>45189</v>
      </c>
    </row>
    <row r="78" spans="1:11">
      <c r="A78" s="402" t="s">
        <v>108</v>
      </c>
      <c r="B78" s="405" t="s">
        <v>55</v>
      </c>
      <c r="F78" s="406">
        <v>0</v>
      </c>
      <c r="G78" s="406">
        <v>0</v>
      </c>
      <c r="H78" s="407">
        <v>0</v>
      </c>
      <c r="I78" s="407">
        <v>0</v>
      </c>
      <c r="J78" s="407">
        <v>0</v>
      </c>
      <c r="K78" s="407">
        <v>0</v>
      </c>
    </row>
    <row r="79" spans="1:11">
      <c r="A79" s="402" t="s">
        <v>109</v>
      </c>
      <c r="B79" s="405" t="s">
        <v>13</v>
      </c>
      <c r="F79" s="406">
        <v>41.5</v>
      </c>
      <c r="G79" s="406">
        <v>400</v>
      </c>
      <c r="H79" s="407">
        <v>12699</v>
      </c>
      <c r="I79" s="407">
        <v>403</v>
      </c>
      <c r="J79" s="407">
        <v>0</v>
      </c>
      <c r="K79" s="407">
        <v>13102</v>
      </c>
    </row>
    <row r="80" spans="1:11">
      <c r="A80" s="402" t="s">
        <v>110</v>
      </c>
      <c r="B80" s="405" t="s">
        <v>436</v>
      </c>
      <c r="F80" s="406">
        <v>0</v>
      </c>
      <c r="G80" s="406">
        <v>0</v>
      </c>
      <c r="H80" s="407">
        <v>0</v>
      </c>
      <c r="I80" s="407">
        <v>0</v>
      </c>
      <c r="J80" s="407">
        <v>0</v>
      </c>
      <c r="K80" s="407">
        <v>0</v>
      </c>
    </row>
    <row r="81" spans="1:11">
      <c r="A81" s="402"/>
      <c r="B81" s="405"/>
      <c r="F81" s="406"/>
      <c r="G81" s="406"/>
      <c r="H81" s="407"/>
      <c r="I81" s="407"/>
      <c r="J81" s="407"/>
      <c r="K81" s="407"/>
    </row>
    <row r="82" spans="1:11">
      <c r="A82" s="405" t="s">
        <v>148</v>
      </c>
      <c r="B82" s="405" t="s">
        <v>54</v>
      </c>
      <c r="F82" s="406">
        <v>45.5</v>
      </c>
      <c r="G82" s="406">
        <v>400</v>
      </c>
      <c r="H82" s="407">
        <v>57888</v>
      </c>
      <c r="I82" s="407">
        <v>403</v>
      </c>
      <c r="J82" s="407">
        <v>0</v>
      </c>
      <c r="K82" s="407">
        <v>58291</v>
      </c>
    </row>
    <row r="85" spans="1:11">
      <c r="A85" s="405" t="s">
        <v>111</v>
      </c>
      <c r="B85" s="405" t="s">
        <v>57</v>
      </c>
      <c r="F85" s="404" t="s">
        <v>9</v>
      </c>
      <c r="G85" s="404" t="s">
        <v>37</v>
      </c>
      <c r="H85" s="404" t="s">
        <v>29</v>
      </c>
      <c r="I85" s="404" t="s">
        <v>30</v>
      </c>
      <c r="J85" s="404" t="s">
        <v>33</v>
      </c>
      <c r="K85" s="404" t="s">
        <v>34</v>
      </c>
    </row>
    <row r="86" spans="1:11">
      <c r="A86" s="402" t="s">
        <v>112</v>
      </c>
      <c r="B86" s="405" t="s">
        <v>113</v>
      </c>
      <c r="F86" s="406">
        <v>0</v>
      </c>
      <c r="G86" s="406">
        <v>0</v>
      </c>
      <c r="H86" s="407">
        <v>0</v>
      </c>
      <c r="I86" s="407">
        <v>0</v>
      </c>
      <c r="J86" s="407">
        <v>0</v>
      </c>
      <c r="K86" s="407">
        <v>0</v>
      </c>
    </row>
    <row r="87" spans="1:11">
      <c r="A87" s="402" t="s">
        <v>114</v>
      </c>
      <c r="B87" s="405" t="s">
        <v>14</v>
      </c>
      <c r="F87" s="406">
        <v>0</v>
      </c>
      <c r="G87" s="406">
        <v>0</v>
      </c>
      <c r="H87" s="407">
        <v>0</v>
      </c>
      <c r="I87" s="407">
        <v>0</v>
      </c>
      <c r="J87" s="407">
        <v>0</v>
      </c>
      <c r="K87" s="407">
        <v>0</v>
      </c>
    </row>
    <row r="88" spans="1:11">
      <c r="A88" s="402" t="s">
        <v>115</v>
      </c>
      <c r="B88" s="405" t="s">
        <v>116</v>
      </c>
      <c r="F88" s="406">
        <v>396</v>
      </c>
      <c r="G88" s="406">
        <v>236</v>
      </c>
      <c r="H88" s="407">
        <v>72726</v>
      </c>
      <c r="I88" s="407">
        <v>15812</v>
      </c>
      <c r="J88" s="407">
        <v>30548</v>
      </c>
      <c r="K88" s="407">
        <v>57990</v>
      </c>
    </row>
    <row r="89" spans="1:11">
      <c r="A89" s="402" t="s">
        <v>117</v>
      </c>
      <c r="B89" s="405" t="s">
        <v>58</v>
      </c>
      <c r="F89" s="406">
        <v>0</v>
      </c>
      <c r="G89" s="406">
        <v>0</v>
      </c>
      <c r="H89" s="407">
        <v>0</v>
      </c>
      <c r="I89" s="407">
        <v>0</v>
      </c>
      <c r="J89" s="407">
        <v>0</v>
      </c>
      <c r="K89" s="407">
        <v>0</v>
      </c>
    </row>
    <row r="90" spans="1:11">
      <c r="A90" s="402" t="s">
        <v>118</v>
      </c>
      <c r="B90" s="405" t="s">
        <v>59</v>
      </c>
      <c r="F90" s="406">
        <v>17</v>
      </c>
      <c r="G90" s="406">
        <v>26</v>
      </c>
      <c r="H90" s="407">
        <v>1374</v>
      </c>
      <c r="I90" s="407">
        <v>853</v>
      </c>
      <c r="J90" s="407">
        <v>0</v>
      </c>
      <c r="K90" s="407">
        <v>2227</v>
      </c>
    </row>
    <row r="91" spans="1:11">
      <c r="A91" s="402" t="s">
        <v>119</v>
      </c>
      <c r="B91" s="405" t="s">
        <v>60</v>
      </c>
      <c r="F91" s="406">
        <v>50</v>
      </c>
      <c r="G91" s="406">
        <v>80</v>
      </c>
      <c r="H91" s="407">
        <v>802</v>
      </c>
      <c r="I91" s="407">
        <v>0</v>
      </c>
      <c r="J91" s="407">
        <v>0</v>
      </c>
      <c r="K91" s="407">
        <v>802</v>
      </c>
    </row>
    <row r="92" spans="1:11">
      <c r="A92" s="402" t="s">
        <v>120</v>
      </c>
      <c r="B92" s="405" t="s">
        <v>121</v>
      </c>
      <c r="F92" s="406">
        <v>121</v>
      </c>
      <c r="G92" s="406">
        <v>0</v>
      </c>
      <c r="H92" s="407">
        <v>27110</v>
      </c>
      <c r="I92" s="407">
        <v>260</v>
      </c>
      <c r="J92" s="407">
        <v>0</v>
      </c>
      <c r="K92" s="407">
        <v>27370</v>
      </c>
    </row>
    <row r="93" spans="1:11">
      <c r="A93" s="402" t="s">
        <v>122</v>
      </c>
      <c r="B93" s="405" t="s">
        <v>123</v>
      </c>
      <c r="F93" s="406">
        <v>0</v>
      </c>
      <c r="G93" s="406">
        <v>0</v>
      </c>
      <c r="H93" s="407">
        <v>14280</v>
      </c>
      <c r="I93" s="407">
        <v>0</v>
      </c>
      <c r="J93" s="407">
        <v>0</v>
      </c>
      <c r="K93" s="407">
        <v>14280</v>
      </c>
    </row>
    <row r="94" spans="1:11">
      <c r="A94" s="402" t="s">
        <v>124</v>
      </c>
      <c r="B94" s="405"/>
      <c r="F94" s="406"/>
      <c r="G94" s="406"/>
      <c r="H94" s="407"/>
      <c r="I94" s="407"/>
      <c r="J94" s="407"/>
      <c r="K94" s="407"/>
    </row>
    <row r="95" spans="1:11">
      <c r="A95" s="402" t="s">
        <v>125</v>
      </c>
      <c r="B95" s="405"/>
      <c r="F95" s="406"/>
      <c r="G95" s="406"/>
      <c r="H95" s="407"/>
      <c r="I95" s="407"/>
      <c r="J95" s="407"/>
      <c r="K95" s="407"/>
    </row>
    <row r="96" spans="1:11">
      <c r="A96" s="402" t="s">
        <v>126</v>
      </c>
      <c r="B96" s="405"/>
      <c r="F96" s="406"/>
      <c r="G96" s="406"/>
      <c r="H96" s="407"/>
      <c r="I96" s="407"/>
      <c r="J96" s="407"/>
      <c r="K96" s="407"/>
    </row>
    <row r="97" spans="1:11">
      <c r="A97" s="402"/>
      <c r="B97" s="405"/>
      <c r="F97" s="406"/>
      <c r="G97" s="406"/>
      <c r="H97" s="407"/>
      <c r="I97" s="407"/>
      <c r="J97" s="407"/>
      <c r="K97" s="407"/>
    </row>
    <row r="98" spans="1:11">
      <c r="A98" s="405" t="s">
        <v>150</v>
      </c>
      <c r="B98" s="405" t="s">
        <v>151</v>
      </c>
      <c r="F98" s="406">
        <v>584</v>
      </c>
      <c r="G98" s="406">
        <v>342</v>
      </c>
      <c r="H98" s="407">
        <v>116292</v>
      </c>
      <c r="I98" s="407">
        <v>16925</v>
      </c>
      <c r="J98" s="407">
        <v>30548</v>
      </c>
      <c r="K98" s="407">
        <v>102669</v>
      </c>
    </row>
    <row r="101" spans="1:11">
      <c r="A101" s="405" t="s">
        <v>130</v>
      </c>
      <c r="B101" s="405" t="s">
        <v>63</v>
      </c>
      <c r="F101" s="404" t="s">
        <v>9</v>
      </c>
      <c r="G101" s="404" t="s">
        <v>37</v>
      </c>
      <c r="H101" s="404" t="s">
        <v>29</v>
      </c>
      <c r="I101" s="404" t="s">
        <v>30</v>
      </c>
      <c r="J101" s="404" t="s">
        <v>33</v>
      </c>
      <c r="K101" s="404" t="s">
        <v>34</v>
      </c>
    </row>
    <row r="102" spans="1:11">
      <c r="A102" s="402" t="s">
        <v>131</v>
      </c>
      <c r="B102" s="405" t="s">
        <v>152</v>
      </c>
      <c r="F102" s="406">
        <v>3260</v>
      </c>
      <c r="G102" s="406">
        <v>0</v>
      </c>
      <c r="H102" s="407">
        <v>182978</v>
      </c>
      <c r="I102" s="407">
        <v>88685</v>
      </c>
      <c r="J102" s="407">
        <v>0</v>
      </c>
      <c r="K102" s="407">
        <v>271663</v>
      </c>
    </row>
    <row r="103" spans="1:11">
      <c r="A103" s="402" t="s">
        <v>132</v>
      </c>
      <c r="B103" s="405" t="s">
        <v>62</v>
      </c>
      <c r="F103" s="406">
        <v>100</v>
      </c>
      <c r="G103" s="406">
        <v>0</v>
      </c>
      <c r="H103" s="407">
        <v>1880</v>
      </c>
      <c r="I103" s="407">
        <v>1166</v>
      </c>
      <c r="J103" s="407">
        <v>0</v>
      </c>
      <c r="K103" s="407">
        <v>3046</v>
      </c>
    </row>
    <row r="104" spans="1:11">
      <c r="A104" s="402" t="s">
        <v>128</v>
      </c>
      <c r="B104" s="405" t="s">
        <v>630</v>
      </c>
      <c r="F104" s="406">
        <v>0</v>
      </c>
      <c r="G104" s="406">
        <v>0</v>
      </c>
      <c r="H104" s="407">
        <v>32170</v>
      </c>
      <c r="I104" s="407">
        <v>0</v>
      </c>
      <c r="J104" s="407">
        <v>0</v>
      </c>
      <c r="K104" s="407">
        <v>32170</v>
      </c>
    </row>
    <row r="105" spans="1:11">
      <c r="A105" s="402" t="s">
        <v>127</v>
      </c>
      <c r="B105" s="405"/>
      <c r="F105" s="406"/>
      <c r="G105" s="406"/>
      <c r="H105" s="407"/>
      <c r="I105" s="407"/>
      <c r="J105" s="407"/>
      <c r="K105" s="407"/>
    </row>
    <row r="106" spans="1:11">
      <c r="A106" s="402" t="s">
        <v>129</v>
      </c>
      <c r="B106" s="405"/>
      <c r="F106" s="406"/>
      <c r="G106" s="406"/>
      <c r="H106" s="407"/>
      <c r="I106" s="407"/>
      <c r="J106" s="407"/>
      <c r="K106" s="407"/>
    </row>
    <row r="107" spans="1:11">
      <c r="A107" s="402"/>
      <c r="B107" s="405"/>
      <c r="F107" s="406"/>
      <c r="G107" s="406"/>
      <c r="H107" s="407"/>
      <c r="I107" s="407"/>
      <c r="J107" s="407"/>
      <c r="K107" s="407"/>
    </row>
    <row r="108" spans="1:11">
      <c r="A108" s="405" t="s">
        <v>153</v>
      </c>
      <c r="B108" s="405" t="s">
        <v>154</v>
      </c>
      <c r="F108" s="406">
        <v>3360</v>
      </c>
      <c r="G108" s="406">
        <v>0</v>
      </c>
      <c r="H108" s="407">
        <v>217028</v>
      </c>
      <c r="I108" s="407">
        <v>89851</v>
      </c>
      <c r="J108" s="407">
        <v>0</v>
      </c>
      <c r="K108" s="407">
        <v>306879</v>
      </c>
    </row>
    <row r="110" spans="1:11">
      <c r="A110" s="404" t="s">
        <v>156</v>
      </c>
      <c r="B110" s="405" t="s">
        <v>39</v>
      </c>
    </row>
    <row r="111" spans="1:11">
      <c r="A111" s="402" t="s">
        <v>450</v>
      </c>
      <c r="B111" s="400" t="s">
        <v>164</v>
      </c>
      <c r="F111" s="407">
        <v>13581700</v>
      </c>
    </row>
    <row r="113" spans="1:6">
      <c r="B113" s="405" t="s">
        <v>15</v>
      </c>
    </row>
    <row r="114" spans="1:6">
      <c r="A114" s="402" t="s">
        <v>451</v>
      </c>
      <c r="B114" s="400" t="s">
        <v>452</v>
      </c>
      <c r="F114" s="408">
        <v>0.62</v>
      </c>
    </row>
    <row r="116" spans="1:6">
      <c r="A116" s="404" t="s">
        <v>170</v>
      </c>
      <c r="B116" s="405" t="s">
        <v>16</v>
      </c>
    </row>
    <row r="117" spans="1:6">
      <c r="A117" s="402" t="s">
        <v>453</v>
      </c>
      <c r="B117" s="400" t="s">
        <v>17</v>
      </c>
      <c r="F117" s="407">
        <v>477448097</v>
      </c>
    </row>
    <row r="118" spans="1:6">
      <c r="A118" s="402" t="s">
        <v>454</v>
      </c>
      <c r="B118" s="400" t="s">
        <v>18</v>
      </c>
      <c r="F118" s="407">
        <v>13110611</v>
      </c>
    </row>
    <row r="119" spans="1:6">
      <c r="A119" s="402" t="s">
        <v>455</v>
      </c>
      <c r="B119" s="405" t="s">
        <v>19</v>
      </c>
      <c r="F119" s="406">
        <v>490558708</v>
      </c>
    </row>
    <row r="121" spans="1:6">
      <c r="A121" s="402" t="s">
        <v>456</v>
      </c>
      <c r="B121" s="400" t="s">
        <v>282</v>
      </c>
      <c r="F121" s="407">
        <v>469241214</v>
      </c>
    </row>
    <row r="123" spans="1:6">
      <c r="A123" s="402" t="s">
        <v>457</v>
      </c>
      <c r="B123" s="400" t="s">
        <v>458</v>
      </c>
      <c r="F123" s="407">
        <v>21317494</v>
      </c>
    </row>
    <row r="125" spans="1:6">
      <c r="A125" s="402" t="s">
        <v>459</v>
      </c>
      <c r="B125" s="400" t="s">
        <v>460</v>
      </c>
      <c r="F125" s="407">
        <v>246061</v>
      </c>
    </row>
    <row r="127" spans="1:6">
      <c r="A127" s="402" t="s">
        <v>461</v>
      </c>
      <c r="B127" s="400" t="s">
        <v>462</v>
      </c>
      <c r="F127" s="407">
        <v>21563555</v>
      </c>
    </row>
    <row r="130" spans="1:11">
      <c r="A130" s="405" t="s">
        <v>157</v>
      </c>
      <c r="B130" s="405" t="s">
        <v>23</v>
      </c>
      <c r="F130" s="404" t="s">
        <v>9</v>
      </c>
      <c r="G130" s="404" t="s">
        <v>37</v>
      </c>
      <c r="H130" s="404" t="s">
        <v>29</v>
      </c>
      <c r="I130" s="404" t="s">
        <v>30</v>
      </c>
      <c r="J130" s="404" t="s">
        <v>33</v>
      </c>
      <c r="K130" s="404" t="s">
        <v>34</v>
      </c>
    </row>
    <row r="131" spans="1:11">
      <c r="A131" s="402" t="s">
        <v>463</v>
      </c>
      <c r="B131" s="405" t="s">
        <v>24</v>
      </c>
      <c r="F131" s="406">
        <v>0</v>
      </c>
      <c r="G131" s="406">
        <v>0</v>
      </c>
      <c r="H131" s="407">
        <v>0</v>
      </c>
      <c r="I131" s="407">
        <v>0</v>
      </c>
      <c r="J131" s="407">
        <v>0</v>
      </c>
      <c r="K131" s="407">
        <v>0</v>
      </c>
    </row>
    <row r="132" spans="1:11">
      <c r="A132" s="402" t="s">
        <v>464</v>
      </c>
      <c r="B132" s="405" t="s">
        <v>25</v>
      </c>
      <c r="F132" s="406">
        <v>0</v>
      </c>
      <c r="G132" s="406">
        <v>0</v>
      </c>
      <c r="H132" s="407">
        <v>0</v>
      </c>
      <c r="I132" s="407">
        <v>0</v>
      </c>
      <c r="J132" s="407">
        <v>0</v>
      </c>
      <c r="K132" s="407">
        <v>0</v>
      </c>
    </row>
    <row r="133" spans="1:11">
      <c r="A133" s="402"/>
      <c r="B133" s="405"/>
      <c r="F133" s="406"/>
      <c r="G133" s="406"/>
      <c r="H133" s="407"/>
      <c r="I133" s="407"/>
      <c r="J133" s="407"/>
      <c r="K133" s="407"/>
    </row>
    <row r="134" spans="1:11">
      <c r="A134" s="402"/>
      <c r="B134" s="405"/>
      <c r="F134" s="406"/>
      <c r="G134" s="406"/>
      <c r="H134" s="407"/>
      <c r="I134" s="407"/>
      <c r="J134" s="407"/>
      <c r="K134" s="407"/>
    </row>
    <row r="135" spans="1:11">
      <c r="A135" s="402"/>
      <c r="B135" s="405"/>
      <c r="F135" s="406"/>
      <c r="G135" s="406"/>
      <c r="H135" s="407"/>
      <c r="I135" s="407"/>
      <c r="J135" s="407"/>
      <c r="K135" s="407"/>
    </row>
    <row r="136" spans="1:11">
      <c r="A136" s="405" t="s">
        <v>465</v>
      </c>
      <c r="B136" s="405" t="s">
        <v>466</v>
      </c>
      <c r="F136" s="406">
        <v>0</v>
      </c>
      <c r="G136" s="406">
        <v>0</v>
      </c>
      <c r="H136" s="407">
        <v>0</v>
      </c>
      <c r="I136" s="407">
        <v>0</v>
      </c>
      <c r="J136" s="407">
        <v>0</v>
      </c>
      <c r="K136" s="407">
        <v>0</v>
      </c>
    </row>
    <row r="140" spans="1:11">
      <c r="A140" s="405" t="s">
        <v>166</v>
      </c>
      <c r="B140" s="405" t="s">
        <v>26</v>
      </c>
      <c r="F140" s="404" t="s">
        <v>9</v>
      </c>
      <c r="G140" s="404" t="s">
        <v>37</v>
      </c>
      <c r="H140" s="404" t="s">
        <v>29</v>
      </c>
      <c r="I140" s="404" t="s">
        <v>30</v>
      </c>
      <c r="J140" s="404" t="s">
        <v>33</v>
      </c>
      <c r="K140" s="404" t="s">
        <v>34</v>
      </c>
    </row>
    <row r="141" spans="1:11">
      <c r="A141" s="402" t="s">
        <v>420</v>
      </c>
      <c r="B141" s="405" t="s">
        <v>64</v>
      </c>
      <c r="F141" s="406">
        <v>13500.8</v>
      </c>
      <c r="G141" s="406">
        <v>12132</v>
      </c>
      <c r="H141" s="407">
        <v>1074175</v>
      </c>
      <c r="I141" s="407">
        <v>168832</v>
      </c>
      <c r="J141" s="407">
        <v>570849</v>
      </c>
      <c r="K141" s="407">
        <v>672158</v>
      </c>
    </row>
    <row r="142" spans="1:11">
      <c r="A142" s="402" t="s">
        <v>425</v>
      </c>
      <c r="B142" s="405" t="s">
        <v>65</v>
      </c>
      <c r="F142" s="406">
        <v>183353.5</v>
      </c>
      <c r="G142" s="406">
        <v>1510</v>
      </c>
      <c r="H142" s="407">
        <v>8448853</v>
      </c>
      <c r="I142" s="407">
        <v>5144481</v>
      </c>
      <c r="J142" s="407">
        <v>5500</v>
      </c>
      <c r="K142" s="407">
        <v>13587834</v>
      </c>
    </row>
    <row r="143" spans="1:11">
      <c r="A143" s="402" t="s">
        <v>428</v>
      </c>
      <c r="B143" s="405" t="s">
        <v>66</v>
      </c>
      <c r="F143" s="406">
        <v>0</v>
      </c>
      <c r="G143" s="406">
        <v>0</v>
      </c>
      <c r="H143" s="407">
        <v>26879571</v>
      </c>
      <c r="I143" s="407">
        <v>0</v>
      </c>
      <c r="J143" s="407">
        <v>21964838</v>
      </c>
      <c r="K143" s="407">
        <v>4914733</v>
      </c>
    </row>
    <row r="144" spans="1:11">
      <c r="A144" s="402" t="s">
        <v>431</v>
      </c>
      <c r="B144" s="405" t="s">
        <v>67</v>
      </c>
      <c r="F144" s="406">
        <v>10</v>
      </c>
      <c r="G144" s="406">
        <v>0</v>
      </c>
      <c r="H144" s="407">
        <v>234376</v>
      </c>
      <c r="I144" s="407">
        <v>144691</v>
      </c>
      <c r="J144" s="407">
        <v>0</v>
      </c>
      <c r="K144" s="407">
        <v>379067</v>
      </c>
    </row>
    <row r="145" spans="1:11">
      <c r="A145" s="402" t="s">
        <v>437</v>
      </c>
      <c r="B145" s="405" t="s">
        <v>68</v>
      </c>
      <c r="F145" s="406">
        <v>45.5</v>
      </c>
      <c r="G145" s="406">
        <v>400</v>
      </c>
      <c r="H145" s="407">
        <v>57888</v>
      </c>
      <c r="I145" s="407">
        <v>403</v>
      </c>
      <c r="J145" s="407">
        <v>0</v>
      </c>
      <c r="K145" s="407">
        <v>58291</v>
      </c>
    </row>
    <row r="146" spans="1:11">
      <c r="A146" s="402" t="s">
        <v>446</v>
      </c>
      <c r="B146" s="405" t="s">
        <v>69</v>
      </c>
      <c r="F146" s="406">
        <v>584</v>
      </c>
      <c r="G146" s="406">
        <v>342</v>
      </c>
      <c r="H146" s="407">
        <v>116292</v>
      </c>
      <c r="I146" s="407">
        <v>16925</v>
      </c>
      <c r="J146" s="407">
        <v>30548</v>
      </c>
      <c r="K146" s="407">
        <v>102669</v>
      </c>
    </row>
    <row r="147" spans="1:11">
      <c r="A147" s="402" t="s">
        <v>449</v>
      </c>
      <c r="B147" s="405" t="s">
        <v>61</v>
      </c>
      <c r="F147" s="406">
        <v>3360</v>
      </c>
      <c r="G147" s="406">
        <v>0</v>
      </c>
      <c r="H147" s="407">
        <v>217028</v>
      </c>
      <c r="I147" s="407">
        <v>89851</v>
      </c>
      <c r="J147" s="407">
        <v>0</v>
      </c>
      <c r="K147" s="407">
        <v>306879</v>
      </c>
    </row>
    <row r="148" spans="1:11">
      <c r="A148" s="402" t="s">
        <v>450</v>
      </c>
      <c r="B148" s="405" t="s">
        <v>70</v>
      </c>
      <c r="F148" s="401" t="s">
        <v>73</v>
      </c>
      <c r="G148" s="401" t="s">
        <v>73</v>
      </c>
      <c r="H148" s="401" t="s">
        <v>73</v>
      </c>
      <c r="I148" s="401" t="s">
        <v>73</v>
      </c>
      <c r="J148" s="401" t="s">
        <v>73</v>
      </c>
      <c r="K148" s="407">
        <v>13581700</v>
      </c>
    </row>
    <row r="149" spans="1:11">
      <c r="A149" s="402" t="s">
        <v>465</v>
      </c>
      <c r="B149" s="405" t="s">
        <v>71</v>
      </c>
      <c r="F149" s="406">
        <v>0</v>
      </c>
      <c r="G149" s="406">
        <v>0</v>
      </c>
      <c r="H149" s="407">
        <v>0</v>
      </c>
      <c r="I149" s="407">
        <v>0</v>
      </c>
      <c r="J149" s="407">
        <v>0</v>
      </c>
      <c r="K149" s="407">
        <v>0</v>
      </c>
    </row>
    <row r="150" spans="1:11">
      <c r="A150" s="402" t="s">
        <v>408</v>
      </c>
      <c r="B150" s="405" t="s">
        <v>186</v>
      </c>
      <c r="F150" s="401" t="s">
        <v>73</v>
      </c>
      <c r="G150" s="401" t="s">
        <v>73</v>
      </c>
      <c r="H150" s="407">
        <v>13032044</v>
      </c>
      <c r="I150" s="407">
        <v>0</v>
      </c>
      <c r="J150" s="407">
        <v>11144026.67</v>
      </c>
      <c r="K150" s="407">
        <v>1888017.33</v>
      </c>
    </row>
    <row r="151" spans="1:11" s="578" customFormat="1">
      <c r="A151" s="576"/>
      <c r="B151" s="577"/>
      <c r="H151" s="579"/>
      <c r="I151" s="579"/>
      <c r="J151" s="579"/>
      <c r="K151" s="579"/>
    </row>
    <row r="152" spans="1:11">
      <c r="A152" s="405" t="s">
        <v>467</v>
      </c>
      <c r="B152" s="405" t="s">
        <v>26</v>
      </c>
      <c r="F152" s="406">
        <v>200853.8</v>
      </c>
      <c r="G152" s="406">
        <v>14384</v>
      </c>
      <c r="H152" s="407">
        <v>50060227</v>
      </c>
      <c r="I152" s="407">
        <v>5565183</v>
      </c>
      <c r="J152" s="407">
        <v>33715761.670000002</v>
      </c>
      <c r="K152" s="407">
        <v>35491348.329999998</v>
      </c>
    </row>
    <row r="154" spans="1:11">
      <c r="A154" s="402" t="s">
        <v>468</v>
      </c>
      <c r="B154" s="405" t="s">
        <v>28</v>
      </c>
      <c r="F154" s="406">
        <v>7.56</v>
      </c>
    </row>
    <row r="155" spans="1:11">
      <c r="A155" s="402" t="s">
        <v>469</v>
      </c>
      <c r="B155" s="405" t="s">
        <v>72</v>
      </c>
      <c r="F155" s="406">
        <v>164.59</v>
      </c>
    </row>
  </sheetData>
  <mergeCells count="7">
    <mergeCell ref="C11:G11"/>
    <mergeCell ref="D2:H2"/>
    <mergeCell ref="C5:G5"/>
    <mergeCell ref="C6:G6"/>
    <mergeCell ref="C7:G7"/>
    <mergeCell ref="C9:G9"/>
    <mergeCell ref="C10:G10"/>
  </mergeCells>
  <pageMargins left="0.7" right="0.7" top="0.75" bottom="0.75" header="0.3" footer="0.3"/>
  <pageSetup paperSize="0" orientation="portrait" horizontalDpi="0" verticalDpi="0" copie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40" zoomScale="70" zoomScaleNormal="70" zoomScaleSheetLayoutView="70" workbookViewId="0">
      <selection activeCell="B166" sqref="B166"/>
    </sheetView>
  </sheetViews>
  <sheetFormatPr defaultRowHeight="18" customHeight="1"/>
  <cols>
    <col min="1" max="1" width="8.28515625" style="177" customWidth="1"/>
    <col min="2" max="2" width="55.42578125" style="178" bestFit="1" customWidth="1"/>
    <col min="3" max="3" width="9.5703125" style="178" customWidth="1"/>
    <col min="4" max="4" width="9.140625" style="178"/>
    <col min="5" max="5" width="12.42578125" style="178" customWidth="1"/>
    <col min="6" max="6" width="18.5703125" style="178" customWidth="1"/>
    <col min="7" max="7" width="23.5703125" style="178" customWidth="1"/>
    <col min="8" max="8" width="17.140625" style="178" customWidth="1"/>
    <col min="9" max="9" width="21.140625" style="178" customWidth="1"/>
    <col min="10" max="10" width="19.85546875" style="178" customWidth="1"/>
    <col min="11" max="11" width="17.5703125" style="178" customWidth="1"/>
    <col min="12" max="16384" width="9.140625" style="178"/>
  </cols>
  <sheetData>
    <row r="1" spans="1:11" ht="18" customHeight="1">
      <c r="C1" s="179"/>
      <c r="D1" s="180"/>
      <c r="E1" s="179"/>
      <c r="F1" s="179"/>
      <c r="G1" s="179"/>
      <c r="H1" s="179"/>
      <c r="I1" s="179"/>
      <c r="J1" s="179"/>
      <c r="K1" s="179"/>
    </row>
    <row r="2" spans="1:11" ht="18" customHeight="1">
      <c r="D2" s="680" t="s">
        <v>187</v>
      </c>
      <c r="E2" s="681"/>
      <c r="F2" s="681"/>
      <c r="G2" s="681"/>
      <c r="H2" s="681"/>
    </row>
    <row r="3" spans="1:11" ht="18" customHeight="1">
      <c r="B3" s="181" t="s">
        <v>0</v>
      </c>
    </row>
    <row r="5" spans="1:11" ht="18" customHeight="1">
      <c r="B5" s="182" t="s">
        <v>40</v>
      </c>
      <c r="C5" s="682" t="s">
        <v>368</v>
      </c>
      <c r="D5" s="683"/>
      <c r="E5" s="683"/>
      <c r="F5" s="683"/>
      <c r="G5" s="684"/>
    </row>
    <row r="6" spans="1:11" ht="18" customHeight="1">
      <c r="B6" s="182" t="s">
        <v>3</v>
      </c>
      <c r="C6" s="685" t="s">
        <v>369</v>
      </c>
      <c r="D6" s="724"/>
      <c r="E6" s="724"/>
      <c r="F6" s="724"/>
      <c r="G6" s="725"/>
    </row>
    <row r="7" spans="1:11" ht="18" customHeight="1">
      <c r="B7" s="182" t="s">
        <v>4</v>
      </c>
      <c r="C7" s="726" t="s">
        <v>370</v>
      </c>
      <c r="D7" s="689"/>
      <c r="E7" s="689"/>
      <c r="F7" s="689"/>
      <c r="G7" s="690"/>
    </row>
    <row r="9" spans="1:11" ht="18" customHeight="1">
      <c r="B9" s="182" t="s">
        <v>1</v>
      </c>
      <c r="C9" s="727" t="s">
        <v>188</v>
      </c>
      <c r="D9" s="683"/>
      <c r="E9" s="683"/>
      <c r="F9" s="683"/>
      <c r="G9" s="684"/>
    </row>
    <row r="10" spans="1:11" ht="18" customHeight="1">
      <c r="B10" s="182" t="s">
        <v>2</v>
      </c>
      <c r="C10" s="728" t="s">
        <v>189</v>
      </c>
      <c r="D10" s="678"/>
      <c r="E10" s="678"/>
      <c r="F10" s="678"/>
      <c r="G10" s="679"/>
    </row>
    <row r="11" spans="1:11" ht="18" customHeight="1">
      <c r="B11" s="182" t="s">
        <v>32</v>
      </c>
      <c r="C11" s="728" t="s">
        <v>190</v>
      </c>
      <c r="D11" s="678"/>
      <c r="E11" s="678"/>
      <c r="F11" s="678"/>
      <c r="G11" s="679"/>
    </row>
    <row r="12" spans="1:11" ht="18" customHeight="1">
      <c r="B12" s="182"/>
      <c r="C12" s="182"/>
      <c r="D12" s="182"/>
      <c r="E12" s="182"/>
      <c r="F12" s="182"/>
      <c r="G12" s="182"/>
    </row>
    <row r="13" spans="1:11" ht="24.6" customHeight="1">
      <c r="B13" s="696"/>
      <c r="C13" s="697"/>
      <c r="D13" s="697"/>
      <c r="E13" s="697"/>
      <c r="F13" s="697"/>
      <c r="G13" s="697"/>
      <c r="H13" s="698"/>
      <c r="I13" s="179"/>
    </row>
    <row r="14" spans="1:11" ht="18" customHeight="1">
      <c r="B14" s="183"/>
    </row>
    <row r="15" spans="1:11" ht="18" customHeight="1">
      <c r="B15" s="183"/>
    </row>
    <row r="16" spans="1:11" ht="45" customHeight="1">
      <c r="A16" s="180" t="s">
        <v>181</v>
      </c>
      <c r="B16" s="179"/>
      <c r="C16" s="179"/>
      <c r="D16" s="179"/>
      <c r="E16" s="179"/>
      <c r="F16" s="184" t="s">
        <v>9</v>
      </c>
      <c r="G16" s="184" t="s">
        <v>37</v>
      </c>
      <c r="H16" s="184" t="s">
        <v>29</v>
      </c>
      <c r="I16" s="184" t="s">
        <v>30</v>
      </c>
      <c r="J16" s="184" t="s">
        <v>33</v>
      </c>
      <c r="K16" s="184" t="s">
        <v>34</v>
      </c>
    </row>
    <row r="17" spans="1:11" ht="18" customHeight="1">
      <c r="A17" s="185" t="s">
        <v>184</v>
      </c>
      <c r="B17" s="181" t="s">
        <v>182</v>
      </c>
    </row>
    <row r="18" spans="1:11" ht="18" customHeight="1">
      <c r="A18" s="182" t="s">
        <v>185</v>
      </c>
      <c r="B18" s="186" t="s">
        <v>183</v>
      </c>
      <c r="F18" s="187" t="s">
        <v>73</v>
      </c>
      <c r="G18" s="187" t="s">
        <v>73</v>
      </c>
      <c r="H18" s="187">
        <f>+VLOOKUP(A18,'[12]CB List'!$H$161:$X$211,14,FALSE)</f>
        <v>6405241</v>
      </c>
      <c r="I18" s="187">
        <f>+VLOOKUP(A18,'[12]CB List'!$H$161:$X$211,15,FALSE)</f>
        <v>0</v>
      </c>
      <c r="J18" s="187">
        <f>-VLOOKUP(A18,'[12]CB List'!$H$161:$X$211,16,FALSE)</f>
        <v>5477280.5</v>
      </c>
      <c r="K18" s="190">
        <f>(H18+I18)-J18</f>
        <v>927960.5</v>
      </c>
    </row>
    <row r="19" spans="1:11" ht="45" customHeight="1">
      <c r="A19" s="180" t="s">
        <v>8</v>
      </c>
      <c r="B19" s="179"/>
      <c r="C19" s="179"/>
      <c r="D19" s="179"/>
      <c r="E19" s="179"/>
      <c r="F19" s="184" t="s">
        <v>9</v>
      </c>
      <c r="G19" s="184" t="s">
        <v>37</v>
      </c>
      <c r="H19" s="184" t="s">
        <v>29</v>
      </c>
      <c r="I19" s="184" t="s">
        <v>30</v>
      </c>
      <c r="J19" s="184" t="s">
        <v>33</v>
      </c>
      <c r="K19" s="184" t="s">
        <v>34</v>
      </c>
    </row>
    <row r="20" spans="1:11" ht="18" customHeight="1">
      <c r="A20" s="185" t="s">
        <v>74</v>
      </c>
      <c r="B20" s="181" t="s">
        <v>41</v>
      </c>
    </row>
    <row r="21" spans="1:11" ht="18" customHeight="1">
      <c r="A21" s="182" t="s">
        <v>75</v>
      </c>
      <c r="B21" s="186" t="s">
        <v>42</v>
      </c>
      <c r="F21" s="187">
        <f>+VLOOKUP(A21,'[12]CB List'!$H$161:$X$211,12,FALSE)</f>
        <v>15026.379195054735</v>
      </c>
      <c r="G21" s="187">
        <f>+VLOOKUP(A21,'[12]CB List'!$H$161:$X$211,13,FALSE)</f>
        <v>19564.99168579714</v>
      </c>
      <c r="H21" s="187">
        <f>+VLOOKUP(A21,'[12]CB List'!$H$161:$X$211,14,FALSE)</f>
        <v>566979.48845109763</v>
      </c>
      <c r="I21" s="187">
        <f>+VLOOKUP(A21,'[12]CB List'!$H$161:$X$211,15,FALSE)</f>
        <v>349520.6321596278</v>
      </c>
      <c r="J21" s="187">
        <f>-VLOOKUP(A21,'[12]CB List'!$H$161:$X$211,16,FALSE)</f>
        <v>38982.079684149998</v>
      </c>
      <c r="K21" s="190">
        <f t="shared" ref="K21:K34" si="0">(H21+I21)-J21</f>
        <v>877518.04092657543</v>
      </c>
    </row>
    <row r="22" spans="1:11" ht="18" customHeight="1">
      <c r="A22" s="182" t="s">
        <v>76</v>
      </c>
      <c r="B22" s="178" t="s">
        <v>6</v>
      </c>
      <c r="F22" s="187">
        <f>+VLOOKUP(A22,'[12]CB List'!$H$161:$X$211,12,FALSE)</f>
        <v>865.34690140000009</v>
      </c>
      <c r="G22" s="187">
        <f>+VLOOKUP(A22,'[12]CB List'!$H$161:$X$211,13,FALSE)</f>
        <v>910</v>
      </c>
      <c r="H22" s="187">
        <f>+VLOOKUP(A22,'[12]CB List'!$H$161:$X$211,14,FALSE)</f>
        <v>27237.198997850002</v>
      </c>
      <c r="I22" s="187">
        <f>+VLOOKUP(A22,'[12]CB List'!$H$161:$X$211,15,FALSE)</f>
        <v>16790.665634118821</v>
      </c>
      <c r="J22" s="187">
        <f>-VLOOKUP(A22,'[12]CB List'!$H$161:$X$211,16,FALSE)</f>
        <v>3839.7855064500004</v>
      </c>
      <c r="K22" s="190">
        <f t="shared" si="0"/>
        <v>40188.079125518823</v>
      </c>
    </row>
    <row r="23" spans="1:11" ht="18" customHeight="1">
      <c r="A23" s="182" t="s">
        <v>77</v>
      </c>
      <c r="B23" s="178" t="s">
        <v>43</v>
      </c>
      <c r="F23" s="187">
        <f>+VLOOKUP(A23,'[12]CB List'!$H$161:$X$211,12,FALSE)</f>
        <v>0</v>
      </c>
      <c r="G23" s="187">
        <f>+VLOOKUP(A23,'[12]CB List'!$H$161:$X$211,13,FALSE)</f>
        <v>0</v>
      </c>
      <c r="H23" s="187">
        <f>+VLOOKUP(A23,'[12]CB List'!$H$161:$X$211,14,FALSE)</f>
        <v>0</v>
      </c>
      <c r="I23" s="187">
        <f>+VLOOKUP(A23,'[12]CB List'!$H$161:$X$211,15,FALSE)</f>
        <v>0</v>
      </c>
      <c r="J23" s="187">
        <f>-VLOOKUP(A23,'[12]CB List'!$H$161:$X$211,16,FALSE)</f>
        <v>0</v>
      </c>
      <c r="K23" s="190">
        <f t="shared" si="0"/>
        <v>0</v>
      </c>
    </row>
    <row r="24" spans="1:11" ht="18" customHeight="1">
      <c r="A24" s="182" t="s">
        <v>78</v>
      </c>
      <c r="B24" s="178" t="s">
        <v>44</v>
      </c>
      <c r="F24" s="187">
        <f>+VLOOKUP(A24,'[12]CB List'!$H$161:$X$211,12,FALSE)</f>
        <v>1336.2683228750989</v>
      </c>
      <c r="G24" s="187">
        <f>+VLOOKUP(A24,'[12]CB List'!$H$161:$X$211,13,FALSE)</f>
        <v>1329.0084052746167</v>
      </c>
      <c r="H24" s="187">
        <f>+VLOOKUP(A24,'[12]CB List'!$H$161:$X$211,14,FALSE)</f>
        <v>48787.321594567933</v>
      </c>
      <c r="I24" s="187">
        <f>+VLOOKUP(A24,'[12]CB List'!$H$161:$X$211,15,FALSE)</f>
        <v>30075.471568984645</v>
      </c>
      <c r="J24" s="187">
        <f>-VLOOKUP(A24,'[12]CB List'!$H$161:$X$211,16,FALSE)</f>
        <v>0</v>
      </c>
      <c r="K24" s="190">
        <f t="shared" si="0"/>
        <v>78862.793163552575</v>
      </c>
    </row>
    <row r="25" spans="1:11" ht="18" customHeight="1">
      <c r="A25" s="182" t="s">
        <v>79</v>
      </c>
      <c r="B25" s="178" t="s">
        <v>5</v>
      </c>
      <c r="F25" s="187">
        <f>+VLOOKUP(A25,'[12]CB List'!$H$161:$X$211,12,FALSE)</f>
        <v>4042.8917828000003</v>
      </c>
      <c r="G25" s="187">
        <f>+VLOOKUP(A25,'[12]CB List'!$H$161:$X$211,13,FALSE)</f>
        <v>4000</v>
      </c>
      <c r="H25" s="187">
        <f>+VLOOKUP(A25,'[12]CB List'!$H$161:$X$211,14,FALSE)</f>
        <v>129012.31681795001</v>
      </c>
      <c r="I25" s="187">
        <f>+VLOOKUP(A25,'[12]CB List'!$H$161:$X$211,15,FALSE)</f>
        <v>79531.036746627084</v>
      </c>
      <c r="J25" s="187">
        <f>-VLOOKUP(A25,'[12]CB List'!$H$161:$X$211,16,FALSE)</f>
        <v>13789.498112900001</v>
      </c>
      <c r="K25" s="190">
        <f t="shared" si="0"/>
        <v>194753.85545167708</v>
      </c>
    </row>
    <row r="26" spans="1:11" ht="18" customHeight="1">
      <c r="A26" s="182" t="s">
        <v>80</v>
      </c>
      <c r="B26" s="178" t="s">
        <v>45</v>
      </c>
      <c r="F26" s="187">
        <f>+VLOOKUP(A26,'[12]CB List'!$H$161:$X$211,12,FALSE)</f>
        <v>0</v>
      </c>
      <c r="G26" s="187">
        <f>+VLOOKUP(A26,'[12]CB List'!$H$161:$X$211,13,FALSE)</f>
        <v>0</v>
      </c>
      <c r="H26" s="187">
        <f>+VLOOKUP(A26,'[12]CB List'!$H$161:$X$211,14,FALSE)</f>
        <v>0</v>
      </c>
      <c r="I26" s="187">
        <f>+VLOOKUP(A26,'[12]CB List'!$H$161:$X$211,15,FALSE)</f>
        <v>0</v>
      </c>
      <c r="J26" s="187">
        <f>-VLOOKUP(A26,'[12]CB List'!$H$161:$X$211,16,FALSE)</f>
        <v>0</v>
      </c>
      <c r="K26" s="190">
        <f t="shared" si="0"/>
        <v>0</v>
      </c>
    </row>
    <row r="27" spans="1:11" ht="18" customHeight="1">
      <c r="A27" s="182" t="s">
        <v>81</v>
      </c>
      <c r="B27" s="178" t="s">
        <v>46</v>
      </c>
      <c r="F27" s="187">
        <f>+VLOOKUP(A27,'[12]CB List'!$H$161:$X$211,12,FALSE)</f>
        <v>0</v>
      </c>
      <c r="G27" s="187">
        <f>+VLOOKUP(A27,'[12]CB List'!$H$161:$X$211,13,FALSE)</f>
        <v>0</v>
      </c>
      <c r="H27" s="187">
        <f>+VLOOKUP(A27,'[12]CB List'!$H$161:$X$211,14,FALSE)</f>
        <v>0</v>
      </c>
      <c r="I27" s="187">
        <f>+VLOOKUP(A27,'[12]CB List'!$H$161:$X$211,15,FALSE)</f>
        <v>0</v>
      </c>
      <c r="J27" s="187">
        <f>-VLOOKUP(A27,'[12]CB List'!$H$161:$X$211,16,FALSE)</f>
        <v>0</v>
      </c>
      <c r="K27" s="190">
        <f t="shared" si="0"/>
        <v>0</v>
      </c>
    </row>
    <row r="28" spans="1:11" ht="18" customHeight="1">
      <c r="A28" s="182" t="s">
        <v>82</v>
      </c>
      <c r="B28" s="178" t="s">
        <v>47</v>
      </c>
      <c r="F28" s="187">
        <f>+VLOOKUP(A28,'[12]CB List'!$H$161:$X$211,12,FALSE)</f>
        <v>0</v>
      </c>
      <c r="G28" s="187">
        <f>+VLOOKUP(A28,'[12]CB List'!$H$161:$X$211,13,FALSE)</f>
        <v>0</v>
      </c>
      <c r="H28" s="187">
        <f>+VLOOKUP(A28,'[12]CB List'!$H$161:$X$211,14,FALSE)</f>
        <v>0</v>
      </c>
      <c r="I28" s="187">
        <f>+VLOOKUP(A28,'[12]CB List'!$H$161:$X$211,15,FALSE)</f>
        <v>0</v>
      </c>
      <c r="J28" s="187">
        <f>-VLOOKUP(A28,'[12]CB List'!$H$161:$X$211,16,FALSE)</f>
        <v>0</v>
      </c>
      <c r="K28" s="190">
        <f t="shared" si="0"/>
        <v>0</v>
      </c>
    </row>
    <row r="29" spans="1:11" ht="18" customHeight="1">
      <c r="A29" s="182" t="s">
        <v>83</v>
      </c>
      <c r="B29" s="178" t="s">
        <v>48</v>
      </c>
      <c r="F29" s="187">
        <f>+VLOOKUP(A29,'[12]CB List'!$H$161:$X$211,12,FALSE)</f>
        <v>4927.3984146049515</v>
      </c>
      <c r="G29" s="187">
        <f>+VLOOKUP(A29,'[12]CB List'!$H$161:$X$211,13,FALSE)</f>
        <v>3074.0012007535165</v>
      </c>
      <c r="H29" s="187">
        <f>+VLOOKUP(A29,'[12]CB List'!$H$161:$X$211,14,FALSE)</f>
        <v>1640175.9839950001</v>
      </c>
      <c r="I29" s="187">
        <f>+VLOOKUP(A29,'[12]CB List'!$H$161:$X$211,15,FALSE)</f>
        <v>969470.50445058825</v>
      </c>
      <c r="J29" s="187">
        <f>-VLOOKUP(A29,'[12]CB List'!$H$161:$X$211,16,FALSE)</f>
        <v>52132.710920249992</v>
      </c>
      <c r="K29" s="190">
        <f t="shared" si="0"/>
        <v>2557513.7775253383</v>
      </c>
    </row>
    <row r="30" spans="1:11" ht="18" customHeight="1">
      <c r="A30" s="182" t="s">
        <v>84</v>
      </c>
      <c r="B30" s="192" t="s">
        <v>199</v>
      </c>
      <c r="C30" s="193"/>
      <c r="D30" s="194"/>
      <c r="F30" s="187">
        <f>+VLOOKUP(A30,'[12]CB List'!$H$161:$X$211,12,FALSE)</f>
        <v>1382.0909474281334</v>
      </c>
      <c r="G30" s="187">
        <f>+VLOOKUP(A30,'[12]CB List'!$H$161:$X$211,13,FALSE)</f>
        <v>3123.0135084770627</v>
      </c>
      <c r="H30" s="187">
        <f>+VLOOKUP(A30,'[12]CB List'!$H$161:$X$211,14,FALSE)</f>
        <v>21972.857241350001</v>
      </c>
      <c r="I30" s="187">
        <f>+VLOOKUP(A30,'[12]CB List'!$H$161:$X$211,15,FALSE)</f>
        <v>13545.405274413752</v>
      </c>
      <c r="J30" s="187">
        <f>-VLOOKUP(A30,'[12]CB List'!$H$161:$X$211,16,FALSE)</f>
        <v>3390.6462497000002</v>
      </c>
      <c r="K30" s="190">
        <f t="shared" si="0"/>
        <v>32127.616266063753</v>
      </c>
    </row>
    <row r="31" spans="1:11" ht="18" customHeight="1">
      <c r="A31" s="182" t="s">
        <v>133</v>
      </c>
      <c r="B31" s="699"/>
      <c r="C31" s="700"/>
      <c r="D31" s="701"/>
      <c r="F31" s="187">
        <f>+VLOOKUP(A31,'[12]CB List'!$H$161:$X$211,12,FALSE)</f>
        <v>0</v>
      </c>
      <c r="G31" s="187">
        <f>+VLOOKUP(A31,'[12]CB List'!$H$161:$X$211,13,FALSE)</f>
        <v>0</v>
      </c>
      <c r="H31" s="187">
        <f>+VLOOKUP(A31,'[12]CB List'!$H$161:$X$211,14,FALSE)</f>
        <v>0</v>
      </c>
      <c r="I31" s="187">
        <f>+VLOOKUP(A31,'[12]CB List'!$H$161:$X$211,15,FALSE)</f>
        <v>0</v>
      </c>
      <c r="J31" s="187">
        <f>-VLOOKUP(A31,'[12]CB List'!$H$161:$X$211,16,FALSE)</f>
        <v>0</v>
      </c>
      <c r="K31" s="190">
        <f t="shared" si="0"/>
        <v>0</v>
      </c>
    </row>
    <row r="32" spans="1:11" ht="18" customHeight="1">
      <c r="A32" s="182" t="s">
        <v>134</v>
      </c>
      <c r="B32" s="192"/>
      <c r="C32" s="193"/>
      <c r="D32" s="194"/>
      <c r="F32" s="187"/>
      <c r="G32" s="191" t="s">
        <v>85</v>
      </c>
      <c r="H32" s="188"/>
      <c r="I32" s="187"/>
      <c r="J32" s="188"/>
      <c r="K32" s="190">
        <f t="shared" si="0"/>
        <v>0</v>
      </c>
    </row>
    <row r="33" spans="1:11" ht="18" customHeight="1">
      <c r="A33" s="182" t="s">
        <v>135</v>
      </c>
      <c r="B33" s="192"/>
      <c r="C33" s="193"/>
      <c r="D33" s="194"/>
      <c r="F33" s="187"/>
      <c r="G33" s="191" t="s">
        <v>85</v>
      </c>
      <c r="H33" s="188"/>
      <c r="I33" s="187"/>
      <c r="J33" s="188"/>
      <c r="K33" s="190">
        <f t="shared" si="0"/>
        <v>0</v>
      </c>
    </row>
    <row r="34" spans="1:11" ht="18" customHeight="1">
      <c r="A34" s="182" t="s">
        <v>136</v>
      </c>
      <c r="B34" s="699"/>
      <c r="C34" s="700"/>
      <c r="D34" s="701"/>
      <c r="F34" s="187"/>
      <c r="G34" s="191" t="s">
        <v>85</v>
      </c>
      <c r="H34" s="188"/>
      <c r="I34" s="187"/>
      <c r="J34" s="188"/>
      <c r="K34" s="190">
        <f t="shared" si="0"/>
        <v>0</v>
      </c>
    </row>
    <row r="35" spans="1:11" ht="18" customHeight="1">
      <c r="K35" s="195"/>
    </row>
    <row r="36" spans="1:11" ht="18" customHeight="1">
      <c r="A36" s="185" t="s">
        <v>137</v>
      </c>
      <c r="B36" s="181" t="s">
        <v>138</v>
      </c>
      <c r="E36" s="181" t="s">
        <v>7</v>
      </c>
      <c r="F36" s="196">
        <f t="shared" ref="F36:K36" si="1">SUM(F21:F34)</f>
        <v>27580.375564162918</v>
      </c>
      <c r="G36" s="196">
        <f t="shared" si="1"/>
        <v>32001.014800302335</v>
      </c>
      <c r="H36" s="196">
        <f t="shared" si="1"/>
        <v>2434165.1670978158</v>
      </c>
      <c r="I36" s="190">
        <f t="shared" si="1"/>
        <v>1458933.7158343603</v>
      </c>
      <c r="J36" s="190">
        <f t="shared" si="1"/>
        <v>112134.72047345</v>
      </c>
      <c r="K36" s="190">
        <f t="shared" si="1"/>
        <v>3780964.1624587257</v>
      </c>
    </row>
    <row r="37" spans="1:11" ht="18" customHeight="1" thickBot="1">
      <c r="B37" s="181"/>
      <c r="F37" s="197"/>
      <c r="G37" s="197"/>
      <c r="H37" s="198"/>
      <c r="I37" s="198"/>
      <c r="J37" s="198"/>
      <c r="K37" s="199"/>
    </row>
    <row r="38" spans="1:11" ht="42.75" customHeight="1">
      <c r="F38" s="184" t="s">
        <v>9</v>
      </c>
      <c r="G38" s="184" t="s">
        <v>37</v>
      </c>
      <c r="H38" s="184" t="s">
        <v>29</v>
      </c>
      <c r="I38" s="184" t="s">
        <v>30</v>
      </c>
      <c r="J38" s="184" t="s">
        <v>33</v>
      </c>
      <c r="K38" s="184" t="s">
        <v>34</v>
      </c>
    </row>
    <row r="39" spans="1:11" ht="18.75" customHeight="1">
      <c r="A39" s="185" t="s">
        <v>86</v>
      </c>
      <c r="B39" s="181" t="s">
        <v>49</v>
      </c>
    </row>
    <row r="40" spans="1:11" ht="18" customHeight="1">
      <c r="A40" s="182" t="s">
        <v>87</v>
      </c>
      <c r="B40" s="178" t="s">
        <v>31</v>
      </c>
      <c r="F40" s="187">
        <f>+VLOOKUP(A40,'[12]CB List'!$H$161:$X$211,12,FALSE)</f>
        <v>5758.65</v>
      </c>
      <c r="G40" s="187">
        <f>+VLOOKUP(A40,'[12]CB List'!$H$161:$X$211,13,FALSE)</f>
        <v>2879.3249999999998</v>
      </c>
      <c r="H40" s="187">
        <f>+VLOOKUP(A40,'[12]CB List'!$H$161:$X$211,14,FALSE)</f>
        <v>398153.87599999999</v>
      </c>
      <c r="I40" s="187">
        <f>+VLOOKUP(A40,'[12]CB List'!$H$161:$X$211,15,FALSE)</f>
        <v>0</v>
      </c>
      <c r="J40" s="187">
        <f>-VLOOKUP(A40,'[12]CB List'!$H$161:$X$211,16,FALSE)</f>
        <v>0</v>
      </c>
      <c r="K40" s="190">
        <f t="shared" ref="K40:K47" si="2">(H40+I40)-J40</f>
        <v>398153.87599999999</v>
      </c>
    </row>
    <row r="41" spans="1:11" ht="18" customHeight="1">
      <c r="A41" s="182" t="s">
        <v>88</v>
      </c>
      <c r="B41" s="702" t="s">
        <v>50</v>
      </c>
      <c r="C41" s="703"/>
      <c r="F41" s="187">
        <f>+VLOOKUP(A41,'[12]CB List'!$H$161:$X$211,12,FALSE)</f>
        <v>5497.4981392967011</v>
      </c>
      <c r="G41" s="187">
        <f>+VLOOKUP(A41,'[12]CB List'!$H$161:$X$211,13,FALSE)</f>
        <v>3137.3251801130277</v>
      </c>
      <c r="H41" s="187">
        <f>+VLOOKUP(A41,'[12]CB List'!$H$161:$X$211,14,FALSE)</f>
        <v>230844.51428571431</v>
      </c>
      <c r="I41" s="187">
        <f>+VLOOKUP(A41,'[12]CB List'!$H$161:$X$211,15,FALSE)</f>
        <v>0</v>
      </c>
      <c r="J41" s="187">
        <f>-VLOOKUP(A41,'[12]CB List'!$H$161:$X$211,16,FALSE)</f>
        <v>0</v>
      </c>
      <c r="K41" s="190">
        <f t="shared" si="2"/>
        <v>230844.51428571431</v>
      </c>
    </row>
    <row r="42" spans="1:11" ht="18" customHeight="1">
      <c r="A42" s="182" t="s">
        <v>89</v>
      </c>
      <c r="B42" s="186" t="s">
        <v>11</v>
      </c>
      <c r="F42" s="187">
        <f>+VLOOKUP(A42,'[12]CB List'!$H$161:$X$211,12,FALSE)</f>
        <v>12511.431860679688</v>
      </c>
      <c r="G42" s="187">
        <f>+VLOOKUP(A42,'[12]CB List'!$H$161:$X$211,13,FALSE)</f>
        <v>9053.6422665237878</v>
      </c>
      <c r="H42" s="187">
        <f>+VLOOKUP(A42,'[12]CB List'!$H$161:$X$211,14,FALSE)</f>
        <v>512927.64067400008</v>
      </c>
      <c r="I42" s="187">
        <f>+VLOOKUP(A42,'[12]CB List'!$H$161:$X$211,15,FALSE)</f>
        <v>0</v>
      </c>
      <c r="J42" s="187">
        <f>-VLOOKUP(A42,'[12]CB List'!$H$161:$X$211,16,FALSE)</f>
        <v>113329.65630675</v>
      </c>
      <c r="K42" s="190">
        <f t="shared" si="2"/>
        <v>399597.98436725012</v>
      </c>
    </row>
    <row r="43" spans="1:11" ht="18" customHeight="1">
      <c r="A43" s="182" t="s">
        <v>90</v>
      </c>
      <c r="B43" s="200" t="s">
        <v>10</v>
      </c>
      <c r="C43" s="201"/>
      <c r="D43" s="201"/>
      <c r="F43" s="187">
        <f>+VLOOKUP(A43,'[12]CB List'!$H$161:$Q$211,5,FALSE)</f>
        <v>0</v>
      </c>
      <c r="G43" s="187">
        <f>+VLOOKUP(A43,'[12]CB List'!$H$161:$Q$211,6,FALSE)</f>
        <v>0</v>
      </c>
      <c r="H43" s="187">
        <f>+VLOOKUP(A43,'[12]CB List'!$H$161:$Q$210,7,FALSE)</f>
        <v>0</v>
      </c>
      <c r="I43" s="187">
        <f>-VLOOKUP(A43,'[12]CB List'!$H$161:$Q$210,8,FALSE)</f>
        <v>0</v>
      </c>
      <c r="J43" s="187">
        <f>-VLOOKUP(A43,'[12]CB List'!$H$161:$Q$210,9,FALSE)</f>
        <v>0</v>
      </c>
      <c r="K43" s="190">
        <f t="shared" si="2"/>
        <v>0</v>
      </c>
    </row>
    <row r="44" spans="1:11" ht="18" customHeight="1">
      <c r="A44" s="182" t="s">
        <v>91</v>
      </c>
      <c r="B44" s="699"/>
      <c r="C44" s="700"/>
      <c r="D44" s="701"/>
      <c r="F44" s="187">
        <f>+VLOOKUP(A44,'[12]CB List'!$H$161:$Q$211,5,FALSE)</f>
        <v>0</v>
      </c>
      <c r="G44" s="187">
        <f>+VLOOKUP(A44,'[12]CB List'!$H$161:$Q$211,6,FALSE)</f>
        <v>0</v>
      </c>
      <c r="H44" s="187">
        <f>+VLOOKUP(A44,'[12]CB List'!$H$161:$Q$210,7,FALSE)</f>
        <v>0</v>
      </c>
      <c r="I44" s="187">
        <f>-VLOOKUP(A44,'[12]CB List'!$H$161:$Q$210,8,FALSE)</f>
        <v>0</v>
      </c>
      <c r="J44" s="187">
        <f>-VLOOKUP(A44,'[12]CB List'!$H$161:$Q$210,9,FALSE)</f>
        <v>0</v>
      </c>
      <c r="K44" s="204">
        <f t="shared" si="2"/>
        <v>0</v>
      </c>
    </row>
    <row r="45" spans="1:11" ht="18" customHeight="1">
      <c r="A45" s="182" t="s">
        <v>139</v>
      </c>
      <c r="B45" s="699"/>
      <c r="C45" s="700"/>
      <c r="D45" s="701"/>
      <c r="F45" s="187">
        <f>+VLOOKUP(A45,'[12]CB List'!$H$161:$Q$211,5,FALSE)</f>
        <v>0</v>
      </c>
      <c r="G45" s="187">
        <f>+VLOOKUP(A45,'[12]CB List'!$H$161:$Q$211,6,FALSE)</f>
        <v>0</v>
      </c>
      <c r="H45" s="187">
        <f>+VLOOKUP(A45,'[12]CB List'!$H$161:$Q$210,7,FALSE)</f>
        <v>0</v>
      </c>
      <c r="I45" s="187">
        <f>-VLOOKUP(A45,'[12]CB List'!$H$161:$Q$210,8,FALSE)</f>
        <v>0</v>
      </c>
      <c r="J45" s="187">
        <f>-VLOOKUP(A45,'[12]CB List'!$H$161:$Q$210,9,FALSE)</f>
        <v>0</v>
      </c>
      <c r="K45" s="190">
        <f t="shared" si="2"/>
        <v>0</v>
      </c>
    </row>
    <row r="46" spans="1:11" ht="18" customHeight="1">
      <c r="A46" s="182" t="s">
        <v>140</v>
      </c>
      <c r="B46" s="699"/>
      <c r="C46" s="700"/>
      <c r="D46" s="701"/>
      <c r="F46" s="187"/>
      <c r="G46" s="187"/>
      <c r="H46" s="188"/>
      <c r="I46" s="189">
        <v>0</v>
      </c>
      <c r="J46" s="188"/>
      <c r="K46" s="190">
        <f t="shared" si="2"/>
        <v>0</v>
      </c>
    </row>
    <row r="47" spans="1:11" ht="18" customHeight="1">
      <c r="A47" s="182" t="s">
        <v>141</v>
      </c>
      <c r="B47" s="699"/>
      <c r="C47" s="700"/>
      <c r="D47" s="701"/>
      <c r="F47" s="187"/>
      <c r="G47" s="187"/>
      <c r="H47" s="188"/>
      <c r="I47" s="189">
        <v>0</v>
      </c>
      <c r="J47" s="188"/>
      <c r="K47" s="190">
        <f t="shared" si="2"/>
        <v>0</v>
      </c>
    </row>
    <row r="49" spans="1:11" ht="18" customHeight="1">
      <c r="A49" s="185" t="s">
        <v>142</v>
      </c>
      <c r="B49" s="181" t="s">
        <v>143</v>
      </c>
      <c r="E49" s="181" t="s">
        <v>7</v>
      </c>
      <c r="F49" s="205">
        <f t="shared" ref="F49:K49" si="3">SUM(F40:F47)</f>
        <v>23767.579999976388</v>
      </c>
      <c r="G49" s="205">
        <f t="shared" si="3"/>
        <v>15070.292446636815</v>
      </c>
      <c r="H49" s="190">
        <f t="shared" si="3"/>
        <v>1141926.0309597144</v>
      </c>
      <c r="I49" s="190">
        <f t="shared" si="3"/>
        <v>0</v>
      </c>
      <c r="J49" s="190">
        <f t="shared" si="3"/>
        <v>113329.65630675</v>
      </c>
      <c r="K49" s="190">
        <f t="shared" si="3"/>
        <v>1028596.3746529644</v>
      </c>
    </row>
    <row r="50" spans="1:11" ht="18" customHeight="1" thickBot="1">
      <c r="G50" s="206"/>
      <c r="H50" s="206"/>
      <c r="I50" s="206"/>
      <c r="J50" s="206"/>
      <c r="K50" s="206"/>
    </row>
    <row r="51" spans="1:11" ht="42.75" customHeight="1">
      <c r="F51" s="184" t="s">
        <v>9</v>
      </c>
      <c r="G51" s="184" t="s">
        <v>37</v>
      </c>
      <c r="H51" s="184" t="s">
        <v>29</v>
      </c>
      <c r="I51" s="184" t="s">
        <v>30</v>
      </c>
      <c r="J51" s="184" t="s">
        <v>33</v>
      </c>
      <c r="K51" s="184" t="s">
        <v>34</v>
      </c>
    </row>
    <row r="52" spans="1:11" ht="18" customHeight="1">
      <c r="A52" s="185" t="s">
        <v>92</v>
      </c>
      <c r="B52" s="704" t="s">
        <v>38</v>
      </c>
      <c r="C52" s="705"/>
    </row>
    <row r="53" spans="1:11" ht="18" customHeight="1">
      <c r="A53" s="182" t="s">
        <v>51</v>
      </c>
      <c r="B53" s="730" t="s">
        <v>192</v>
      </c>
      <c r="C53" s="692"/>
      <c r="D53" s="693"/>
      <c r="F53" s="187">
        <f>+VLOOKUP(A53,'[12]CB List'!$H$161:$X$211,12,FALSE)</f>
        <v>0</v>
      </c>
      <c r="G53" s="187">
        <f>+VLOOKUP(A53,'[12]CB List'!$H$161:$X$211,13,FALSE)</f>
        <v>0</v>
      </c>
      <c r="H53" s="187">
        <f>+VLOOKUP(A53,'[12]CB List'!$H$161:$X$211,14,FALSE)</f>
        <v>0</v>
      </c>
      <c r="I53" s="187">
        <f>+VLOOKUP(A53,'[12]CB List'!$H$161:$X$211,15,FALSE)</f>
        <v>0</v>
      </c>
      <c r="J53" s="187">
        <f>-VLOOKUP(A53,'[12]CB List'!$H$161:$X$211,16,FALSE)</f>
        <v>0</v>
      </c>
      <c r="K53" s="190">
        <f t="shared" ref="K53:K62" si="4">(H53+I53)-J53</f>
        <v>0</v>
      </c>
    </row>
    <row r="54" spans="1:11" ht="18" customHeight="1">
      <c r="A54" s="182" t="s">
        <v>93</v>
      </c>
      <c r="B54" s="250" t="s">
        <v>193</v>
      </c>
      <c r="C54" s="211"/>
      <c r="D54" s="209"/>
      <c r="F54" s="187">
        <f>+VLOOKUP(A54,'[12]CB List'!$H$161:$X$211,12,FALSE)</f>
        <v>97636.499847421146</v>
      </c>
      <c r="G54" s="187">
        <f>+VLOOKUP(A54,'[12]CB List'!$H$161:$X$211,13,FALSE)</f>
        <v>8477.6224540907624</v>
      </c>
      <c r="H54" s="187">
        <f>+VLOOKUP(A54,'[12]CB List'!$H$161:$X$211,14,FALSE)</f>
        <v>11194616.641372509</v>
      </c>
      <c r="I54" s="187">
        <f>+VLOOKUP(A54,'[12]CB List'!$H$161:$X$211,15,FALSE)</f>
        <v>0</v>
      </c>
      <c r="J54" s="187">
        <f>-VLOOKUP(A54,'[12]CB List'!$H$161:$X$211,16,FALSE)</f>
        <v>0</v>
      </c>
      <c r="K54" s="190">
        <f t="shared" si="4"/>
        <v>11194616.641372509</v>
      </c>
    </row>
    <row r="55" spans="1:11" ht="18" customHeight="1">
      <c r="A55" s="182" t="s">
        <v>94</v>
      </c>
      <c r="B55" s="731" t="s">
        <v>194</v>
      </c>
      <c r="C55" s="707"/>
      <c r="D55" s="693"/>
      <c r="F55" s="187">
        <f>+VLOOKUP(A55,'[12]CB List'!$H$161:$X$211,12,FALSE)</f>
        <v>0</v>
      </c>
      <c r="G55" s="187">
        <f>+VLOOKUP(A55,'[12]CB List'!$H$161:$X$211,13,FALSE)</f>
        <v>0</v>
      </c>
      <c r="H55" s="187">
        <f>+VLOOKUP(A55,'[12]CB List'!$H$161:$X$211,14,FALSE)</f>
        <v>0</v>
      </c>
      <c r="I55" s="187">
        <f>+VLOOKUP(A55,'[12]CB List'!$H$161:$X$211,15,FALSE)</f>
        <v>0</v>
      </c>
      <c r="J55" s="187">
        <f>-VLOOKUP(A55,'[12]CB List'!$H$161:$X$211,16,FALSE)</f>
        <v>0</v>
      </c>
      <c r="K55" s="190">
        <f t="shared" si="4"/>
        <v>0</v>
      </c>
    </row>
    <row r="56" spans="1:11" ht="18" customHeight="1">
      <c r="A56" s="182" t="s">
        <v>95</v>
      </c>
      <c r="B56" s="706" t="s">
        <v>195</v>
      </c>
      <c r="C56" s="707"/>
      <c r="D56" s="693"/>
      <c r="F56" s="187">
        <f>+VLOOKUP(A56,'[12]CB List'!$H$161:$X$211,12,FALSE)</f>
        <v>0</v>
      </c>
      <c r="G56" s="187">
        <f>+VLOOKUP(A56,'[12]CB List'!$H$161:$X$211,13,FALSE)</f>
        <v>0</v>
      </c>
      <c r="H56" s="187">
        <f>+VLOOKUP(A56,'[12]CB List'!$H$161:$X$211,14,FALSE)</f>
        <v>0</v>
      </c>
      <c r="I56" s="187">
        <f>+VLOOKUP(A56,'[12]CB List'!$H$161:$X$211,15,FALSE)</f>
        <v>0</v>
      </c>
      <c r="J56" s="187">
        <f>-VLOOKUP(A56,'[12]CB List'!$H$161:$X$211,16,FALSE)</f>
        <v>0</v>
      </c>
      <c r="K56" s="190">
        <f t="shared" si="4"/>
        <v>0</v>
      </c>
    </row>
    <row r="57" spans="1:11" ht="18" customHeight="1">
      <c r="A57" s="182" t="s">
        <v>96</v>
      </c>
      <c r="B57" s="706" t="s">
        <v>196</v>
      </c>
      <c r="C57" s="707"/>
      <c r="D57" s="693"/>
      <c r="F57" s="187">
        <f>+VLOOKUP(A57,'[12]CB List'!$H$161:$X$211,12,FALSE)</f>
        <v>0</v>
      </c>
      <c r="G57" s="187">
        <f>+VLOOKUP(A57,'[12]CB List'!$H$161:$X$211,13,FALSE)</f>
        <v>0</v>
      </c>
      <c r="H57" s="187">
        <f>+VLOOKUP(A57,'[12]CB List'!$H$161:$X$211,14,FALSE)</f>
        <v>5447190.1880000001</v>
      </c>
      <c r="I57" s="187">
        <f>+VLOOKUP(A57,'[12]CB List'!$H$161:$X$211,15,FALSE)</f>
        <v>0</v>
      </c>
      <c r="J57" s="187">
        <f>-VLOOKUP(A57,'[12]CB List'!$H$161:$X$211,16,FALSE)</f>
        <v>0</v>
      </c>
      <c r="K57" s="190">
        <f t="shared" si="4"/>
        <v>5447190.1880000001</v>
      </c>
    </row>
    <row r="58" spans="1:11" ht="18" customHeight="1">
      <c r="A58" s="182" t="s">
        <v>97</v>
      </c>
      <c r="B58" s="210"/>
      <c r="C58" s="211"/>
      <c r="D58" s="209"/>
      <c r="F58" s="187">
        <f>+VLOOKUP(A58,'[12]CB List'!$H$161:$X$211,12,FALSE)</f>
        <v>0</v>
      </c>
      <c r="G58" s="187">
        <f>+VLOOKUP(A58,'[12]CB List'!$H$161:$X$211,13,FALSE)</f>
        <v>0</v>
      </c>
      <c r="H58" s="187">
        <f>+VLOOKUP(A58,'[12]CB List'!$H$161:$X$211,14,FALSE)</f>
        <v>0</v>
      </c>
      <c r="I58" s="187">
        <f>+VLOOKUP(A58,'[12]CB List'!$H$161:$X$211,15,FALSE)</f>
        <v>0</v>
      </c>
      <c r="J58" s="187">
        <f>-VLOOKUP(A58,'[12]CB List'!$H$161:$X$211,16,FALSE)</f>
        <v>0</v>
      </c>
      <c r="K58" s="190">
        <f t="shared" si="4"/>
        <v>0</v>
      </c>
    </row>
    <row r="59" spans="1:11" ht="18" customHeight="1">
      <c r="A59" s="182" t="s">
        <v>98</v>
      </c>
      <c r="B59" s="706"/>
      <c r="C59" s="707"/>
      <c r="D59" s="693"/>
      <c r="F59" s="187"/>
      <c r="G59" s="187"/>
      <c r="H59" s="188"/>
      <c r="I59" s="189">
        <v>0</v>
      </c>
      <c r="J59" s="188"/>
      <c r="K59" s="190">
        <f t="shared" si="4"/>
        <v>0</v>
      </c>
    </row>
    <row r="60" spans="1:11" ht="18" customHeight="1">
      <c r="A60" s="182" t="s">
        <v>99</v>
      </c>
      <c r="B60" s="210"/>
      <c r="C60" s="211"/>
      <c r="D60" s="209"/>
      <c r="F60" s="187"/>
      <c r="G60" s="187"/>
      <c r="H60" s="188"/>
      <c r="I60" s="189">
        <v>0</v>
      </c>
      <c r="J60" s="188"/>
      <c r="K60" s="190">
        <f t="shared" si="4"/>
        <v>0</v>
      </c>
    </row>
    <row r="61" spans="1:11" ht="18" customHeight="1">
      <c r="A61" s="182" t="s">
        <v>100</v>
      </c>
      <c r="B61" s="210"/>
      <c r="C61" s="211"/>
      <c r="D61" s="209"/>
      <c r="F61" s="187"/>
      <c r="G61" s="187"/>
      <c r="H61" s="188"/>
      <c r="I61" s="189">
        <v>0</v>
      </c>
      <c r="J61" s="188"/>
      <c r="K61" s="190">
        <f t="shared" si="4"/>
        <v>0</v>
      </c>
    </row>
    <row r="62" spans="1:11" ht="18" customHeight="1">
      <c r="A62" s="182" t="s">
        <v>101</v>
      </c>
      <c r="B62" s="706"/>
      <c r="C62" s="707"/>
      <c r="D62" s="693"/>
      <c r="F62" s="187"/>
      <c r="G62" s="187"/>
      <c r="H62" s="188"/>
      <c r="I62" s="189">
        <v>0</v>
      </c>
      <c r="J62" s="188"/>
      <c r="K62" s="190">
        <f t="shared" si="4"/>
        <v>0</v>
      </c>
    </row>
    <row r="63" spans="1:11" ht="18" customHeight="1">
      <c r="A63" s="182"/>
      <c r="I63" s="212"/>
    </row>
    <row r="64" spans="1:11" ht="18" customHeight="1">
      <c r="A64" s="182" t="s">
        <v>144</v>
      </c>
      <c r="B64" s="181" t="s">
        <v>145</v>
      </c>
      <c r="E64" s="181" t="s">
        <v>7</v>
      </c>
      <c r="F64" s="196">
        <f t="shared" ref="F64:K64" si="5">SUM(F53:F62)</f>
        <v>97636.499847421146</v>
      </c>
      <c r="G64" s="196">
        <f t="shared" si="5"/>
        <v>8477.6224540907624</v>
      </c>
      <c r="H64" s="190">
        <f t="shared" si="5"/>
        <v>16641806.82937251</v>
      </c>
      <c r="I64" s="190">
        <f t="shared" si="5"/>
        <v>0</v>
      </c>
      <c r="J64" s="190">
        <f t="shared" si="5"/>
        <v>0</v>
      </c>
      <c r="K64" s="190">
        <f t="shared" si="5"/>
        <v>16641806.82937251</v>
      </c>
    </row>
    <row r="65" spans="1:11" ht="18" customHeight="1">
      <c r="F65" s="213"/>
      <c r="G65" s="213"/>
      <c r="H65" s="213"/>
      <c r="I65" s="213"/>
      <c r="J65" s="213"/>
      <c r="K65" s="213"/>
    </row>
    <row r="66" spans="1:11" ht="42.75" customHeight="1">
      <c r="F66" s="214" t="s">
        <v>9</v>
      </c>
      <c r="G66" s="214" t="s">
        <v>37</v>
      </c>
      <c r="H66" s="214" t="s">
        <v>29</v>
      </c>
      <c r="I66" s="214" t="s">
        <v>30</v>
      </c>
      <c r="J66" s="214" t="s">
        <v>33</v>
      </c>
      <c r="K66" s="214" t="s">
        <v>34</v>
      </c>
    </row>
    <row r="67" spans="1:11" ht="18" customHeight="1">
      <c r="A67" s="185" t="s">
        <v>102</v>
      </c>
      <c r="B67" s="181" t="s">
        <v>12</v>
      </c>
      <c r="F67" s="215"/>
      <c r="G67" s="215"/>
      <c r="H67" s="215"/>
      <c r="I67" s="216"/>
      <c r="J67" s="215"/>
      <c r="K67" s="217"/>
    </row>
    <row r="68" spans="1:11" ht="18" customHeight="1">
      <c r="A68" s="182" t="s">
        <v>103</v>
      </c>
      <c r="B68" s="178" t="s">
        <v>52</v>
      </c>
      <c r="F68" s="187">
        <f>+VLOOKUP(A68,'[12]CB List'!$H$161:$X$211,12,FALSE)</f>
        <v>8007.5015009418939</v>
      </c>
      <c r="G68" s="187">
        <f>+VLOOKUP(A68,'[12]CB List'!$H$161:$X$211,13,FALSE)</f>
        <v>1003</v>
      </c>
      <c r="H68" s="187">
        <f>+VLOOKUP(A68,'[12]CB List'!$H$161:$X$211,14,FALSE)</f>
        <v>513577.91123842931</v>
      </c>
      <c r="I68" s="187">
        <f>+VLOOKUP(A68,'[12]CB List'!$H$161:$X$211,15,FALSE)</f>
        <v>0</v>
      </c>
      <c r="J68" s="187">
        <f>-VLOOKUP(A68,'[12]CB List'!$H$161:$X$211,16,FALSE)</f>
        <v>260211.11</v>
      </c>
      <c r="K68" s="190">
        <f>(H68+I68)-J68</f>
        <v>253366.80123842933</v>
      </c>
    </row>
    <row r="69" spans="1:11" ht="18" customHeight="1">
      <c r="A69" s="182" t="s">
        <v>104</v>
      </c>
      <c r="B69" s="186" t="s">
        <v>53</v>
      </c>
      <c r="F69" s="187">
        <f>+VLOOKUP(A69,'[12]CB List'!$H$161:$X$211,12,FALSE)</f>
        <v>0</v>
      </c>
      <c r="G69" s="187">
        <f>+VLOOKUP(A69,'[12]CB List'!$H$161:$X$211,13,FALSE)</f>
        <v>0</v>
      </c>
      <c r="H69" s="187">
        <f>+VLOOKUP(A69,'[12]CB List'!$H$161:$X$211,14,FALSE)</f>
        <v>11297.890000000001</v>
      </c>
      <c r="I69" s="187">
        <f>+VLOOKUP(A69,'[12]CB List'!$H$161:$X$211,15,FALSE)</f>
        <v>0</v>
      </c>
      <c r="J69" s="187">
        <f>-VLOOKUP(A69,'[12]CB List'!$H$161:$X$211,16,FALSE)</f>
        <v>0</v>
      </c>
      <c r="K69" s="190">
        <f>(H69+I69)-J69</f>
        <v>11297.890000000001</v>
      </c>
    </row>
    <row r="70" spans="1:11" ht="18" customHeight="1">
      <c r="A70" s="182" t="s">
        <v>178</v>
      </c>
      <c r="B70" s="210"/>
      <c r="C70" s="211"/>
      <c r="D70" s="209"/>
      <c r="E70" s="181"/>
      <c r="F70" s="187">
        <f>+VLOOKUP(A70,'[12]CB List'!$H$161:$X$211,12,FALSE)</f>
        <v>0</v>
      </c>
      <c r="G70" s="187">
        <f>+VLOOKUP(A70,'[12]CB List'!$H$161:$X$211,13,FALSE)</f>
        <v>0</v>
      </c>
      <c r="H70" s="187">
        <f>+VLOOKUP(A70,'[12]CB List'!$H$161:$X$211,14,FALSE)</f>
        <v>0</v>
      </c>
      <c r="I70" s="187">
        <f>+VLOOKUP(A70,'[12]CB List'!$H$161:$X$211,15,FALSE)</f>
        <v>0</v>
      </c>
      <c r="J70" s="187">
        <f>-VLOOKUP(A70,'[12]CB List'!$H$161:$X$211,16,FALSE)</f>
        <v>0</v>
      </c>
      <c r="K70" s="190">
        <f>(H70+I70)-J70</f>
        <v>0</v>
      </c>
    </row>
    <row r="71" spans="1:11" ht="18" customHeight="1">
      <c r="A71" s="182" t="s">
        <v>179</v>
      </c>
      <c r="B71" s="210"/>
      <c r="C71" s="211"/>
      <c r="D71" s="209"/>
      <c r="E71" s="181"/>
      <c r="F71" s="220"/>
      <c r="G71" s="220"/>
      <c r="H71" s="221"/>
      <c r="I71" s="189">
        <v>0</v>
      </c>
      <c r="J71" s="221"/>
      <c r="K71" s="190">
        <f>(H71+I71)-J71</f>
        <v>0</v>
      </c>
    </row>
    <row r="72" spans="1:11" ht="18" customHeight="1">
      <c r="A72" s="182" t="s">
        <v>180</v>
      </c>
      <c r="B72" s="222"/>
      <c r="C72" s="223"/>
      <c r="D72" s="224"/>
      <c r="E72" s="181"/>
      <c r="F72" s="187"/>
      <c r="G72" s="187"/>
      <c r="H72" s="188"/>
      <c r="I72" s="189">
        <v>0</v>
      </c>
      <c r="J72" s="188"/>
      <c r="K72" s="190">
        <f>(H72+I72)-J72</f>
        <v>0</v>
      </c>
    </row>
    <row r="73" spans="1:11" ht="18" customHeight="1">
      <c r="A73" s="182"/>
      <c r="B73" s="186"/>
      <c r="E73" s="181"/>
      <c r="F73" s="225"/>
      <c r="G73" s="225"/>
      <c r="H73" s="226"/>
      <c r="I73" s="216"/>
      <c r="J73" s="226"/>
      <c r="K73" s="217"/>
    </row>
    <row r="74" spans="1:11" ht="18" customHeight="1">
      <c r="A74" s="185" t="s">
        <v>146</v>
      </c>
      <c r="B74" s="181" t="s">
        <v>147</v>
      </c>
      <c r="E74" s="181" t="s">
        <v>7</v>
      </c>
      <c r="F74" s="227">
        <f t="shared" ref="F74:K74" si="6">SUM(F68:F72)</f>
        <v>8007.5015009418939</v>
      </c>
      <c r="G74" s="227">
        <f t="shared" si="6"/>
        <v>1003</v>
      </c>
      <c r="H74" s="227">
        <f t="shared" si="6"/>
        <v>524875.80123842927</v>
      </c>
      <c r="I74" s="228">
        <f t="shared" si="6"/>
        <v>0</v>
      </c>
      <c r="J74" s="227">
        <f t="shared" si="6"/>
        <v>260211.11</v>
      </c>
      <c r="K74" s="229">
        <f t="shared" si="6"/>
        <v>264664.69123842934</v>
      </c>
    </row>
    <row r="75" spans="1:11" ht="42.75" customHeight="1">
      <c r="F75" s="184" t="s">
        <v>9</v>
      </c>
      <c r="G75" s="184" t="s">
        <v>37</v>
      </c>
      <c r="H75" s="184" t="s">
        <v>29</v>
      </c>
      <c r="I75" s="184" t="s">
        <v>30</v>
      </c>
      <c r="J75" s="184" t="s">
        <v>33</v>
      </c>
      <c r="K75" s="184" t="s">
        <v>34</v>
      </c>
    </row>
    <row r="76" spans="1:11" ht="18" customHeight="1">
      <c r="A76" s="185" t="s">
        <v>105</v>
      </c>
      <c r="B76" s="181" t="s">
        <v>106</v>
      </c>
    </row>
    <row r="77" spans="1:11" ht="18" customHeight="1">
      <c r="A77" s="182" t="s">
        <v>107</v>
      </c>
      <c r="B77" s="186" t="s">
        <v>54</v>
      </c>
      <c r="F77" s="187">
        <f>+VLOOKUP(A77,'[12]CB List'!$H$161:$X$211,12,FALSE)</f>
        <v>25.003752354739614</v>
      </c>
      <c r="G77" s="187">
        <f>+VLOOKUP(A77,'[12]CB List'!$H$161:$X$211,13,FALSE)</f>
        <v>66.009906216512576</v>
      </c>
      <c r="H77" s="187">
        <f>+VLOOKUP(A77,'[12]CB List'!$H$161:$X$211,14,FALSE)</f>
        <v>588162.24052446557</v>
      </c>
      <c r="I77" s="187">
        <f>+VLOOKUP(A77,'[12]CB List'!$H$161:$X$211,15,FALSE)</f>
        <v>0</v>
      </c>
      <c r="J77" s="187">
        <f>-VLOOKUP(A77,'[12]CB List'!$H$161:$X$211,16,FALSE)</f>
        <v>0</v>
      </c>
      <c r="K77" s="190">
        <f>(H77+I77)-J77</f>
        <v>588162.24052446557</v>
      </c>
    </row>
    <row r="78" spans="1:11" ht="18" customHeight="1">
      <c r="A78" s="182" t="s">
        <v>108</v>
      </c>
      <c r="B78" s="186" t="s">
        <v>55</v>
      </c>
      <c r="F78" s="187">
        <f>+VLOOKUP(A78,'[12]CB List'!$H$161:$X$211,12,FALSE)</f>
        <v>-0.37814628599647904</v>
      </c>
      <c r="G78" s="187">
        <f>+VLOOKUP(A78,'[12]CB List'!$H$161:$X$211,13,FALSE)</f>
        <v>0</v>
      </c>
      <c r="H78" s="187">
        <f>+VLOOKUP(A78,'[12]CB List'!$H$161:$X$211,14,FALSE)</f>
        <v>1379.3799929521497</v>
      </c>
      <c r="I78" s="187">
        <f>+VLOOKUP(A78,'[12]CB List'!$H$161:$X$211,15,FALSE)</f>
        <v>0</v>
      </c>
      <c r="J78" s="187">
        <f>-VLOOKUP(A78,'[12]CB List'!$H$161:$X$211,16,FALSE)</f>
        <v>0</v>
      </c>
      <c r="K78" s="190">
        <f>(H78+I78)-J78</f>
        <v>1379.3799929521497</v>
      </c>
    </row>
    <row r="79" spans="1:11" ht="18" customHeight="1">
      <c r="A79" s="182" t="s">
        <v>109</v>
      </c>
      <c r="B79" s="186" t="s">
        <v>13</v>
      </c>
      <c r="F79" s="187">
        <f>+VLOOKUP(A79,'[12]CB List'!$H$161:$X$211,12,FALSE)</f>
        <v>0</v>
      </c>
      <c r="G79" s="187">
        <f>+VLOOKUP(A79,'[12]CB List'!$H$161:$X$211,13,FALSE)</f>
        <v>0</v>
      </c>
      <c r="H79" s="187">
        <f>+VLOOKUP(A79,'[12]CB List'!$H$161:$X$211,14,FALSE)</f>
        <v>0</v>
      </c>
      <c r="I79" s="187">
        <f>+VLOOKUP(A79,'[12]CB List'!$H$161:$X$211,15,FALSE)</f>
        <v>0</v>
      </c>
      <c r="J79" s="187">
        <f>-VLOOKUP(A79,'[12]CB List'!$H$161:$X$211,16,FALSE)</f>
        <v>0</v>
      </c>
      <c r="K79" s="190">
        <f>(H79+I79)-J79</f>
        <v>0</v>
      </c>
    </row>
    <row r="80" spans="1:11" ht="18" customHeight="1">
      <c r="A80" s="182" t="s">
        <v>110</v>
      </c>
      <c r="B80" s="186" t="s">
        <v>56</v>
      </c>
      <c r="F80" s="187">
        <f>+VLOOKUP(A80,'[12]CB List'!$H$161:$X$211,12,FALSE)</f>
        <v>0</v>
      </c>
      <c r="G80" s="187">
        <f>+VLOOKUP(A80,'[12]CB List'!$H$161:$X$211,13,FALSE)</f>
        <v>0</v>
      </c>
      <c r="H80" s="187">
        <f>+VLOOKUP(A80,'[12]CB List'!$H$161:$X$211,14,FALSE)</f>
        <v>0</v>
      </c>
      <c r="I80" s="187">
        <f>+VLOOKUP(A80,'[12]CB List'!$H$161:$X$211,15,FALSE)</f>
        <v>0</v>
      </c>
      <c r="J80" s="187">
        <f>-VLOOKUP(A80,'[12]CB List'!$H$161:$X$211,16,FALSE)</f>
        <v>0</v>
      </c>
      <c r="K80" s="190">
        <f>(H80+I80)-J80</f>
        <v>0</v>
      </c>
    </row>
    <row r="81" spans="1:11" ht="18" customHeight="1">
      <c r="A81" s="182"/>
      <c r="K81" s="230"/>
    </row>
    <row r="82" spans="1:11" ht="18" customHeight="1">
      <c r="A82" s="182" t="s">
        <v>148</v>
      </c>
      <c r="B82" s="181" t="s">
        <v>149</v>
      </c>
      <c r="E82" s="181" t="s">
        <v>7</v>
      </c>
      <c r="F82" s="227">
        <f t="shared" ref="F82:K82" si="7">SUM(F77:F80)</f>
        <v>24.625606068743135</v>
      </c>
      <c r="G82" s="227">
        <f t="shared" si="7"/>
        <v>66.009906216512576</v>
      </c>
      <c r="H82" s="229">
        <f t="shared" si="7"/>
        <v>589541.62051741767</v>
      </c>
      <c r="I82" s="229">
        <f t="shared" si="7"/>
        <v>0</v>
      </c>
      <c r="J82" s="229">
        <f t="shared" si="7"/>
        <v>0</v>
      </c>
      <c r="K82" s="229">
        <f t="shared" si="7"/>
        <v>589541.62051741767</v>
      </c>
    </row>
    <row r="83" spans="1:11" ht="18" customHeight="1" thickBot="1">
      <c r="A83" s="182"/>
      <c r="F83" s="206"/>
      <c r="G83" s="206"/>
      <c r="H83" s="206"/>
      <c r="I83" s="206"/>
      <c r="J83" s="206"/>
      <c r="K83" s="206"/>
    </row>
    <row r="84" spans="1:11" ht="42.75" customHeight="1">
      <c r="F84" s="184" t="s">
        <v>9</v>
      </c>
      <c r="G84" s="184" t="s">
        <v>37</v>
      </c>
      <c r="H84" s="184" t="s">
        <v>29</v>
      </c>
      <c r="I84" s="184" t="s">
        <v>30</v>
      </c>
      <c r="J84" s="184" t="s">
        <v>33</v>
      </c>
      <c r="K84" s="184" t="s">
        <v>34</v>
      </c>
    </row>
    <row r="85" spans="1:11" ht="18" customHeight="1">
      <c r="A85" s="185" t="s">
        <v>111</v>
      </c>
      <c r="B85" s="181" t="s">
        <v>57</v>
      </c>
    </row>
    <row r="86" spans="1:11" ht="18" customHeight="1">
      <c r="A86" s="182" t="s">
        <v>112</v>
      </c>
      <c r="B86" s="186" t="s">
        <v>113</v>
      </c>
      <c r="F86" s="187">
        <f>+VLOOKUP(A86,'[12]CB List'!$H$161:$X$211,12,FALSE)</f>
        <v>0</v>
      </c>
      <c r="G86" s="187">
        <f>+VLOOKUP(A86,'[12]CB List'!$H$161:$X$211,13,FALSE)</f>
        <v>0</v>
      </c>
      <c r="H86" s="187">
        <f>+VLOOKUP(A86,'[12]CB List'!$H$161:$X$211,14,FALSE)</f>
        <v>0</v>
      </c>
      <c r="I86" s="187">
        <f>+VLOOKUP(A86,'[12]CB List'!$H$161:$X$211,15,FALSE)</f>
        <v>0</v>
      </c>
      <c r="J86" s="187">
        <f>-VLOOKUP(A86,'[12]CB List'!$H$161:$X$211,16,FALSE)</f>
        <v>0</v>
      </c>
      <c r="K86" s="190">
        <f t="shared" ref="K86:K96" si="8">(H86+I86)-J86</f>
        <v>0</v>
      </c>
    </row>
    <row r="87" spans="1:11" ht="18" customHeight="1">
      <c r="A87" s="182" t="s">
        <v>114</v>
      </c>
      <c r="B87" s="186" t="s">
        <v>14</v>
      </c>
      <c r="F87" s="187">
        <f>+VLOOKUP(A87,'[12]CB List'!$H$161:$X$211,12,FALSE)</f>
        <v>9.6002401507033355</v>
      </c>
      <c r="G87" s="187">
        <f>+VLOOKUP(A87,'[12]CB List'!$H$161:$X$211,13,FALSE)</f>
        <v>148.01320828868344</v>
      </c>
      <c r="H87" s="187">
        <f>+VLOOKUP(A87,'[12]CB List'!$H$161:$X$211,14,FALSE)</f>
        <v>426.03542222874194</v>
      </c>
      <c r="I87" s="187">
        <f>+VLOOKUP(A87,'[12]CB List'!$H$161:$X$211,15,FALSE)</f>
        <v>262.6341395639875</v>
      </c>
      <c r="J87" s="187">
        <f>-VLOOKUP(A87,'[12]CB List'!$H$161:$X$211,16,FALSE)</f>
        <v>0</v>
      </c>
      <c r="K87" s="190">
        <f t="shared" si="8"/>
        <v>688.66956179272938</v>
      </c>
    </row>
    <row r="88" spans="1:11" ht="18" customHeight="1">
      <c r="A88" s="182" t="s">
        <v>115</v>
      </c>
      <c r="B88" s="186" t="s">
        <v>116</v>
      </c>
      <c r="F88" s="187">
        <f>+VLOOKUP(A88,'[12]CB List'!$H$161:$X$211,12,FALSE)</f>
        <v>1643.4086154064821</v>
      </c>
      <c r="G88" s="187">
        <f>+VLOOKUP(A88,'[12]CB List'!$H$161:$X$211,13,FALSE)</f>
        <v>1848.2335010231152</v>
      </c>
      <c r="H88" s="187">
        <f>+VLOOKUP(A88,'[12]CB List'!$H$161:$X$211,14,FALSE)</f>
        <v>304169.1009183157</v>
      </c>
      <c r="I88" s="187">
        <f>+VLOOKUP(A88,'[12]CB List'!$H$161:$X$211,15,FALSE)</f>
        <v>31162.513478110173</v>
      </c>
      <c r="J88" s="187">
        <f>-VLOOKUP(A88,'[12]CB List'!$H$161:$X$211,16,FALSE)</f>
        <v>0</v>
      </c>
      <c r="K88" s="190">
        <f t="shared" si="8"/>
        <v>335331.6143964259</v>
      </c>
    </row>
    <row r="89" spans="1:11" ht="18" customHeight="1">
      <c r="A89" s="182" t="s">
        <v>117</v>
      </c>
      <c r="B89" s="186" t="s">
        <v>58</v>
      </c>
      <c r="F89" s="187">
        <f>+VLOOKUP(A89,'[12]CB List'!$H$161:$X$211,12,FALSE)</f>
        <v>12.60009005651375</v>
      </c>
      <c r="G89" s="187">
        <f>+VLOOKUP(A89,'[12]CB List'!$H$161:$X$211,13,FALSE)</f>
        <v>61.400660414434171</v>
      </c>
      <c r="H89" s="187">
        <f>+VLOOKUP(A89,'[12]CB List'!$H$161:$X$211,14,FALSE)</f>
        <v>1085.4201726590802</v>
      </c>
      <c r="I89" s="187">
        <f>+VLOOKUP(A89,'[12]CB List'!$H$161:$X$211,15,FALSE)</f>
        <v>669.11899395693138</v>
      </c>
      <c r="J89" s="187">
        <f>-VLOOKUP(A89,'[12]CB List'!$H$161:$X$211,16,FALSE)</f>
        <v>0</v>
      </c>
      <c r="K89" s="190">
        <f t="shared" si="8"/>
        <v>1754.5391666160117</v>
      </c>
    </row>
    <row r="90" spans="1:11" ht="18" customHeight="1">
      <c r="A90" s="182" t="s">
        <v>118</v>
      </c>
      <c r="B90" s="702" t="s">
        <v>59</v>
      </c>
      <c r="C90" s="703"/>
      <c r="F90" s="187">
        <f>+VLOOKUP(A90,'[12]CB List'!$H$161:$X$211,12,FALSE)</f>
        <v>14.602191375167934</v>
      </c>
      <c r="G90" s="187">
        <f>+VLOOKUP(A90,'[12]CB List'!$H$161:$X$211,13,FALSE)</f>
        <v>43.606544106665886</v>
      </c>
      <c r="H90" s="187">
        <f>+VLOOKUP(A90,'[12]CB List'!$H$161:$X$211,14,FALSE)</f>
        <v>113.6170506999368</v>
      </c>
      <c r="I90" s="187">
        <f>+VLOOKUP(A90,'[12]CB List'!$H$161:$X$211,15,FALSE)</f>
        <v>70.040458594437382</v>
      </c>
      <c r="J90" s="187">
        <f>-VLOOKUP(A90,'[12]CB List'!$H$161:$X$211,16,FALSE)</f>
        <v>0</v>
      </c>
      <c r="K90" s="190">
        <f t="shared" si="8"/>
        <v>183.65750929437417</v>
      </c>
    </row>
    <row r="91" spans="1:11" ht="18" customHeight="1">
      <c r="A91" s="182" t="s">
        <v>119</v>
      </c>
      <c r="B91" s="186" t="s">
        <v>60</v>
      </c>
      <c r="F91" s="187">
        <f>+VLOOKUP(A91,'[12]CB List'!$H$161:$X$211,12,FALSE)</f>
        <v>431.74941100721122</v>
      </c>
      <c r="G91" s="187">
        <f>+VLOOKUP(A91,'[12]CB List'!$H$161:$X$211,13,FALSE)</f>
        <v>2193.4409311931213</v>
      </c>
      <c r="H91" s="187">
        <f>+VLOOKUP(A91,'[12]CB List'!$H$161:$X$211,14,FALSE)</f>
        <v>31307.614313621074</v>
      </c>
      <c r="I91" s="187">
        <f>+VLOOKUP(A91,'[12]CB List'!$H$161:$X$211,15,FALSE)</f>
        <v>19299.917138449466</v>
      </c>
      <c r="J91" s="187">
        <f>-VLOOKUP(A91,'[12]CB List'!$H$161:$X$211,16,FALSE)</f>
        <v>0</v>
      </c>
      <c r="K91" s="190">
        <f t="shared" si="8"/>
        <v>50607.531452070543</v>
      </c>
    </row>
    <row r="92" spans="1:11" ht="18" customHeight="1">
      <c r="A92" s="182" t="s">
        <v>120</v>
      </c>
      <c r="B92" s="186" t="s">
        <v>121</v>
      </c>
      <c r="F92" s="187">
        <f>+VLOOKUP(A92,'[12]CB List'!$H$161:$X$211,12,FALSE)</f>
        <v>1966.7592283544927</v>
      </c>
      <c r="G92" s="187">
        <f>+VLOOKUP(A92,'[12]CB List'!$H$161:$X$211,13,FALSE)</f>
        <v>1581.9000828056151</v>
      </c>
      <c r="H92" s="187">
        <f>+VLOOKUP(A92,'[12]CB List'!$H$161:$X$211,14,FALSE)</f>
        <v>267048.40089836175</v>
      </c>
      <c r="I92" s="187">
        <f>+VLOOKUP(A92,'[12]CB List'!$H$161:$X$211,15,FALSE)</f>
        <v>164624.87232862858</v>
      </c>
      <c r="J92" s="187">
        <f>-VLOOKUP(A92,'[12]CB List'!$H$161:$X$211,16,FALSE)</f>
        <v>2624.08</v>
      </c>
      <c r="K92" s="190">
        <f t="shared" si="8"/>
        <v>429049.19322699035</v>
      </c>
    </row>
    <row r="93" spans="1:11" ht="18" customHeight="1">
      <c r="A93" s="182" t="s">
        <v>122</v>
      </c>
      <c r="B93" s="186" t="s">
        <v>123</v>
      </c>
      <c r="F93" s="187">
        <f>+VLOOKUP(A93,'[12]CB List'!$H$161:$X$211,12,FALSE)</f>
        <v>4.9004352731497951</v>
      </c>
      <c r="G93" s="187">
        <f>+VLOOKUP(A93,'[12]CB List'!$H$161:$X$211,13,FALSE)</f>
        <v>23.203482185198361</v>
      </c>
      <c r="H93" s="187">
        <f>+VLOOKUP(A93,'[12]CB List'!$H$161:$X$211,14,FALSE)</f>
        <v>649.69750118555407</v>
      </c>
      <c r="I93" s="187">
        <f>+VLOOKUP(A93,'[12]CB List'!$H$161:$X$211,15,FALSE)</f>
        <v>400.51304492030391</v>
      </c>
      <c r="J93" s="187">
        <f>-VLOOKUP(A93,'[12]CB List'!$H$161:$X$211,16,FALSE)</f>
        <v>0</v>
      </c>
      <c r="K93" s="190">
        <f t="shared" si="8"/>
        <v>1050.2105461058579</v>
      </c>
    </row>
    <row r="94" spans="1:11" ht="18" customHeight="1">
      <c r="A94" s="182" t="s">
        <v>124</v>
      </c>
      <c r="B94" s="729"/>
      <c r="C94" s="707"/>
      <c r="D94" s="693"/>
      <c r="F94" s="187">
        <f>+VLOOKUP(A94,'[12]CB List'!$H$161:$X$211,12,FALSE)</f>
        <v>0</v>
      </c>
      <c r="G94" s="187">
        <f>+VLOOKUP(A94,'[12]CB List'!$H$161:$X$211,13,FALSE)</f>
        <v>0</v>
      </c>
      <c r="H94" s="187">
        <f>+VLOOKUP(A94,'[12]CB List'!$H$161:$X$211,14,FALSE)</f>
        <v>0</v>
      </c>
      <c r="I94" s="187">
        <f>+VLOOKUP(A94,'[12]CB List'!$H$161:$X$211,15,FALSE)</f>
        <v>0</v>
      </c>
      <c r="J94" s="187">
        <f>-VLOOKUP(A94,'[12]CB List'!$H$161:$X$211,16,FALSE)</f>
        <v>0</v>
      </c>
      <c r="K94" s="190">
        <f t="shared" si="8"/>
        <v>0</v>
      </c>
    </row>
    <row r="95" spans="1:11" ht="18" customHeight="1">
      <c r="A95" s="182" t="s">
        <v>125</v>
      </c>
      <c r="B95" s="706"/>
      <c r="C95" s="707"/>
      <c r="D95" s="693"/>
      <c r="F95" s="187"/>
      <c r="G95" s="187"/>
      <c r="H95" s="188"/>
      <c r="I95" s="189">
        <f t="shared" ref="I95:I96" si="9">H95*F$114</f>
        <v>0</v>
      </c>
      <c r="J95" s="188"/>
      <c r="K95" s="190">
        <f t="shared" si="8"/>
        <v>0</v>
      </c>
    </row>
    <row r="96" spans="1:11" ht="18" customHeight="1">
      <c r="A96" s="182" t="s">
        <v>126</v>
      </c>
      <c r="B96" s="706"/>
      <c r="C96" s="707"/>
      <c r="D96" s="693"/>
      <c r="F96" s="187"/>
      <c r="G96" s="187"/>
      <c r="H96" s="188"/>
      <c r="I96" s="189">
        <f t="shared" si="9"/>
        <v>0</v>
      </c>
      <c r="J96" s="188"/>
      <c r="K96" s="190">
        <f t="shared" si="8"/>
        <v>0</v>
      </c>
    </row>
    <row r="97" spans="1:11" ht="18" customHeight="1">
      <c r="A97" s="182"/>
      <c r="B97" s="186"/>
    </row>
    <row r="98" spans="1:11" ht="18" customHeight="1">
      <c r="A98" s="185" t="s">
        <v>150</v>
      </c>
      <c r="B98" s="181" t="s">
        <v>151</v>
      </c>
      <c r="E98" s="181" t="s">
        <v>7</v>
      </c>
      <c r="F98" s="196">
        <f t="shared" ref="F98:K98" si="10">SUM(F86:F96)</f>
        <v>4083.6202116237209</v>
      </c>
      <c r="G98" s="196">
        <f t="shared" si="10"/>
        <v>5899.7984100168333</v>
      </c>
      <c r="H98" s="196">
        <f t="shared" si="10"/>
        <v>604799.8862770719</v>
      </c>
      <c r="I98" s="196">
        <f t="shared" si="10"/>
        <v>216489.6095822239</v>
      </c>
      <c r="J98" s="196">
        <f t="shared" si="10"/>
        <v>2624.08</v>
      </c>
      <c r="K98" s="196">
        <f t="shared" si="10"/>
        <v>818665.41585929575</v>
      </c>
    </row>
    <row r="99" spans="1:11" ht="18" customHeight="1" thickBot="1">
      <c r="B99" s="181"/>
      <c r="F99" s="206"/>
      <c r="G99" s="206"/>
      <c r="H99" s="206"/>
      <c r="I99" s="206"/>
      <c r="J99" s="206"/>
      <c r="K99" s="206"/>
    </row>
    <row r="100" spans="1:11" ht="42.75" customHeight="1">
      <c r="F100" s="184" t="s">
        <v>9</v>
      </c>
      <c r="G100" s="184" t="s">
        <v>37</v>
      </c>
      <c r="H100" s="184" t="s">
        <v>29</v>
      </c>
      <c r="I100" s="184" t="s">
        <v>30</v>
      </c>
      <c r="J100" s="184" t="s">
        <v>33</v>
      </c>
      <c r="K100" s="184" t="s">
        <v>34</v>
      </c>
    </row>
    <row r="101" spans="1:11" ht="18" customHeight="1">
      <c r="A101" s="185" t="s">
        <v>130</v>
      </c>
      <c r="B101" s="181" t="s">
        <v>63</v>
      </c>
    </row>
    <row r="102" spans="1:11" ht="18" customHeight="1">
      <c r="A102" s="182" t="s">
        <v>131</v>
      </c>
      <c r="B102" s="186" t="s">
        <v>152</v>
      </c>
      <c r="F102" s="187">
        <f>+VLOOKUP(A102,'[12]CB List'!$H$161:$X$211,12,FALSE)</f>
        <v>1174.3706165976719</v>
      </c>
      <c r="G102" s="187">
        <f>+VLOOKUP(A102,'[12]CB List'!$H$161:$X$211,13,FALSE)</f>
        <v>158.4237749196302</v>
      </c>
      <c r="H102" s="187">
        <f>+VLOOKUP(A102,'[12]CB List'!$H$161:$X$211,14,FALSE)</f>
        <v>58806.449580829598</v>
      </c>
      <c r="I102" s="187">
        <f>+VLOOKUP(A102,'[12]CB List'!$H$161:$X$211,15,FALSE)</f>
        <v>36251.871277928323</v>
      </c>
      <c r="J102" s="187">
        <f>-VLOOKUP(A102,'[12]CB List'!$H$161:$X$211,16,FALSE)</f>
        <v>0</v>
      </c>
      <c r="K102" s="190">
        <f>(H102+I102)-J102</f>
        <v>95058.320858757914</v>
      </c>
    </row>
    <row r="103" spans="1:11" ht="18" customHeight="1">
      <c r="A103" s="182" t="s">
        <v>132</v>
      </c>
      <c r="B103" s="702" t="s">
        <v>62</v>
      </c>
      <c r="C103" s="702"/>
      <c r="F103" s="187">
        <f>+VLOOKUP(A103,'[12]CB List'!$H$161:$X$211,12,FALSE)</f>
        <v>257.63866426323699</v>
      </c>
      <c r="G103" s="187">
        <f>+VLOOKUP(A103,'[12]CB List'!$H$161:$X$211,13,FALSE)</f>
        <v>58.008705462995906</v>
      </c>
      <c r="H103" s="187">
        <f>+VLOOKUP(A103,'[12]CB List'!$H$161:$X$211,14,FALSE)</f>
        <v>415.26231910751551</v>
      </c>
      <c r="I103" s="187">
        <f>+VLOOKUP(A103,'[12]CB List'!$H$161:$X$211,15,FALSE)</f>
        <v>255.99294373600708</v>
      </c>
      <c r="J103" s="187">
        <f>-VLOOKUP(A103,'[12]CB List'!$H$161:$X$211,16,FALSE)</f>
        <v>0</v>
      </c>
      <c r="K103" s="190">
        <f>(H103+I103)-J103</f>
        <v>671.25526284352259</v>
      </c>
    </row>
    <row r="104" spans="1:11" ht="18" customHeight="1">
      <c r="A104" s="182" t="s">
        <v>128</v>
      </c>
      <c r="B104" s="706"/>
      <c r="C104" s="707"/>
      <c r="D104" s="693"/>
      <c r="F104" s="187">
        <f>+VLOOKUP(A104,'[12]CB List'!$H$161:$X$211,12,FALSE)</f>
        <v>0</v>
      </c>
      <c r="G104" s="187">
        <f>+VLOOKUP(A104,'[12]CB List'!$H$161:$X$211,13,FALSE)</f>
        <v>0</v>
      </c>
      <c r="H104" s="187">
        <f>+VLOOKUP(A104,'[12]CB List'!$H$161:$X$211,14,FALSE)</f>
        <v>0</v>
      </c>
      <c r="I104" s="187">
        <f>+VLOOKUP(A104,'[12]CB List'!$H$161:$X$211,15,FALSE)</f>
        <v>0</v>
      </c>
      <c r="J104" s="187">
        <f>-VLOOKUP(A104,'[12]CB List'!$H$161:$X$211,16,FALSE)</f>
        <v>0</v>
      </c>
      <c r="K104" s="190">
        <f>(H104+I104)-J104</f>
        <v>0</v>
      </c>
    </row>
    <row r="105" spans="1:11" ht="18" customHeight="1">
      <c r="A105" s="182" t="s">
        <v>127</v>
      </c>
      <c r="B105" s="706"/>
      <c r="C105" s="707"/>
      <c r="D105" s="693"/>
      <c r="F105" s="187">
        <f>+VLOOKUP(A105,'[12]CB List'!$H$161:$X$211,12,FALSE)</f>
        <v>0</v>
      </c>
      <c r="G105" s="187">
        <f>+VLOOKUP(A105,'[12]CB List'!$H$161:$X$211,13,FALSE)</f>
        <v>0</v>
      </c>
      <c r="H105" s="187">
        <f>+VLOOKUP(A105,'[12]CB List'!$H$161:$X$211,14,FALSE)</f>
        <v>0</v>
      </c>
      <c r="I105" s="187">
        <f>+VLOOKUP(A105,'[12]CB List'!$H$161:$X$211,15,FALSE)</f>
        <v>0</v>
      </c>
      <c r="J105" s="187">
        <f>-VLOOKUP(A105,'[12]CB List'!$H$161:$X$211,16,FALSE)</f>
        <v>0</v>
      </c>
      <c r="K105" s="190">
        <f>(H105+I105)-J105</f>
        <v>0</v>
      </c>
    </row>
    <row r="106" spans="1:11" ht="18" customHeight="1">
      <c r="A106" s="182" t="s">
        <v>129</v>
      </c>
      <c r="B106" s="706"/>
      <c r="C106" s="707"/>
      <c r="D106" s="693"/>
      <c r="F106" s="187"/>
      <c r="G106" s="187"/>
      <c r="H106" s="188"/>
      <c r="I106" s="189"/>
      <c r="J106" s="188"/>
      <c r="K106" s="190">
        <f>(H106+I106)-J106</f>
        <v>0</v>
      </c>
    </row>
    <row r="107" spans="1:11" ht="18" customHeight="1">
      <c r="B107" s="181"/>
    </row>
    <row r="108" spans="1:11" s="201" customFormat="1" ht="18" customHeight="1">
      <c r="A108" s="185" t="s">
        <v>153</v>
      </c>
      <c r="B108" s="233" t="s">
        <v>154</v>
      </c>
      <c r="C108" s="178"/>
      <c r="D108" s="178"/>
      <c r="E108" s="181" t="s">
        <v>7</v>
      </c>
      <c r="F108" s="196">
        <f t="shared" ref="F108:K108" si="11">SUM(F102:F106)</f>
        <v>1432.0092808609088</v>
      </c>
      <c r="G108" s="196">
        <f t="shared" si="11"/>
        <v>216.43248038262612</v>
      </c>
      <c r="H108" s="190">
        <f t="shared" si="11"/>
        <v>59221.711899937116</v>
      </c>
      <c r="I108" s="190">
        <f t="shared" si="11"/>
        <v>36507.864221664327</v>
      </c>
      <c r="J108" s="190">
        <f t="shared" si="11"/>
        <v>0</v>
      </c>
      <c r="K108" s="190">
        <f t="shared" si="11"/>
        <v>95729.576121601436</v>
      </c>
    </row>
    <row r="109" spans="1:11" s="201" customFormat="1" ht="18" customHeight="1" thickBot="1">
      <c r="A109" s="234"/>
      <c r="B109" s="235"/>
      <c r="C109" s="236"/>
      <c r="D109" s="236"/>
      <c r="E109" s="236"/>
      <c r="F109" s="206"/>
      <c r="G109" s="206"/>
      <c r="H109" s="206"/>
      <c r="I109" s="206"/>
      <c r="J109" s="206"/>
      <c r="K109" s="206"/>
    </row>
    <row r="110" spans="1:11" s="201" customFormat="1" ht="18" customHeight="1">
      <c r="A110" s="185" t="s">
        <v>156</v>
      </c>
      <c r="B110" s="181" t="s">
        <v>39</v>
      </c>
      <c r="C110" s="178"/>
      <c r="D110" s="178"/>
      <c r="E110" s="178"/>
      <c r="F110" s="178"/>
      <c r="G110" s="178"/>
      <c r="H110" s="178"/>
      <c r="I110" s="178"/>
      <c r="J110" s="178"/>
      <c r="K110" s="178"/>
    </row>
    <row r="111" spans="1:11" ht="18" customHeight="1">
      <c r="A111" s="185" t="s">
        <v>155</v>
      </c>
      <c r="B111" s="181" t="s">
        <v>164</v>
      </c>
      <c r="E111" s="181" t="s">
        <v>7</v>
      </c>
      <c r="F111" s="188">
        <f>+'[12]CB List'!$X$206</f>
        <v>14404325.460000001</v>
      </c>
    </row>
    <row r="112" spans="1:11" ht="18" customHeight="1">
      <c r="B112" s="181"/>
      <c r="E112" s="181"/>
      <c r="F112" s="237"/>
    </row>
    <row r="113" spans="1:6" ht="18" customHeight="1">
      <c r="A113" s="185"/>
      <c r="B113" s="181" t="s">
        <v>15</v>
      </c>
    </row>
    <row r="114" spans="1:6" ht="18" customHeight="1">
      <c r="A114" s="182" t="s">
        <v>171</v>
      </c>
      <c r="B114" s="186" t="s">
        <v>35</v>
      </c>
      <c r="F114" s="238">
        <f>+'[12]CB List'!$I$214</f>
        <v>0.61646080551249816</v>
      </c>
    </row>
    <row r="115" spans="1:6" ht="18" customHeight="1">
      <c r="A115" s="182"/>
      <c r="B115" s="181"/>
    </row>
    <row r="116" spans="1:6" ht="18" customHeight="1">
      <c r="A116" s="182" t="s">
        <v>170</v>
      </c>
      <c r="B116" s="181" t="s">
        <v>16</v>
      </c>
    </row>
    <row r="117" spans="1:6" ht="18" customHeight="1">
      <c r="A117" s="182" t="s">
        <v>172</v>
      </c>
      <c r="B117" s="186" t="s">
        <v>17</v>
      </c>
      <c r="F117" s="188">
        <f>+'[13]P&amp;L_102 (2)'!$K$52</f>
        <v>196134375.93000001</v>
      </c>
    </row>
    <row r="118" spans="1:6" ht="18" customHeight="1">
      <c r="A118" s="182" t="s">
        <v>173</v>
      </c>
      <c r="B118" s="178" t="s">
        <v>18</v>
      </c>
      <c r="F118" s="188">
        <f>+'[13]P&amp;L_102 (2)'!$K$71</f>
        <v>5721019.1899999995</v>
      </c>
    </row>
    <row r="119" spans="1:6" ht="18" customHeight="1">
      <c r="A119" s="182" t="s">
        <v>174</v>
      </c>
      <c r="B119" s="181" t="s">
        <v>19</v>
      </c>
      <c r="F119" s="229">
        <f>SUM(F117:F118)</f>
        <v>201855395.12</v>
      </c>
    </row>
    <row r="120" spans="1:6" ht="18" customHeight="1">
      <c r="A120" s="182"/>
      <c r="B120" s="181"/>
    </row>
    <row r="121" spans="1:6" ht="18" customHeight="1">
      <c r="A121" s="182" t="s">
        <v>167</v>
      </c>
      <c r="B121" s="181" t="s">
        <v>36</v>
      </c>
      <c r="F121" s="188">
        <f>+'[13]P&amp;L_102 (2)'!$K$330</f>
        <v>217791712.05199996</v>
      </c>
    </row>
    <row r="122" spans="1:6" ht="18" customHeight="1">
      <c r="A122" s="182"/>
    </row>
    <row r="123" spans="1:6" ht="18" customHeight="1">
      <c r="A123" s="182" t="s">
        <v>175</v>
      </c>
      <c r="B123" s="181" t="s">
        <v>20</v>
      </c>
      <c r="F123" s="188">
        <f>+F119-F121</f>
        <v>-15936316.931999952</v>
      </c>
    </row>
    <row r="124" spans="1:6" ht="18" customHeight="1">
      <c r="A124" s="182"/>
    </row>
    <row r="125" spans="1:6" ht="18" customHeight="1">
      <c r="A125" s="182" t="s">
        <v>176</v>
      </c>
      <c r="B125" s="181" t="s">
        <v>21</v>
      </c>
      <c r="F125" s="188">
        <f>+'[13]P&amp;L_102 (2)'!$K$344</f>
        <v>-1479669.0350000001</v>
      </c>
    </row>
    <row r="126" spans="1:6" ht="18" customHeight="1">
      <c r="A126" s="182"/>
    </row>
    <row r="127" spans="1:6" ht="18" customHeight="1">
      <c r="A127" s="182" t="s">
        <v>177</v>
      </c>
      <c r="B127" s="181" t="s">
        <v>22</v>
      </c>
      <c r="F127" s="188">
        <f>+F123+F125</f>
        <v>-17415985.966999952</v>
      </c>
    </row>
    <row r="128" spans="1:6" ht="18" customHeight="1">
      <c r="A128" s="182"/>
    </row>
    <row r="129" spans="1:11" ht="42.75" customHeight="1">
      <c r="F129" s="184" t="s">
        <v>9</v>
      </c>
      <c r="G129" s="184" t="s">
        <v>37</v>
      </c>
      <c r="H129" s="184" t="s">
        <v>29</v>
      </c>
      <c r="I129" s="184" t="s">
        <v>30</v>
      </c>
      <c r="J129" s="184" t="s">
        <v>33</v>
      </c>
      <c r="K129" s="184" t="s">
        <v>34</v>
      </c>
    </row>
    <row r="130" spans="1:11" ht="18" customHeight="1">
      <c r="A130" s="185" t="s">
        <v>157</v>
      </c>
      <c r="B130" s="181" t="s">
        <v>23</v>
      </c>
    </row>
    <row r="131" spans="1:11" ht="18" customHeight="1">
      <c r="A131" s="182" t="s">
        <v>158</v>
      </c>
      <c r="B131" s="178" t="s">
        <v>24</v>
      </c>
      <c r="F131" s="187"/>
      <c r="G131" s="187"/>
      <c r="H131" s="188"/>
      <c r="I131" s="189">
        <v>0</v>
      </c>
      <c r="J131" s="188"/>
      <c r="K131" s="190">
        <f>(H131+I131)-J131</f>
        <v>0</v>
      </c>
    </row>
    <row r="132" spans="1:11" ht="18" customHeight="1">
      <c r="A132" s="182" t="s">
        <v>159</v>
      </c>
      <c r="B132" s="178" t="s">
        <v>25</v>
      </c>
      <c r="F132" s="187"/>
      <c r="G132" s="187"/>
      <c r="H132" s="188"/>
      <c r="I132" s="189">
        <v>0</v>
      </c>
      <c r="J132" s="188"/>
      <c r="K132" s="190">
        <f>(H132+I132)-J132</f>
        <v>0</v>
      </c>
    </row>
    <row r="133" spans="1:11" ht="18" customHeight="1">
      <c r="A133" s="182" t="s">
        <v>160</v>
      </c>
      <c r="B133" s="699"/>
      <c r="C133" s="700"/>
      <c r="D133" s="701"/>
      <c r="F133" s="187"/>
      <c r="G133" s="187"/>
      <c r="H133" s="188"/>
      <c r="I133" s="189">
        <v>0</v>
      </c>
      <c r="J133" s="188"/>
      <c r="K133" s="190">
        <f>(H133+I133)-J133</f>
        <v>0</v>
      </c>
    </row>
    <row r="134" spans="1:11" ht="18" customHeight="1">
      <c r="A134" s="182" t="s">
        <v>161</v>
      </c>
      <c r="B134" s="699"/>
      <c r="C134" s="700"/>
      <c r="D134" s="701"/>
      <c r="F134" s="187"/>
      <c r="G134" s="187"/>
      <c r="H134" s="188"/>
      <c r="I134" s="189">
        <v>0</v>
      </c>
      <c r="J134" s="188"/>
      <c r="K134" s="190">
        <f>(H134+I134)-J134</f>
        <v>0</v>
      </c>
    </row>
    <row r="135" spans="1:11" ht="18" customHeight="1">
      <c r="A135" s="182" t="s">
        <v>162</v>
      </c>
      <c r="B135" s="699"/>
      <c r="C135" s="700"/>
      <c r="D135" s="701"/>
      <c r="F135" s="187"/>
      <c r="G135" s="187"/>
      <c r="H135" s="188"/>
      <c r="I135" s="189">
        <v>0</v>
      </c>
      <c r="J135" s="188"/>
      <c r="K135" s="190">
        <f>(H135+I135)-J135</f>
        <v>0</v>
      </c>
    </row>
    <row r="136" spans="1:11" ht="18" customHeight="1">
      <c r="A136" s="185"/>
    </row>
    <row r="137" spans="1:11" ht="18" customHeight="1">
      <c r="A137" s="185" t="s">
        <v>163</v>
      </c>
      <c r="B137" s="181" t="s">
        <v>27</v>
      </c>
      <c r="F137" s="196">
        <f t="shared" ref="F137:K137" si="12">SUM(F131:F135)</f>
        <v>0</v>
      </c>
      <c r="G137" s="196">
        <f t="shared" si="12"/>
        <v>0</v>
      </c>
      <c r="H137" s="190">
        <f t="shared" si="12"/>
        <v>0</v>
      </c>
      <c r="I137" s="190">
        <f t="shared" si="12"/>
        <v>0</v>
      </c>
      <c r="J137" s="190">
        <f t="shared" si="12"/>
        <v>0</v>
      </c>
      <c r="K137" s="190">
        <f t="shared" si="12"/>
        <v>0</v>
      </c>
    </row>
    <row r="138" spans="1:11" ht="18" customHeight="1">
      <c r="A138" s="178"/>
    </row>
    <row r="139" spans="1:11" ht="42.75" customHeight="1">
      <c r="F139" s="184" t="s">
        <v>9</v>
      </c>
      <c r="G139" s="184" t="s">
        <v>37</v>
      </c>
      <c r="H139" s="184" t="s">
        <v>29</v>
      </c>
      <c r="I139" s="184" t="s">
        <v>30</v>
      </c>
      <c r="J139" s="184" t="s">
        <v>33</v>
      </c>
      <c r="K139" s="184" t="s">
        <v>34</v>
      </c>
    </row>
    <row r="140" spans="1:11" ht="18" customHeight="1">
      <c r="A140" s="185" t="s">
        <v>166</v>
      </c>
      <c r="B140" s="181" t="s">
        <v>26</v>
      </c>
    </row>
    <row r="141" spans="1:11" ht="18" customHeight="1">
      <c r="A141" s="182" t="s">
        <v>137</v>
      </c>
      <c r="B141" s="181" t="s">
        <v>64</v>
      </c>
      <c r="F141" s="239">
        <f t="shared" ref="F141:K141" si="13">F36</f>
        <v>27580.375564162918</v>
      </c>
      <c r="G141" s="239">
        <f t="shared" si="13"/>
        <v>32001.014800302335</v>
      </c>
      <c r="H141" s="239">
        <f t="shared" si="13"/>
        <v>2434165.1670978158</v>
      </c>
      <c r="I141" s="239">
        <f t="shared" si="13"/>
        <v>1458933.7158343603</v>
      </c>
      <c r="J141" s="239">
        <f t="shared" si="13"/>
        <v>112134.72047345</v>
      </c>
      <c r="K141" s="239">
        <f t="shared" si="13"/>
        <v>3780964.1624587257</v>
      </c>
    </row>
    <row r="142" spans="1:11" ht="18" customHeight="1">
      <c r="A142" s="182" t="s">
        <v>142</v>
      </c>
      <c r="B142" s="181" t="s">
        <v>65</v>
      </c>
      <c r="F142" s="239">
        <f t="shared" ref="F142:K142" si="14">F49</f>
        <v>23767.579999976388</v>
      </c>
      <c r="G142" s="239">
        <f t="shared" si="14"/>
        <v>15070.292446636815</v>
      </c>
      <c r="H142" s="239">
        <f t="shared" si="14"/>
        <v>1141926.0309597144</v>
      </c>
      <c r="I142" s="239">
        <f t="shared" si="14"/>
        <v>0</v>
      </c>
      <c r="J142" s="239">
        <f t="shared" si="14"/>
        <v>113329.65630675</v>
      </c>
      <c r="K142" s="239">
        <f t="shared" si="14"/>
        <v>1028596.3746529644</v>
      </c>
    </row>
    <row r="143" spans="1:11" ht="18" customHeight="1">
      <c r="A143" s="182" t="s">
        <v>144</v>
      </c>
      <c r="B143" s="181" t="s">
        <v>66</v>
      </c>
      <c r="F143" s="239">
        <f t="shared" ref="F143:K143" si="15">F64</f>
        <v>97636.499847421146</v>
      </c>
      <c r="G143" s="239">
        <f t="shared" si="15"/>
        <v>8477.6224540907624</v>
      </c>
      <c r="H143" s="239">
        <f t="shared" si="15"/>
        <v>16641806.82937251</v>
      </c>
      <c r="I143" s="239">
        <f t="shared" si="15"/>
        <v>0</v>
      </c>
      <c r="J143" s="239">
        <f t="shared" si="15"/>
        <v>0</v>
      </c>
      <c r="K143" s="239">
        <f t="shared" si="15"/>
        <v>16641806.82937251</v>
      </c>
    </row>
    <row r="144" spans="1:11" ht="18" customHeight="1">
      <c r="A144" s="182" t="s">
        <v>146</v>
      </c>
      <c r="B144" s="181" t="s">
        <v>67</v>
      </c>
      <c r="F144" s="239">
        <f t="shared" ref="F144:K144" si="16">F74</f>
        <v>8007.5015009418939</v>
      </c>
      <c r="G144" s="239">
        <f t="shared" si="16"/>
        <v>1003</v>
      </c>
      <c r="H144" s="239">
        <f t="shared" si="16"/>
        <v>524875.80123842927</v>
      </c>
      <c r="I144" s="239">
        <f t="shared" si="16"/>
        <v>0</v>
      </c>
      <c r="J144" s="239">
        <f t="shared" si="16"/>
        <v>260211.11</v>
      </c>
      <c r="K144" s="239">
        <f t="shared" si="16"/>
        <v>264664.69123842934</v>
      </c>
    </row>
    <row r="145" spans="1:11" ht="18" customHeight="1">
      <c r="A145" s="182" t="s">
        <v>148</v>
      </c>
      <c r="B145" s="181" t="s">
        <v>68</v>
      </c>
      <c r="F145" s="239">
        <f t="shared" ref="F145:K145" si="17">F82</f>
        <v>24.625606068743135</v>
      </c>
      <c r="G145" s="239">
        <f t="shared" si="17"/>
        <v>66.009906216512576</v>
      </c>
      <c r="H145" s="239">
        <f t="shared" si="17"/>
        <v>589541.62051741767</v>
      </c>
      <c r="I145" s="239">
        <f t="shared" si="17"/>
        <v>0</v>
      </c>
      <c r="J145" s="239">
        <f t="shared" si="17"/>
        <v>0</v>
      </c>
      <c r="K145" s="239">
        <f t="shared" si="17"/>
        <v>589541.62051741767</v>
      </c>
    </row>
    <row r="146" spans="1:11" ht="18" customHeight="1">
      <c r="A146" s="182" t="s">
        <v>150</v>
      </c>
      <c r="B146" s="181" t="s">
        <v>69</v>
      </c>
      <c r="F146" s="239">
        <f t="shared" ref="F146:K146" si="18">F98</f>
        <v>4083.6202116237209</v>
      </c>
      <c r="G146" s="239">
        <f t="shared" si="18"/>
        <v>5899.7984100168333</v>
      </c>
      <c r="H146" s="239">
        <f t="shared" si="18"/>
        <v>604799.8862770719</v>
      </c>
      <c r="I146" s="239">
        <f t="shared" si="18"/>
        <v>216489.6095822239</v>
      </c>
      <c r="J146" s="239">
        <f t="shared" si="18"/>
        <v>2624.08</v>
      </c>
      <c r="K146" s="239">
        <f t="shared" si="18"/>
        <v>818665.41585929575</v>
      </c>
    </row>
    <row r="147" spans="1:11" ht="18" customHeight="1">
      <c r="A147" s="182" t="s">
        <v>153</v>
      </c>
      <c r="B147" s="181" t="s">
        <v>61</v>
      </c>
      <c r="F147" s="196">
        <f t="shared" ref="F147:K147" si="19">F108</f>
        <v>1432.0092808609088</v>
      </c>
      <c r="G147" s="196">
        <f t="shared" si="19"/>
        <v>216.43248038262612</v>
      </c>
      <c r="H147" s="196">
        <f t="shared" si="19"/>
        <v>59221.711899937116</v>
      </c>
      <c r="I147" s="196">
        <f t="shared" si="19"/>
        <v>36507.864221664327</v>
      </c>
      <c r="J147" s="196">
        <f t="shared" si="19"/>
        <v>0</v>
      </c>
      <c r="K147" s="196">
        <f t="shared" si="19"/>
        <v>95729.576121601436</v>
      </c>
    </row>
    <row r="148" spans="1:11" ht="18" customHeight="1">
      <c r="A148" s="182" t="s">
        <v>155</v>
      </c>
      <c r="B148" s="181" t="s">
        <v>70</v>
      </c>
      <c r="F148" s="240" t="s">
        <v>73</v>
      </c>
      <c r="G148" s="240" t="s">
        <v>73</v>
      </c>
      <c r="H148" s="241" t="s">
        <v>73</v>
      </c>
      <c r="I148" s="241" t="s">
        <v>73</v>
      </c>
      <c r="J148" s="241" t="s">
        <v>73</v>
      </c>
      <c r="K148" s="242">
        <f>F111</f>
        <v>14404325.460000001</v>
      </c>
    </row>
    <row r="149" spans="1:11" ht="18" customHeight="1">
      <c r="A149" s="182" t="s">
        <v>163</v>
      </c>
      <c r="B149" s="181" t="s">
        <v>71</v>
      </c>
      <c r="F149" s="196">
        <f t="shared" ref="F149:K149" si="20">F137</f>
        <v>0</v>
      </c>
      <c r="G149" s="196">
        <f t="shared" si="20"/>
        <v>0</v>
      </c>
      <c r="H149" s="196">
        <f t="shared" si="20"/>
        <v>0</v>
      </c>
      <c r="I149" s="196">
        <f t="shared" si="20"/>
        <v>0</v>
      </c>
      <c r="J149" s="196">
        <f t="shared" si="20"/>
        <v>0</v>
      </c>
      <c r="K149" s="196">
        <f t="shared" si="20"/>
        <v>0</v>
      </c>
    </row>
    <row r="150" spans="1:11" ht="18" customHeight="1">
      <c r="A150" s="182" t="s">
        <v>185</v>
      </c>
      <c r="B150" s="181" t="s">
        <v>186</v>
      </c>
      <c r="F150" s="240" t="s">
        <v>73</v>
      </c>
      <c r="G150" s="240" t="s">
        <v>73</v>
      </c>
      <c r="H150" s="196">
        <f>H18</f>
        <v>6405241</v>
      </c>
      <c r="I150" s="196">
        <f>I18</f>
        <v>0</v>
      </c>
      <c r="J150" s="196">
        <f>J18</f>
        <v>5477280.5</v>
      </c>
      <c r="K150" s="196">
        <f>K18</f>
        <v>927960.5</v>
      </c>
    </row>
    <row r="151" spans="1:11" ht="18" customHeight="1">
      <c r="B151" s="181"/>
      <c r="F151" s="213"/>
      <c r="G151" s="213"/>
      <c r="H151" s="213"/>
      <c r="I151" s="213"/>
      <c r="J151" s="213"/>
      <c r="K151" s="213"/>
    </row>
    <row r="152" spans="1:11" ht="18" customHeight="1">
      <c r="A152" s="185" t="s">
        <v>165</v>
      </c>
      <c r="B152" s="181" t="s">
        <v>26</v>
      </c>
      <c r="F152" s="243">
        <f t="shared" ref="F152:K152" si="21">SUM(F141:F150)</f>
        <v>162532.21201105573</v>
      </c>
      <c r="G152" s="243">
        <f t="shared" si="21"/>
        <v>62734.170497645879</v>
      </c>
      <c r="H152" s="243">
        <f t="shared" si="21"/>
        <v>28401578.047362898</v>
      </c>
      <c r="I152" s="243">
        <f t="shared" si="21"/>
        <v>1711931.1896382486</v>
      </c>
      <c r="J152" s="243">
        <f t="shared" si="21"/>
        <v>5965580.0667802002</v>
      </c>
      <c r="K152" s="243">
        <f t="shared" si="21"/>
        <v>38552254.63022095</v>
      </c>
    </row>
    <row r="154" spans="1:11" ht="18" customHeight="1">
      <c r="A154" s="185" t="s">
        <v>168</v>
      </c>
      <c r="B154" s="181" t="s">
        <v>28</v>
      </c>
      <c r="F154" s="64">
        <f>K152/F121</f>
        <v>0.17701433294677538</v>
      </c>
    </row>
    <row r="155" spans="1:11" ht="18" customHeight="1">
      <c r="A155" s="185" t="s">
        <v>169</v>
      </c>
      <c r="B155" s="181" t="s">
        <v>72</v>
      </c>
      <c r="F155" s="64">
        <f>K152/F127</f>
        <v>-2.2136130967991297</v>
      </c>
      <c r="G155" s="181"/>
    </row>
    <row r="156" spans="1:11" ht="18" customHeight="1">
      <c r="G156" s="181"/>
    </row>
  </sheetData>
  <sheetProtection password="EF72" sheet="1" objects="1" scenarios="1"/>
  <mergeCells count="33">
    <mergeCell ref="B133:D133"/>
    <mergeCell ref="B134:D134"/>
    <mergeCell ref="B135:D135"/>
    <mergeCell ref="B95:D95"/>
    <mergeCell ref="B96:D96"/>
    <mergeCell ref="B103:C103"/>
    <mergeCell ref="B104:D104"/>
    <mergeCell ref="B105:D105"/>
    <mergeCell ref="B106:D106"/>
    <mergeCell ref="B94:D94"/>
    <mergeCell ref="B45:D45"/>
    <mergeCell ref="B46:D46"/>
    <mergeCell ref="B47:D47"/>
    <mergeCell ref="B52:C52"/>
    <mergeCell ref="B53:D53"/>
    <mergeCell ref="B55:D55"/>
    <mergeCell ref="B56:D56"/>
    <mergeCell ref="B57:D57"/>
    <mergeCell ref="B59:D59"/>
    <mergeCell ref="B62:D62"/>
    <mergeCell ref="B90:C90"/>
    <mergeCell ref="B44:D44"/>
    <mergeCell ref="D2:H2"/>
    <mergeCell ref="C5:G5"/>
    <mergeCell ref="C6:G6"/>
    <mergeCell ref="C7:G7"/>
    <mergeCell ref="C9:G9"/>
    <mergeCell ref="C10:G10"/>
    <mergeCell ref="C11:G11"/>
    <mergeCell ref="B13:H13"/>
    <mergeCell ref="B31:D31"/>
    <mergeCell ref="B34:D34"/>
    <mergeCell ref="B41:C41"/>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40" zoomScale="70" zoomScaleNormal="50" zoomScaleSheetLayoutView="70" workbookViewId="0">
      <selection activeCell="E163" sqref="E163"/>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524</v>
      </c>
      <c r="D5" s="654"/>
      <c r="E5" s="654"/>
      <c r="F5" s="654"/>
      <c r="G5" s="655"/>
    </row>
    <row r="6" spans="1:11" ht="18" customHeight="1">
      <c r="B6" s="5" t="s">
        <v>3</v>
      </c>
      <c r="C6" s="671">
        <v>210017</v>
      </c>
      <c r="D6" s="657"/>
      <c r="E6" s="657"/>
      <c r="F6" s="657"/>
      <c r="G6" s="658"/>
    </row>
    <row r="7" spans="1:11" ht="18" customHeight="1">
      <c r="B7" s="5" t="s">
        <v>4</v>
      </c>
      <c r="C7" s="659">
        <v>344</v>
      </c>
      <c r="D7" s="660"/>
      <c r="E7" s="660"/>
      <c r="F7" s="660"/>
      <c r="G7" s="661"/>
    </row>
    <row r="9" spans="1:11" ht="18" customHeight="1">
      <c r="B9" s="5" t="s">
        <v>1</v>
      </c>
      <c r="C9" s="670" t="s">
        <v>525</v>
      </c>
      <c r="D9" s="654"/>
      <c r="E9" s="654"/>
      <c r="F9" s="654"/>
      <c r="G9" s="655"/>
    </row>
    <row r="10" spans="1:11" ht="18" customHeight="1">
      <c r="B10" s="5" t="s">
        <v>2</v>
      </c>
      <c r="C10" s="674" t="s">
        <v>526</v>
      </c>
      <c r="D10" s="663"/>
      <c r="E10" s="663"/>
      <c r="F10" s="663"/>
      <c r="G10" s="664"/>
    </row>
    <row r="11" spans="1:11" ht="18" customHeight="1">
      <c r="B11" s="5" t="s">
        <v>32</v>
      </c>
      <c r="C11" s="670" t="s">
        <v>527</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1079706</v>
      </c>
      <c r="I18" s="50">
        <v>0</v>
      </c>
      <c r="J18" s="15"/>
      <c r="K18" s="16">
        <f>(H18+I18)-J18</f>
        <v>1079706</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696</v>
      </c>
      <c r="G21" s="14">
        <v>3605</v>
      </c>
      <c r="H21" s="15">
        <v>30300</v>
      </c>
      <c r="I21" s="50">
        <f t="shared" ref="I21:I34" si="0">H21*F$114</f>
        <v>22100.517</v>
      </c>
      <c r="J21" s="15">
        <v>3233</v>
      </c>
      <c r="K21" s="16">
        <f t="shared" ref="K21:K34" si="1">(H21+I21)-J21</f>
        <v>49167.517</v>
      </c>
    </row>
    <row r="22" spans="1:11" ht="18" customHeight="1">
      <c r="A22" s="5" t="s">
        <v>76</v>
      </c>
      <c r="B22" t="s">
        <v>6</v>
      </c>
      <c r="F22" s="14">
        <v>7</v>
      </c>
      <c r="G22" s="14">
        <v>8</v>
      </c>
      <c r="H22" s="15">
        <v>247</v>
      </c>
      <c r="I22" s="50">
        <f t="shared" si="0"/>
        <v>180.15932999999998</v>
      </c>
      <c r="J22" s="15">
        <v>0</v>
      </c>
      <c r="K22" s="16">
        <f t="shared" si="1"/>
        <v>427.15932999999995</v>
      </c>
    </row>
    <row r="23" spans="1:11" ht="18" customHeight="1">
      <c r="A23" s="5" t="s">
        <v>77</v>
      </c>
      <c r="B23" t="s">
        <v>43</v>
      </c>
      <c r="F23" s="14">
        <v>587</v>
      </c>
      <c r="G23" s="14">
        <v>1232</v>
      </c>
      <c r="H23" s="15">
        <v>17964</v>
      </c>
      <c r="I23" s="50">
        <f t="shared" si="0"/>
        <v>13102.76196</v>
      </c>
      <c r="J23" s="15">
        <v>1751</v>
      </c>
      <c r="K23" s="16">
        <f t="shared" si="1"/>
        <v>29315.76196</v>
      </c>
    </row>
    <row r="24" spans="1:11" ht="18" customHeight="1">
      <c r="A24" s="5" t="s">
        <v>78</v>
      </c>
      <c r="B24" t="s">
        <v>44</v>
      </c>
      <c r="F24" s="14">
        <v>88</v>
      </c>
      <c r="G24" s="14">
        <v>236</v>
      </c>
      <c r="H24" s="15">
        <v>6644</v>
      </c>
      <c r="I24" s="50">
        <f t="shared" si="0"/>
        <v>4846.0671599999996</v>
      </c>
      <c r="J24" s="15">
        <v>9728</v>
      </c>
      <c r="K24" s="16">
        <f t="shared" si="1"/>
        <v>1762.0671599999987</v>
      </c>
    </row>
    <row r="25" spans="1:11" ht="18" customHeight="1">
      <c r="A25" s="5" t="s">
        <v>79</v>
      </c>
      <c r="B25" t="s">
        <v>5</v>
      </c>
      <c r="F25" s="14">
        <v>349</v>
      </c>
      <c r="G25" s="14">
        <v>1430</v>
      </c>
      <c r="H25" s="15">
        <v>19760</v>
      </c>
      <c r="I25" s="50">
        <f t="shared" si="0"/>
        <v>14412.7464</v>
      </c>
      <c r="J25" s="15">
        <v>50270</v>
      </c>
      <c r="K25" s="16">
        <f t="shared" si="1"/>
        <v>-16097.253599999996</v>
      </c>
    </row>
    <row r="26" spans="1:11" ht="18" customHeight="1">
      <c r="A26" s="5" t="s">
        <v>80</v>
      </c>
      <c r="B26" t="s">
        <v>45</v>
      </c>
      <c r="F26" s="14">
        <v>145.91</v>
      </c>
      <c r="G26" s="14">
        <v>648</v>
      </c>
      <c r="H26" s="15">
        <v>10953</v>
      </c>
      <c r="I26" s="50">
        <f t="shared" si="0"/>
        <v>7989.0086700000002</v>
      </c>
      <c r="J26" s="15">
        <v>14286</v>
      </c>
      <c r="K26" s="16">
        <f t="shared" si="1"/>
        <v>4656.0086699999993</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323.25</v>
      </c>
      <c r="G29" s="14">
        <v>296</v>
      </c>
      <c r="H29" s="15">
        <v>13280</v>
      </c>
      <c r="I29" s="50">
        <f t="shared" si="0"/>
        <v>9686.2991999999995</v>
      </c>
      <c r="J29" s="15">
        <v>0</v>
      </c>
      <c r="K29" s="16">
        <f t="shared" si="1"/>
        <v>22966.299200000001</v>
      </c>
    </row>
    <row r="30" spans="1:11" ht="18" customHeight="1">
      <c r="A30" s="5" t="s">
        <v>84</v>
      </c>
      <c r="B30" s="636" t="s">
        <v>528</v>
      </c>
      <c r="C30" s="637"/>
      <c r="D30" s="638"/>
      <c r="F30" s="14">
        <v>90.5</v>
      </c>
      <c r="G30" s="14">
        <v>83</v>
      </c>
      <c r="H30" s="15">
        <v>3840</v>
      </c>
      <c r="I30" s="50">
        <f t="shared" si="0"/>
        <v>2800.8575999999998</v>
      </c>
      <c r="J30" s="15">
        <v>2841</v>
      </c>
      <c r="K30" s="16">
        <f t="shared" si="1"/>
        <v>3799.8575999999994</v>
      </c>
    </row>
    <row r="31" spans="1:11" ht="18" customHeight="1">
      <c r="A31" s="5" t="s">
        <v>133</v>
      </c>
      <c r="B31" s="636"/>
      <c r="C31" s="637"/>
      <c r="D31" s="638"/>
      <c r="F31" s="14"/>
      <c r="G31" s="14"/>
      <c r="H31" s="15"/>
      <c r="I31" s="50">
        <f t="shared" si="0"/>
        <v>0</v>
      </c>
      <c r="J31" s="15"/>
      <c r="K31" s="16">
        <f t="shared" si="1"/>
        <v>0</v>
      </c>
    </row>
    <row r="32" spans="1:11" ht="18" customHeight="1">
      <c r="A32" s="5" t="s">
        <v>134</v>
      </c>
      <c r="B32" s="335"/>
      <c r="C32" s="336"/>
      <c r="D32" s="337"/>
      <c r="F32" s="14"/>
      <c r="G32" s="342" t="s">
        <v>85</v>
      </c>
      <c r="H32" s="15"/>
      <c r="I32" s="50">
        <f t="shared" si="0"/>
        <v>0</v>
      </c>
      <c r="J32" s="15"/>
      <c r="K32" s="16">
        <f t="shared" si="1"/>
        <v>0</v>
      </c>
    </row>
    <row r="33" spans="1:11" ht="18" customHeight="1">
      <c r="A33" s="5" t="s">
        <v>135</v>
      </c>
      <c r="B33" s="335"/>
      <c r="C33" s="336"/>
      <c r="D33" s="337"/>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2286.66</v>
      </c>
      <c r="G36" s="18">
        <f t="shared" si="2"/>
        <v>7538</v>
      </c>
      <c r="H36" s="18">
        <f t="shared" si="2"/>
        <v>102988</v>
      </c>
      <c r="I36" s="16">
        <f t="shared" si="2"/>
        <v>75118.417320000008</v>
      </c>
      <c r="J36" s="16">
        <f t="shared" si="2"/>
        <v>82109</v>
      </c>
      <c r="K36" s="16">
        <f t="shared" si="2"/>
        <v>95997.417319999993</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v>0</v>
      </c>
      <c r="J40" s="15"/>
      <c r="K40" s="16">
        <f t="shared" ref="K40:K47" si="3">(H40+I40)-J40</f>
        <v>0</v>
      </c>
    </row>
    <row r="41" spans="1:11" ht="18" customHeight="1">
      <c r="A41" s="5" t="s">
        <v>88</v>
      </c>
      <c r="B41" s="641" t="s">
        <v>50</v>
      </c>
      <c r="C41" s="649"/>
      <c r="F41" s="14"/>
      <c r="G41" s="14"/>
      <c r="H41" s="15"/>
      <c r="I41" s="50">
        <v>0</v>
      </c>
      <c r="J41" s="15"/>
      <c r="K41" s="16">
        <f t="shared" si="3"/>
        <v>0</v>
      </c>
    </row>
    <row r="42" spans="1:11" ht="18" customHeight="1">
      <c r="A42" s="5" t="s">
        <v>89</v>
      </c>
      <c r="B42" s="341" t="s">
        <v>11</v>
      </c>
      <c r="F42" s="14">
        <v>830</v>
      </c>
      <c r="G42" s="14">
        <v>7</v>
      </c>
      <c r="H42" s="15">
        <v>51022</v>
      </c>
      <c r="I42" s="50">
        <v>0</v>
      </c>
      <c r="J42" s="15">
        <v>0</v>
      </c>
      <c r="K42" s="16">
        <f t="shared" si="3"/>
        <v>51022</v>
      </c>
    </row>
    <row r="43" spans="1:11" ht="18" customHeight="1">
      <c r="A43" s="5" t="s">
        <v>90</v>
      </c>
      <c r="B43" s="343" t="s">
        <v>10</v>
      </c>
      <c r="C43" s="10"/>
      <c r="D43" s="10"/>
      <c r="F43" s="14"/>
      <c r="G43" s="14"/>
      <c r="H43" s="15"/>
      <c r="I43" s="50">
        <v>0</v>
      </c>
      <c r="J43" s="15"/>
      <c r="K43" s="16">
        <f t="shared" si="3"/>
        <v>0</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830</v>
      </c>
      <c r="G49" s="23">
        <f t="shared" si="4"/>
        <v>7</v>
      </c>
      <c r="H49" s="16">
        <f t="shared" si="4"/>
        <v>51022</v>
      </c>
      <c r="I49" s="16">
        <f t="shared" si="4"/>
        <v>0</v>
      </c>
      <c r="J49" s="16">
        <f t="shared" si="4"/>
        <v>0</v>
      </c>
      <c r="K49" s="16">
        <f t="shared" si="4"/>
        <v>51022</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c r="C53" s="648"/>
      <c r="D53" s="644"/>
      <c r="F53" s="14"/>
      <c r="G53" s="14"/>
      <c r="H53" s="15"/>
      <c r="I53" s="50">
        <v>0</v>
      </c>
      <c r="J53" s="15"/>
      <c r="K53" s="16">
        <f t="shared" ref="K53:K62" si="5">(H53+I53)-J53</f>
        <v>0</v>
      </c>
    </row>
    <row r="54" spans="1:11" ht="18" customHeight="1">
      <c r="A54" s="5" t="s">
        <v>93</v>
      </c>
      <c r="B54" s="338"/>
      <c r="C54" s="339"/>
      <c r="D54" s="340"/>
      <c r="F54" s="14"/>
      <c r="G54" s="14"/>
      <c r="H54" s="15"/>
      <c r="I54" s="50">
        <v>0</v>
      </c>
      <c r="J54" s="15"/>
      <c r="K54" s="16">
        <f t="shared" si="5"/>
        <v>0</v>
      </c>
    </row>
    <row r="55" spans="1:11" ht="18" customHeight="1">
      <c r="A55" s="5" t="s">
        <v>94</v>
      </c>
      <c r="B55" s="642"/>
      <c r="C55" s="643"/>
      <c r="D55" s="644"/>
      <c r="F55" s="14"/>
      <c r="G55" s="14"/>
      <c r="H55" s="15"/>
      <c r="I55" s="50">
        <v>0</v>
      </c>
      <c r="J55" s="15"/>
      <c r="K55" s="16">
        <f t="shared" si="5"/>
        <v>0</v>
      </c>
    </row>
    <row r="56" spans="1:11" ht="18" customHeight="1">
      <c r="A56" s="5" t="s">
        <v>95</v>
      </c>
      <c r="B56" s="642"/>
      <c r="C56" s="643"/>
      <c r="D56" s="644"/>
      <c r="F56" s="14"/>
      <c r="G56" s="14"/>
      <c r="H56" s="15"/>
      <c r="I56" s="50">
        <v>0</v>
      </c>
      <c r="J56" s="15"/>
      <c r="K56" s="16">
        <f t="shared" si="5"/>
        <v>0</v>
      </c>
    </row>
    <row r="57" spans="1:11" ht="18" customHeight="1">
      <c r="A57" s="5" t="s">
        <v>96</v>
      </c>
      <c r="B57" s="642"/>
      <c r="C57" s="643"/>
      <c r="D57" s="644"/>
      <c r="F57" s="14"/>
      <c r="G57" s="14"/>
      <c r="H57" s="15"/>
      <c r="I57" s="50">
        <v>0</v>
      </c>
      <c r="J57" s="15"/>
      <c r="K57" s="16">
        <f t="shared" si="5"/>
        <v>0</v>
      </c>
    </row>
    <row r="58" spans="1:11" ht="18" customHeight="1">
      <c r="A58" s="5" t="s">
        <v>97</v>
      </c>
      <c r="B58" s="338"/>
      <c r="C58" s="339"/>
      <c r="D58" s="340"/>
      <c r="F58" s="14"/>
      <c r="G58" s="14"/>
      <c r="H58" s="15"/>
      <c r="I58" s="50">
        <v>0</v>
      </c>
      <c r="J58" s="15"/>
      <c r="K58" s="16">
        <f t="shared" si="5"/>
        <v>0</v>
      </c>
    </row>
    <row r="59" spans="1:11" ht="18" customHeight="1">
      <c r="A59" s="5" t="s">
        <v>98</v>
      </c>
      <c r="B59" s="642"/>
      <c r="C59" s="643"/>
      <c r="D59" s="644"/>
      <c r="F59" s="14"/>
      <c r="G59" s="14"/>
      <c r="H59" s="15"/>
      <c r="I59" s="50">
        <v>0</v>
      </c>
      <c r="J59" s="15"/>
      <c r="K59" s="16">
        <f t="shared" si="5"/>
        <v>0</v>
      </c>
    </row>
    <row r="60" spans="1:11" ht="18" customHeight="1">
      <c r="A60" s="5" t="s">
        <v>99</v>
      </c>
      <c r="B60" s="338"/>
      <c r="C60" s="339"/>
      <c r="D60" s="340"/>
      <c r="F60" s="14"/>
      <c r="G60" s="14"/>
      <c r="H60" s="15"/>
      <c r="I60" s="50">
        <v>0</v>
      </c>
      <c r="J60" s="15"/>
      <c r="K60" s="16">
        <f t="shared" si="5"/>
        <v>0</v>
      </c>
    </row>
    <row r="61" spans="1:11" ht="18" customHeight="1">
      <c r="A61" s="5" t="s">
        <v>100</v>
      </c>
      <c r="B61" s="338"/>
      <c r="C61" s="339"/>
      <c r="D61" s="340"/>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0</v>
      </c>
      <c r="G64" s="18">
        <f t="shared" si="6"/>
        <v>0</v>
      </c>
      <c r="H64" s="16">
        <f t="shared" si="6"/>
        <v>0</v>
      </c>
      <c r="I64" s="16">
        <f t="shared" si="6"/>
        <v>0</v>
      </c>
      <c r="J64" s="16">
        <f t="shared" si="6"/>
        <v>0</v>
      </c>
      <c r="K64" s="16">
        <f t="shared" si="6"/>
        <v>0</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338"/>
      <c r="C70" s="339"/>
      <c r="D70" s="340"/>
      <c r="E70" s="2"/>
      <c r="F70" s="35"/>
      <c r="G70" s="35"/>
      <c r="H70" s="36"/>
      <c r="I70" s="50">
        <v>0</v>
      </c>
      <c r="J70" s="36"/>
      <c r="K70" s="16">
        <f>(H70+I70)-J70</f>
        <v>0</v>
      </c>
    </row>
    <row r="71" spans="1:11" ht="18" customHeight="1">
      <c r="A71" s="5" t="s">
        <v>179</v>
      </c>
      <c r="B71" s="338"/>
      <c r="C71" s="339"/>
      <c r="D71" s="340"/>
      <c r="E71" s="2"/>
      <c r="F71" s="35"/>
      <c r="G71" s="35"/>
      <c r="H71" s="36"/>
      <c r="I71" s="50">
        <v>0</v>
      </c>
      <c r="J71" s="36"/>
      <c r="K71" s="16">
        <f>(H71+I71)-J71</f>
        <v>0</v>
      </c>
    </row>
    <row r="72" spans="1:11" ht="18" customHeight="1">
      <c r="A72" s="5" t="s">
        <v>180</v>
      </c>
      <c r="B72" s="344"/>
      <c r="C72" s="345"/>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0</v>
      </c>
      <c r="I74" s="53">
        <f t="shared" si="7"/>
        <v>0</v>
      </c>
      <c r="J74" s="21">
        <f t="shared" si="7"/>
        <v>0</v>
      </c>
      <c r="K74" s="17">
        <f t="shared" si="7"/>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v>130</v>
      </c>
      <c r="G77" s="14">
        <v>118</v>
      </c>
      <c r="H77" s="15">
        <v>4269</v>
      </c>
      <c r="I77" s="50">
        <v>0</v>
      </c>
      <c r="J77" s="15">
        <v>425</v>
      </c>
      <c r="K77" s="16">
        <f>(H77+I77)-J77</f>
        <v>3844</v>
      </c>
    </row>
    <row r="78" spans="1:11" ht="18" customHeight="1">
      <c r="A78" s="5" t="s">
        <v>108</v>
      </c>
      <c r="B78" s="341" t="s">
        <v>55</v>
      </c>
      <c r="F78" s="14"/>
      <c r="G78" s="14"/>
      <c r="H78" s="15"/>
      <c r="I78" s="50">
        <v>0</v>
      </c>
      <c r="J78" s="15"/>
      <c r="K78" s="16">
        <f>(H78+I78)-J78</f>
        <v>0</v>
      </c>
    </row>
    <row r="79" spans="1:11" ht="18" customHeight="1">
      <c r="A79" s="5" t="s">
        <v>109</v>
      </c>
      <c r="B79" s="341" t="s">
        <v>13</v>
      </c>
      <c r="F79" s="14"/>
      <c r="G79" s="14"/>
      <c r="H79" s="15"/>
      <c r="I79" s="50">
        <v>0</v>
      </c>
      <c r="J79" s="15"/>
      <c r="K79" s="16">
        <f>(H79+I79)-J79</f>
        <v>0</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8">SUM(F77:F80)</f>
        <v>130</v>
      </c>
      <c r="G82" s="21">
        <f t="shared" si="8"/>
        <v>118</v>
      </c>
      <c r="H82" s="17">
        <f t="shared" si="8"/>
        <v>4269</v>
      </c>
      <c r="I82" s="17">
        <f t="shared" si="8"/>
        <v>0</v>
      </c>
      <c r="J82" s="17">
        <f t="shared" si="8"/>
        <v>425</v>
      </c>
      <c r="K82" s="17">
        <f t="shared" si="8"/>
        <v>3844</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14">
        <v>11</v>
      </c>
      <c r="G87" s="14">
        <v>3</v>
      </c>
      <c r="H87" s="15">
        <v>3504</v>
      </c>
      <c r="I87" s="50">
        <f t="shared" si="9"/>
        <v>2555.7825600000001</v>
      </c>
      <c r="J87" s="15">
        <v>0</v>
      </c>
      <c r="K87" s="16">
        <f t="shared" si="10"/>
        <v>6059.7825599999996</v>
      </c>
    </row>
    <row r="88" spans="1:11" ht="18" customHeight="1">
      <c r="A88" s="5" t="s">
        <v>115</v>
      </c>
      <c r="B88" s="341" t="s">
        <v>116</v>
      </c>
      <c r="F88" s="14"/>
      <c r="G88" s="14"/>
      <c r="H88" s="15"/>
      <c r="I88" s="50">
        <f t="shared" si="9"/>
        <v>0</v>
      </c>
      <c r="J88" s="15"/>
      <c r="K88" s="16">
        <f t="shared" si="10"/>
        <v>0</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v>67.5</v>
      </c>
      <c r="G91" s="14">
        <v>267</v>
      </c>
      <c r="H91" s="15">
        <v>2077</v>
      </c>
      <c r="I91" s="50">
        <f t="shared" si="9"/>
        <v>1514.9430299999999</v>
      </c>
      <c r="J91" s="15">
        <v>0</v>
      </c>
      <c r="K91" s="16">
        <f t="shared" si="10"/>
        <v>3591.9430299999999</v>
      </c>
    </row>
    <row r="92" spans="1:11" ht="18" customHeight="1">
      <c r="A92" s="5" t="s">
        <v>120</v>
      </c>
      <c r="B92" s="341" t="s">
        <v>121</v>
      </c>
      <c r="F92" s="38"/>
      <c r="G92" s="38"/>
      <c r="H92" s="39"/>
      <c r="I92" s="50">
        <f t="shared" si="9"/>
        <v>0</v>
      </c>
      <c r="J92" s="39"/>
      <c r="K92" s="16">
        <f t="shared" si="10"/>
        <v>0</v>
      </c>
    </row>
    <row r="93" spans="1:11" ht="18" customHeight="1">
      <c r="A93" s="5" t="s">
        <v>122</v>
      </c>
      <c r="B93" s="341" t="s">
        <v>123</v>
      </c>
      <c r="F93" s="14">
        <v>31</v>
      </c>
      <c r="G93" s="14">
        <v>175</v>
      </c>
      <c r="H93" s="15">
        <v>125530</v>
      </c>
      <c r="I93" s="50">
        <f t="shared" si="9"/>
        <v>91560.326700000005</v>
      </c>
      <c r="J93" s="15">
        <v>0</v>
      </c>
      <c r="K93" s="16">
        <f t="shared" si="10"/>
        <v>217090.32670000001</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109.5</v>
      </c>
      <c r="G98" s="18">
        <f t="shared" si="11"/>
        <v>445</v>
      </c>
      <c r="H98" s="18">
        <f t="shared" si="11"/>
        <v>131111</v>
      </c>
      <c r="I98" s="18">
        <f t="shared" si="11"/>
        <v>95631.052290000007</v>
      </c>
      <c r="J98" s="18">
        <f t="shared" si="11"/>
        <v>0</v>
      </c>
      <c r="K98" s="18">
        <f t="shared" si="11"/>
        <v>226742.05228999999</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80</v>
      </c>
      <c r="G102" s="14">
        <v>0</v>
      </c>
      <c r="H102" s="15">
        <v>2529</v>
      </c>
      <c r="I102" s="50">
        <f>H102*F$114</f>
        <v>1844.6273099999999</v>
      </c>
      <c r="J102" s="15">
        <v>0</v>
      </c>
      <c r="K102" s="16">
        <f>(H102+I102)-J102</f>
        <v>4373.6273099999999</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80</v>
      </c>
      <c r="G108" s="18">
        <f t="shared" si="12"/>
        <v>0</v>
      </c>
      <c r="H108" s="16">
        <f t="shared" si="12"/>
        <v>2529</v>
      </c>
      <c r="I108" s="16">
        <f t="shared" si="12"/>
        <v>1844.6273099999999</v>
      </c>
      <c r="J108" s="16">
        <f t="shared" si="12"/>
        <v>0</v>
      </c>
      <c r="K108" s="16">
        <f t="shared" si="12"/>
        <v>4373.6273099999999</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f>3178460+35567+11733</f>
        <v>3225760</v>
      </c>
    </row>
    <row r="112" spans="1:11" ht="18" customHeight="1">
      <c r="B112" s="2"/>
      <c r="E112" s="2"/>
      <c r="F112" s="22"/>
    </row>
    <row r="113" spans="1:6" ht="18" customHeight="1">
      <c r="A113" s="6"/>
      <c r="B113" s="2" t="s">
        <v>15</v>
      </c>
    </row>
    <row r="114" spans="1:6" ht="18" customHeight="1">
      <c r="A114" s="5" t="s">
        <v>171</v>
      </c>
      <c r="B114" s="341" t="s">
        <v>35</v>
      </c>
      <c r="F114" s="25">
        <v>0.72938999999999998</v>
      </c>
    </row>
    <row r="115" spans="1:6" ht="18" customHeight="1">
      <c r="A115" s="5"/>
      <c r="B115" s="2"/>
    </row>
    <row r="116" spans="1:6" ht="18" customHeight="1">
      <c r="A116" s="5" t="s">
        <v>170</v>
      </c>
      <c r="B116" s="2" t="s">
        <v>16</v>
      </c>
    </row>
    <row r="117" spans="1:6" ht="18" customHeight="1">
      <c r="A117" s="5" t="s">
        <v>172</v>
      </c>
      <c r="B117" s="341" t="s">
        <v>17</v>
      </c>
      <c r="F117" s="15">
        <v>39588274</v>
      </c>
    </row>
    <row r="118" spans="1:6" ht="18" customHeight="1">
      <c r="A118" s="5" t="s">
        <v>173</v>
      </c>
      <c r="B118" t="s">
        <v>18</v>
      </c>
      <c r="F118" s="15">
        <v>2391243</v>
      </c>
    </row>
    <row r="119" spans="1:6" ht="18" customHeight="1">
      <c r="A119" s="5" t="s">
        <v>174</v>
      </c>
      <c r="B119" s="2" t="s">
        <v>19</v>
      </c>
      <c r="F119" s="17">
        <f>SUM(F117:F118)</f>
        <v>41979517</v>
      </c>
    </row>
    <row r="120" spans="1:6" ht="18" customHeight="1">
      <c r="A120" s="5"/>
      <c r="B120" s="2"/>
    </row>
    <row r="121" spans="1:6" ht="18" customHeight="1">
      <c r="A121" s="5" t="s">
        <v>167</v>
      </c>
      <c r="B121" s="2" t="s">
        <v>36</v>
      </c>
      <c r="F121" s="15">
        <v>38194377</v>
      </c>
    </row>
    <row r="122" spans="1:6" ht="18" customHeight="1">
      <c r="A122" s="5"/>
    </row>
    <row r="123" spans="1:6" ht="18" customHeight="1">
      <c r="A123" s="5" t="s">
        <v>175</v>
      </c>
      <c r="B123" s="2" t="s">
        <v>20</v>
      </c>
      <c r="F123" s="15">
        <v>3785140</v>
      </c>
    </row>
    <row r="124" spans="1:6" ht="18" customHeight="1">
      <c r="A124" s="5"/>
    </row>
    <row r="125" spans="1:6" ht="18" customHeight="1">
      <c r="A125" s="5" t="s">
        <v>176</v>
      </c>
      <c r="B125" s="2" t="s">
        <v>21</v>
      </c>
      <c r="F125" s="15">
        <f>538037+544809-205381</f>
        <v>877465</v>
      </c>
    </row>
    <row r="126" spans="1:6" ht="18" customHeight="1">
      <c r="A126" s="5"/>
    </row>
    <row r="127" spans="1:6" ht="18" customHeight="1">
      <c r="A127" s="5" t="s">
        <v>177</v>
      </c>
      <c r="B127" s="2" t="s">
        <v>22</v>
      </c>
      <c r="F127" s="15">
        <v>4662606</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2286.66</v>
      </c>
      <c r="G141" s="41">
        <f t="shared" si="14"/>
        <v>7538</v>
      </c>
      <c r="H141" s="41">
        <f t="shared" si="14"/>
        <v>102988</v>
      </c>
      <c r="I141" s="41">
        <f t="shared" si="14"/>
        <v>75118.417320000008</v>
      </c>
      <c r="J141" s="41">
        <f t="shared" si="14"/>
        <v>82109</v>
      </c>
      <c r="K141" s="41">
        <f t="shared" si="14"/>
        <v>95997.417319999993</v>
      </c>
    </row>
    <row r="142" spans="1:11" ht="18" customHeight="1">
      <c r="A142" s="5" t="s">
        <v>142</v>
      </c>
      <c r="B142" s="2" t="s">
        <v>65</v>
      </c>
      <c r="F142" s="41">
        <f t="shared" ref="F142:K142" si="15">F49</f>
        <v>830</v>
      </c>
      <c r="G142" s="41">
        <f t="shared" si="15"/>
        <v>7</v>
      </c>
      <c r="H142" s="41">
        <f t="shared" si="15"/>
        <v>51022</v>
      </c>
      <c r="I142" s="41">
        <f t="shared" si="15"/>
        <v>0</v>
      </c>
      <c r="J142" s="41">
        <f t="shared" si="15"/>
        <v>0</v>
      </c>
      <c r="K142" s="41">
        <f t="shared" si="15"/>
        <v>51022</v>
      </c>
    </row>
    <row r="143" spans="1:11" ht="18" customHeight="1">
      <c r="A143" s="5" t="s">
        <v>144</v>
      </c>
      <c r="B143" s="2" t="s">
        <v>66</v>
      </c>
      <c r="F143" s="41">
        <f t="shared" ref="F143:K143" si="16">F64</f>
        <v>0</v>
      </c>
      <c r="G143" s="41">
        <f t="shared" si="16"/>
        <v>0</v>
      </c>
      <c r="H143" s="41">
        <f t="shared" si="16"/>
        <v>0</v>
      </c>
      <c r="I143" s="41">
        <f t="shared" si="16"/>
        <v>0</v>
      </c>
      <c r="J143" s="41">
        <f t="shared" si="16"/>
        <v>0</v>
      </c>
      <c r="K143" s="41">
        <f t="shared" si="16"/>
        <v>0</v>
      </c>
    </row>
    <row r="144" spans="1:11" ht="18" customHeight="1">
      <c r="A144" s="5" t="s">
        <v>146</v>
      </c>
      <c r="B144" s="2" t="s">
        <v>67</v>
      </c>
      <c r="F144" s="41">
        <f t="shared" ref="F144:K144" si="17">F74</f>
        <v>0</v>
      </c>
      <c r="G144" s="41">
        <f t="shared" si="17"/>
        <v>0</v>
      </c>
      <c r="H144" s="41">
        <f t="shared" si="17"/>
        <v>0</v>
      </c>
      <c r="I144" s="41">
        <f t="shared" si="17"/>
        <v>0</v>
      </c>
      <c r="J144" s="41">
        <f t="shared" si="17"/>
        <v>0</v>
      </c>
      <c r="K144" s="41">
        <f t="shared" si="17"/>
        <v>0</v>
      </c>
    </row>
    <row r="145" spans="1:11" ht="18" customHeight="1">
      <c r="A145" s="5" t="s">
        <v>148</v>
      </c>
      <c r="B145" s="2" t="s">
        <v>68</v>
      </c>
      <c r="F145" s="41">
        <f t="shared" ref="F145:K145" si="18">F82</f>
        <v>130</v>
      </c>
      <c r="G145" s="41">
        <f t="shared" si="18"/>
        <v>118</v>
      </c>
      <c r="H145" s="41">
        <f t="shared" si="18"/>
        <v>4269</v>
      </c>
      <c r="I145" s="41">
        <f t="shared" si="18"/>
        <v>0</v>
      </c>
      <c r="J145" s="41">
        <f t="shared" si="18"/>
        <v>425</v>
      </c>
      <c r="K145" s="41">
        <f t="shared" si="18"/>
        <v>3844</v>
      </c>
    </row>
    <row r="146" spans="1:11" ht="18" customHeight="1">
      <c r="A146" s="5" t="s">
        <v>150</v>
      </c>
      <c r="B146" s="2" t="s">
        <v>69</v>
      </c>
      <c r="F146" s="41">
        <f t="shared" ref="F146:K146" si="19">F98</f>
        <v>109.5</v>
      </c>
      <c r="G146" s="41">
        <f t="shared" si="19"/>
        <v>445</v>
      </c>
      <c r="H146" s="41">
        <f t="shared" si="19"/>
        <v>131111</v>
      </c>
      <c r="I146" s="41">
        <f t="shared" si="19"/>
        <v>95631.052290000007</v>
      </c>
      <c r="J146" s="41">
        <f t="shared" si="19"/>
        <v>0</v>
      </c>
      <c r="K146" s="41">
        <f t="shared" si="19"/>
        <v>226742.05228999999</v>
      </c>
    </row>
    <row r="147" spans="1:11" ht="18" customHeight="1">
      <c r="A147" s="5" t="s">
        <v>153</v>
      </c>
      <c r="B147" s="2" t="s">
        <v>61</v>
      </c>
      <c r="F147" s="18">
        <f t="shared" ref="F147:K147" si="20">F108</f>
        <v>80</v>
      </c>
      <c r="G147" s="18">
        <f t="shared" si="20"/>
        <v>0</v>
      </c>
      <c r="H147" s="18">
        <f t="shared" si="20"/>
        <v>2529</v>
      </c>
      <c r="I147" s="18">
        <f t="shared" si="20"/>
        <v>1844.6273099999999</v>
      </c>
      <c r="J147" s="18">
        <f t="shared" si="20"/>
        <v>0</v>
      </c>
      <c r="K147" s="18">
        <f t="shared" si="20"/>
        <v>4373.6273099999999</v>
      </c>
    </row>
    <row r="148" spans="1:11" ht="18" customHeight="1">
      <c r="A148" s="5" t="s">
        <v>155</v>
      </c>
      <c r="B148" s="2" t="s">
        <v>70</v>
      </c>
      <c r="F148" s="42" t="s">
        <v>73</v>
      </c>
      <c r="G148" s="42" t="s">
        <v>73</v>
      </c>
      <c r="H148" s="43" t="s">
        <v>73</v>
      </c>
      <c r="I148" s="43" t="s">
        <v>73</v>
      </c>
      <c r="J148" s="43" t="s">
        <v>73</v>
      </c>
      <c r="K148" s="37">
        <f>F111</f>
        <v>3225760</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1079706</v>
      </c>
      <c r="I150" s="18">
        <f>I18</f>
        <v>0</v>
      </c>
      <c r="J150" s="18">
        <f>J18</f>
        <v>0</v>
      </c>
      <c r="K150" s="18">
        <f>K18</f>
        <v>1079706</v>
      </c>
    </row>
    <row r="151" spans="1:11" ht="18" customHeight="1">
      <c r="B151" s="2"/>
      <c r="F151" s="48"/>
      <c r="G151" s="48"/>
      <c r="H151" s="48"/>
      <c r="I151" s="48"/>
      <c r="J151" s="48"/>
      <c r="K151" s="48"/>
    </row>
    <row r="152" spans="1:11" ht="18" customHeight="1">
      <c r="A152" s="6" t="s">
        <v>165</v>
      </c>
      <c r="B152" s="2" t="s">
        <v>26</v>
      </c>
      <c r="F152" s="49">
        <f t="shared" ref="F152:K152" si="22">SUM(F141:F150)</f>
        <v>3436.16</v>
      </c>
      <c r="G152" s="49">
        <f t="shared" si="22"/>
        <v>8108</v>
      </c>
      <c r="H152" s="49">
        <f t="shared" si="22"/>
        <v>1371625</v>
      </c>
      <c r="I152" s="49">
        <f t="shared" si="22"/>
        <v>172594.09692000004</v>
      </c>
      <c r="J152" s="49">
        <f t="shared" si="22"/>
        <v>82534</v>
      </c>
      <c r="K152" s="49">
        <f t="shared" si="22"/>
        <v>4687445.0969200004</v>
      </c>
    </row>
    <row r="154" spans="1:11" ht="18" customHeight="1">
      <c r="A154" s="6" t="s">
        <v>168</v>
      </c>
      <c r="B154" s="2" t="s">
        <v>28</v>
      </c>
      <c r="F154" s="348">
        <f>K152/F121</f>
        <v>0.12272605197670852</v>
      </c>
    </row>
    <row r="155" spans="1:11" ht="18" customHeight="1">
      <c r="A155" s="6" t="s">
        <v>169</v>
      </c>
      <c r="B155" s="2" t="s">
        <v>72</v>
      </c>
      <c r="F155" s="348">
        <f>K152/F127</f>
        <v>1.0053272991370064</v>
      </c>
      <c r="G155" s="2"/>
    </row>
    <row r="156" spans="1:11" ht="18" customHeight="1">
      <c r="G156" s="2"/>
    </row>
  </sheetData>
  <sheetProtection password="EF72" sheet="1" objects="1" scenarios="1"/>
  <mergeCells count="34">
    <mergeCell ref="B106:D106"/>
    <mergeCell ref="B133:D133"/>
    <mergeCell ref="B134:D134"/>
    <mergeCell ref="B135:D135"/>
    <mergeCell ref="B94:D94"/>
    <mergeCell ref="B95:D95"/>
    <mergeCell ref="B96:D96"/>
    <mergeCell ref="B103:C103"/>
    <mergeCell ref="B104:D104"/>
    <mergeCell ref="B105:D105"/>
    <mergeCell ref="B90:C90"/>
    <mergeCell ref="B44:D44"/>
    <mergeCell ref="B45:D45"/>
    <mergeCell ref="B46:D46"/>
    <mergeCell ref="B47:D47"/>
    <mergeCell ref="B52:C52"/>
    <mergeCell ref="B53:D53"/>
    <mergeCell ref="B55:D55"/>
    <mergeCell ref="B56:D56"/>
    <mergeCell ref="B57:D57"/>
    <mergeCell ref="B59:D59"/>
    <mergeCell ref="B62:D62"/>
    <mergeCell ref="B41:C41"/>
    <mergeCell ref="D2:H2"/>
    <mergeCell ref="C5:G5"/>
    <mergeCell ref="C6:G6"/>
    <mergeCell ref="C7:G7"/>
    <mergeCell ref="C9:G9"/>
    <mergeCell ref="C10:G10"/>
    <mergeCell ref="C11:G11"/>
    <mergeCell ref="B13:H13"/>
    <mergeCell ref="B30:D30"/>
    <mergeCell ref="B31:D31"/>
    <mergeCell ref="B34:D34"/>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topLeftCell="A34" workbookViewId="0">
      <selection activeCell="K64" sqref="K64"/>
    </sheetView>
  </sheetViews>
  <sheetFormatPr defaultRowHeight="15"/>
  <cols>
    <col min="1" max="1" width="7.5703125" style="411" bestFit="1" customWidth="1"/>
    <col min="2" max="2" width="55.5703125" style="411" bestFit="1" customWidth="1"/>
    <col min="3" max="5" width="9.140625" style="411"/>
    <col min="6" max="7" width="17.5703125" style="411" bestFit="1" customWidth="1"/>
    <col min="8" max="8" width="14.7109375" style="411" bestFit="1" customWidth="1"/>
    <col min="9" max="9" width="16.7109375" style="411" bestFit="1" customWidth="1"/>
    <col min="10" max="10" width="23.42578125" style="411" bestFit="1" customWidth="1"/>
    <col min="11" max="11" width="24.7109375" style="411" bestFit="1" customWidth="1"/>
    <col min="12" max="16384" width="9.140625" style="411"/>
  </cols>
  <sheetData>
    <row r="1" spans="1:11">
      <c r="A1" s="410"/>
    </row>
    <row r="2" spans="1:11" ht="15.75">
      <c r="D2" s="733" t="s">
        <v>371</v>
      </c>
      <c r="E2" s="733"/>
      <c r="F2" s="733"/>
      <c r="G2" s="733"/>
      <c r="H2" s="733"/>
    </row>
    <row r="3" spans="1:11">
      <c r="B3" s="412" t="s">
        <v>0</v>
      </c>
    </row>
    <row r="5" spans="1:11">
      <c r="B5" s="413" t="s">
        <v>40</v>
      </c>
      <c r="C5" s="732" t="s">
        <v>655</v>
      </c>
      <c r="D5" s="732"/>
      <c r="E5" s="732"/>
      <c r="F5" s="732"/>
      <c r="G5" s="732"/>
    </row>
    <row r="6" spans="1:11">
      <c r="B6" s="413" t="s">
        <v>3</v>
      </c>
      <c r="C6" s="732">
        <v>18</v>
      </c>
      <c r="D6" s="732"/>
      <c r="E6" s="732"/>
      <c r="F6" s="732"/>
      <c r="G6" s="732"/>
    </row>
    <row r="7" spans="1:11">
      <c r="B7" s="413" t="s">
        <v>4</v>
      </c>
      <c r="C7" s="734">
        <v>1166</v>
      </c>
      <c r="D7" s="732"/>
      <c r="E7" s="732"/>
      <c r="F7" s="732"/>
      <c r="G7" s="732"/>
    </row>
    <row r="8" spans="1:11">
      <c r="B8" s="413"/>
    </row>
    <row r="9" spans="1:11">
      <c r="B9" s="413" t="s">
        <v>1</v>
      </c>
      <c r="C9" s="732" t="s">
        <v>645</v>
      </c>
      <c r="D9" s="732"/>
      <c r="E9" s="732"/>
      <c r="F9" s="732"/>
      <c r="G9" s="732"/>
    </row>
    <row r="10" spans="1:11">
      <c r="B10" s="413" t="s">
        <v>2</v>
      </c>
      <c r="C10" s="732" t="s">
        <v>656</v>
      </c>
      <c r="D10" s="732"/>
      <c r="E10" s="732"/>
      <c r="F10" s="732"/>
      <c r="G10" s="732"/>
    </row>
    <row r="11" spans="1:11">
      <c r="B11" s="413" t="s">
        <v>32</v>
      </c>
      <c r="C11" s="732" t="s">
        <v>657</v>
      </c>
      <c r="D11" s="732"/>
      <c r="E11" s="732"/>
      <c r="F11" s="732"/>
      <c r="G11" s="732"/>
    </row>
    <row r="16" spans="1:11">
      <c r="B16" s="412" t="s">
        <v>181</v>
      </c>
      <c r="F16" s="414" t="s">
        <v>9</v>
      </c>
      <c r="G16" s="414" t="s">
        <v>37</v>
      </c>
      <c r="H16" s="414" t="s">
        <v>29</v>
      </c>
      <c r="I16" s="414" t="s">
        <v>30</v>
      </c>
      <c r="J16" s="414" t="s">
        <v>33</v>
      </c>
      <c r="K16" s="414" t="s">
        <v>34</v>
      </c>
    </row>
    <row r="17" spans="1:11">
      <c r="A17" s="415" t="s">
        <v>184</v>
      </c>
      <c r="B17" s="414" t="s">
        <v>182</v>
      </c>
    </row>
    <row r="18" spans="1:11">
      <c r="A18" s="413" t="s">
        <v>408</v>
      </c>
      <c r="B18" s="413" t="s">
        <v>183</v>
      </c>
      <c r="F18" s="416" t="s">
        <v>73</v>
      </c>
      <c r="G18" s="416" t="s">
        <v>73</v>
      </c>
      <c r="H18" s="417">
        <v>4646955</v>
      </c>
      <c r="I18" s="417">
        <v>0</v>
      </c>
      <c r="J18" s="417">
        <v>3973728</v>
      </c>
      <c r="K18" s="417">
        <v>673227</v>
      </c>
    </row>
    <row r="19" spans="1:11">
      <c r="B19" s="412" t="s">
        <v>8</v>
      </c>
      <c r="F19" s="414" t="s">
        <v>9</v>
      </c>
      <c r="G19" s="414" t="s">
        <v>37</v>
      </c>
      <c r="H19" s="414" t="s">
        <v>29</v>
      </c>
      <c r="I19" s="414" t="s">
        <v>30</v>
      </c>
      <c r="J19" s="414" t="s">
        <v>33</v>
      </c>
      <c r="K19" s="414" t="s">
        <v>34</v>
      </c>
    </row>
    <row r="20" spans="1:11">
      <c r="A20" s="415" t="s">
        <v>409</v>
      </c>
      <c r="B20" s="414" t="s">
        <v>41</v>
      </c>
    </row>
    <row r="21" spans="1:11">
      <c r="A21" s="413" t="s">
        <v>410</v>
      </c>
      <c r="B21" s="413" t="s">
        <v>42</v>
      </c>
      <c r="F21" s="416">
        <v>1410</v>
      </c>
      <c r="G21" s="416">
        <v>2960</v>
      </c>
      <c r="H21" s="417">
        <v>109517</v>
      </c>
      <c r="I21" s="417">
        <v>66752</v>
      </c>
      <c r="J21" s="417">
        <v>18410</v>
      </c>
      <c r="K21" s="417">
        <v>157859</v>
      </c>
    </row>
    <row r="22" spans="1:11">
      <c r="A22" s="413" t="s">
        <v>411</v>
      </c>
      <c r="B22" s="413" t="s">
        <v>6</v>
      </c>
      <c r="F22" s="416">
        <v>34</v>
      </c>
      <c r="G22" s="416">
        <v>81</v>
      </c>
      <c r="H22" s="417">
        <v>4077</v>
      </c>
      <c r="I22" s="417">
        <v>260</v>
      </c>
      <c r="J22" s="417">
        <v>0</v>
      </c>
      <c r="K22" s="417">
        <v>4337</v>
      </c>
    </row>
    <row r="23" spans="1:11">
      <c r="A23" s="413" t="s">
        <v>412</v>
      </c>
      <c r="B23" s="413" t="s">
        <v>43</v>
      </c>
      <c r="F23" s="416">
        <v>0</v>
      </c>
      <c r="G23" s="416">
        <v>0</v>
      </c>
      <c r="H23" s="417">
        <v>0</v>
      </c>
      <c r="I23" s="417">
        <v>0</v>
      </c>
      <c r="J23" s="417">
        <v>0</v>
      </c>
      <c r="K23" s="417">
        <v>0</v>
      </c>
    </row>
    <row r="24" spans="1:11">
      <c r="A24" s="413" t="s">
        <v>413</v>
      </c>
      <c r="B24" s="413" t="s">
        <v>44</v>
      </c>
      <c r="F24" s="416">
        <v>0</v>
      </c>
      <c r="G24" s="416">
        <v>0</v>
      </c>
      <c r="H24" s="417">
        <v>0</v>
      </c>
      <c r="I24" s="417">
        <v>0</v>
      </c>
      <c r="J24" s="417">
        <v>0</v>
      </c>
      <c r="K24" s="417">
        <v>0</v>
      </c>
    </row>
    <row r="25" spans="1:11">
      <c r="A25" s="413" t="s">
        <v>414</v>
      </c>
      <c r="B25" s="413" t="s">
        <v>5</v>
      </c>
      <c r="F25" s="416">
        <v>1240</v>
      </c>
      <c r="G25" s="416">
        <v>242</v>
      </c>
      <c r="H25" s="417">
        <v>137316</v>
      </c>
      <c r="I25" s="417">
        <v>0</v>
      </c>
      <c r="J25" s="417">
        <v>0</v>
      </c>
      <c r="K25" s="417">
        <v>137316</v>
      </c>
    </row>
    <row r="26" spans="1:11">
      <c r="A26" s="413" t="s">
        <v>415</v>
      </c>
      <c r="B26" s="413" t="s">
        <v>45</v>
      </c>
      <c r="F26" s="416">
        <v>0</v>
      </c>
      <c r="G26" s="416">
        <v>0</v>
      </c>
      <c r="H26" s="417">
        <v>0</v>
      </c>
      <c r="I26" s="417">
        <v>0</v>
      </c>
      <c r="J26" s="417">
        <v>0</v>
      </c>
      <c r="K26" s="417">
        <v>0</v>
      </c>
    </row>
    <row r="27" spans="1:11">
      <c r="A27" s="413" t="s">
        <v>416</v>
      </c>
      <c r="B27" s="413" t="s">
        <v>46</v>
      </c>
      <c r="F27" s="416">
        <v>0</v>
      </c>
      <c r="G27" s="416">
        <v>0</v>
      </c>
      <c r="H27" s="417">
        <v>0</v>
      </c>
      <c r="I27" s="417">
        <v>0</v>
      </c>
      <c r="J27" s="417">
        <v>0</v>
      </c>
      <c r="K27" s="417">
        <v>0</v>
      </c>
    </row>
    <row r="28" spans="1:11">
      <c r="A28" s="413" t="s">
        <v>417</v>
      </c>
      <c r="B28" s="413" t="s">
        <v>47</v>
      </c>
      <c r="F28" s="416">
        <v>0</v>
      </c>
      <c r="G28" s="416">
        <v>0</v>
      </c>
      <c r="H28" s="417">
        <v>0</v>
      </c>
      <c r="I28" s="417">
        <v>0</v>
      </c>
      <c r="J28" s="417">
        <v>0</v>
      </c>
      <c r="K28" s="417">
        <v>0</v>
      </c>
    </row>
    <row r="29" spans="1:11">
      <c r="A29" s="413" t="s">
        <v>75</v>
      </c>
      <c r="B29" s="413" t="s">
        <v>48</v>
      </c>
      <c r="F29" s="416">
        <v>938</v>
      </c>
      <c r="G29" s="416">
        <v>5318</v>
      </c>
      <c r="H29" s="417">
        <v>742681</v>
      </c>
      <c r="I29" s="417">
        <v>437587</v>
      </c>
      <c r="J29" s="417">
        <v>420</v>
      </c>
      <c r="K29" s="417">
        <v>1179848</v>
      </c>
    </row>
    <row r="30" spans="1:11">
      <c r="A30" s="413"/>
      <c r="B30" s="413"/>
      <c r="F30" s="416"/>
      <c r="G30" s="416"/>
      <c r="H30" s="417"/>
      <c r="I30" s="417"/>
      <c r="J30" s="417"/>
      <c r="K30" s="417"/>
    </row>
    <row r="31" spans="1:11">
      <c r="A31" s="413"/>
      <c r="B31" s="413"/>
      <c r="F31" s="416"/>
      <c r="G31" s="416"/>
      <c r="H31" s="417"/>
      <c r="I31" s="417"/>
      <c r="J31" s="417"/>
      <c r="K31" s="417"/>
    </row>
    <row r="32" spans="1:11">
      <c r="A32" s="413"/>
      <c r="B32" s="413"/>
      <c r="F32" s="416"/>
      <c r="G32" s="416"/>
      <c r="H32" s="417"/>
      <c r="I32" s="417"/>
      <c r="J32" s="417"/>
      <c r="K32" s="417"/>
    </row>
    <row r="33" spans="1:11">
      <c r="A33" s="413"/>
      <c r="B33" s="413"/>
      <c r="F33" s="416"/>
      <c r="G33" s="416"/>
      <c r="H33" s="417"/>
      <c r="I33" s="417"/>
      <c r="J33" s="417"/>
      <c r="K33" s="417"/>
    </row>
    <row r="34" spans="1:11">
      <c r="A34" s="413"/>
      <c r="B34" s="413"/>
      <c r="F34" s="416"/>
      <c r="G34" s="416"/>
      <c r="H34" s="417"/>
      <c r="I34" s="417"/>
      <c r="J34" s="417"/>
      <c r="K34" s="417"/>
    </row>
    <row r="35" spans="1:11">
      <c r="A35" s="413"/>
      <c r="B35" s="413"/>
      <c r="F35" s="416"/>
      <c r="G35" s="416"/>
      <c r="H35" s="417"/>
      <c r="I35" s="417"/>
      <c r="J35" s="417"/>
      <c r="K35" s="417"/>
    </row>
    <row r="36" spans="1:11">
      <c r="A36" s="415" t="s">
        <v>420</v>
      </c>
      <c r="B36" s="413" t="s">
        <v>138</v>
      </c>
      <c r="F36" s="416">
        <v>3622</v>
      </c>
      <c r="G36" s="416">
        <v>8601</v>
      </c>
      <c r="H36" s="417">
        <v>993591</v>
      </c>
      <c r="I36" s="417">
        <v>504599</v>
      </c>
      <c r="J36" s="417">
        <v>18830</v>
      </c>
      <c r="K36" s="417">
        <v>1479360</v>
      </c>
    </row>
    <row r="39" spans="1:11">
      <c r="A39" s="415" t="s">
        <v>86</v>
      </c>
      <c r="B39" s="414" t="s">
        <v>49</v>
      </c>
    </row>
    <row r="40" spans="1:11">
      <c r="A40" s="413" t="s">
        <v>421</v>
      </c>
      <c r="B40" s="413" t="s">
        <v>31</v>
      </c>
      <c r="F40" s="416">
        <v>336</v>
      </c>
      <c r="G40" s="416">
        <v>1755</v>
      </c>
      <c r="H40" s="417">
        <v>19595</v>
      </c>
      <c r="I40" s="417">
        <v>13854</v>
      </c>
      <c r="J40" s="417">
        <v>0</v>
      </c>
      <c r="K40" s="417">
        <v>33449</v>
      </c>
    </row>
    <row r="41" spans="1:11">
      <c r="A41" s="413" t="s">
        <v>422</v>
      </c>
      <c r="B41" s="413" t="s">
        <v>50</v>
      </c>
      <c r="F41" s="416">
        <v>100.5</v>
      </c>
      <c r="G41" s="416">
        <v>0</v>
      </c>
      <c r="H41" s="417">
        <v>6954</v>
      </c>
      <c r="I41" s="417">
        <v>4916</v>
      </c>
      <c r="J41" s="417">
        <v>0</v>
      </c>
      <c r="K41" s="417">
        <v>11870</v>
      </c>
    </row>
    <row r="42" spans="1:11">
      <c r="A42" s="413" t="s">
        <v>423</v>
      </c>
      <c r="B42" s="413" t="s">
        <v>11</v>
      </c>
      <c r="F42" s="416">
        <v>320</v>
      </c>
      <c r="G42" s="416">
        <v>4</v>
      </c>
      <c r="H42" s="417">
        <v>11950</v>
      </c>
      <c r="I42" s="417">
        <v>8449</v>
      </c>
      <c r="J42" s="417">
        <v>0</v>
      </c>
      <c r="K42" s="417">
        <v>20399</v>
      </c>
    </row>
    <row r="43" spans="1:11">
      <c r="A43" s="413" t="s">
        <v>424</v>
      </c>
      <c r="B43" s="413" t="s">
        <v>10</v>
      </c>
      <c r="F43" s="416">
        <v>0</v>
      </c>
      <c r="G43" s="416">
        <v>0</v>
      </c>
      <c r="H43" s="417">
        <v>0</v>
      </c>
      <c r="I43" s="417">
        <v>0</v>
      </c>
      <c r="J43" s="417">
        <v>0</v>
      </c>
      <c r="K43" s="417">
        <v>0</v>
      </c>
    </row>
    <row r="44" spans="1:11">
      <c r="A44" s="413"/>
      <c r="B44" s="413"/>
      <c r="F44" s="416"/>
      <c r="G44" s="416"/>
      <c r="H44" s="417"/>
      <c r="I44" s="417"/>
      <c r="J44" s="417"/>
      <c r="K44" s="417"/>
    </row>
    <row r="45" spans="1:11">
      <c r="A45" s="413"/>
      <c r="B45" s="413"/>
      <c r="F45" s="416"/>
      <c r="G45" s="416"/>
      <c r="H45" s="417"/>
      <c r="I45" s="417"/>
      <c r="J45" s="417"/>
      <c r="K45" s="417"/>
    </row>
    <row r="46" spans="1:11">
      <c r="A46" s="413"/>
      <c r="B46" s="413"/>
      <c r="F46" s="416"/>
      <c r="G46" s="416"/>
      <c r="H46" s="417"/>
      <c r="I46" s="417"/>
      <c r="J46" s="417"/>
      <c r="K46" s="417"/>
    </row>
    <row r="47" spans="1:11">
      <c r="A47" s="413"/>
      <c r="B47" s="413"/>
      <c r="F47" s="416"/>
      <c r="G47" s="416"/>
      <c r="H47" s="417"/>
      <c r="I47" s="417"/>
      <c r="J47" s="417"/>
      <c r="K47" s="417"/>
    </row>
    <row r="48" spans="1:11">
      <c r="A48" s="413"/>
      <c r="B48" s="413"/>
      <c r="F48" s="416"/>
      <c r="G48" s="416"/>
      <c r="H48" s="417"/>
      <c r="I48" s="417"/>
      <c r="J48" s="417"/>
      <c r="K48" s="417"/>
    </row>
    <row r="49" spans="1:11">
      <c r="A49" s="415" t="s">
        <v>425</v>
      </c>
      <c r="B49" s="413" t="s">
        <v>143</v>
      </c>
      <c r="F49" s="416">
        <v>756.5</v>
      </c>
      <c r="G49" s="416">
        <v>1759</v>
      </c>
      <c r="H49" s="417">
        <v>38499</v>
      </c>
      <c r="I49" s="417">
        <v>27219</v>
      </c>
      <c r="J49" s="417">
        <v>0</v>
      </c>
      <c r="K49" s="417">
        <v>65718</v>
      </c>
    </row>
    <row r="52" spans="1:11">
      <c r="A52" s="415" t="s">
        <v>92</v>
      </c>
      <c r="B52" s="414" t="s">
        <v>38</v>
      </c>
    </row>
    <row r="53" spans="1:11">
      <c r="A53" s="413" t="s">
        <v>426</v>
      </c>
      <c r="B53" s="413" t="s">
        <v>634</v>
      </c>
      <c r="F53" s="416">
        <v>0</v>
      </c>
      <c r="G53" s="416">
        <v>0</v>
      </c>
      <c r="H53" s="417">
        <v>1034851</v>
      </c>
      <c r="I53" s="417">
        <v>0</v>
      </c>
      <c r="J53" s="417">
        <v>0</v>
      </c>
      <c r="K53" s="417">
        <v>1034851</v>
      </c>
    </row>
    <row r="54" spans="1:11">
      <c r="A54" s="413" t="s">
        <v>635</v>
      </c>
      <c r="B54" s="413" t="s">
        <v>658</v>
      </c>
      <c r="F54" s="416">
        <v>0</v>
      </c>
      <c r="G54" s="416">
        <v>0</v>
      </c>
      <c r="H54" s="417">
        <v>840445</v>
      </c>
      <c r="I54" s="417">
        <v>0</v>
      </c>
      <c r="J54" s="417">
        <v>0</v>
      </c>
      <c r="K54" s="417">
        <v>840445</v>
      </c>
    </row>
    <row r="55" spans="1:11">
      <c r="A55" s="413" t="s">
        <v>636</v>
      </c>
      <c r="B55" s="413" t="s">
        <v>641</v>
      </c>
      <c r="F55" s="416">
        <v>0</v>
      </c>
      <c r="G55" s="416">
        <v>0</v>
      </c>
      <c r="H55" s="417">
        <v>396051</v>
      </c>
      <c r="I55" s="417">
        <v>0</v>
      </c>
      <c r="J55" s="417">
        <v>0</v>
      </c>
      <c r="K55" s="417">
        <v>396051</v>
      </c>
    </row>
    <row r="56" spans="1:11">
      <c r="A56" s="413" t="s">
        <v>638</v>
      </c>
      <c r="B56" s="413"/>
      <c r="F56" s="416">
        <v>0</v>
      </c>
      <c r="G56" s="416">
        <v>0</v>
      </c>
      <c r="H56" s="417">
        <v>0</v>
      </c>
      <c r="I56" s="417">
        <v>0</v>
      </c>
      <c r="J56" s="417">
        <v>0</v>
      </c>
      <c r="K56" s="417">
        <v>0</v>
      </c>
    </row>
    <row r="57" spans="1:11">
      <c r="A57" s="413"/>
      <c r="B57" s="413"/>
      <c r="F57" s="416"/>
      <c r="G57" s="416"/>
      <c r="H57" s="417"/>
      <c r="I57" s="417"/>
      <c r="J57" s="417"/>
      <c r="K57" s="417"/>
    </row>
    <row r="58" spans="1:11">
      <c r="A58" s="413"/>
      <c r="B58" s="413"/>
      <c r="F58" s="416"/>
      <c r="G58" s="416"/>
      <c r="H58" s="417"/>
      <c r="I58" s="417"/>
      <c r="J58" s="417"/>
      <c r="K58" s="417"/>
    </row>
    <row r="59" spans="1:11">
      <c r="A59" s="413"/>
      <c r="B59" s="413"/>
      <c r="F59" s="416"/>
      <c r="G59" s="416"/>
      <c r="H59" s="417"/>
      <c r="I59" s="417"/>
      <c r="J59" s="417"/>
      <c r="K59" s="417"/>
    </row>
    <row r="60" spans="1:11">
      <c r="A60" s="413"/>
      <c r="B60" s="413"/>
      <c r="F60" s="416"/>
      <c r="G60" s="416"/>
      <c r="H60" s="417"/>
      <c r="I60" s="417"/>
      <c r="J60" s="417"/>
      <c r="K60" s="417"/>
    </row>
    <row r="61" spans="1:11">
      <c r="A61" s="413"/>
      <c r="B61" s="413"/>
      <c r="F61" s="416"/>
      <c r="G61" s="416"/>
      <c r="H61" s="417"/>
      <c r="I61" s="417"/>
      <c r="J61" s="417"/>
      <c r="K61" s="417"/>
    </row>
    <row r="62" spans="1:11">
      <c r="A62" s="413"/>
      <c r="B62" s="413"/>
      <c r="F62" s="416"/>
      <c r="G62" s="416"/>
      <c r="H62" s="417"/>
      <c r="I62" s="417"/>
      <c r="J62" s="417"/>
      <c r="K62" s="417"/>
    </row>
    <row r="63" spans="1:11">
      <c r="A63" s="413"/>
      <c r="B63" s="413"/>
      <c r="F63" s="416"/>
      <c r="G63" s="416"/>
      <c r="H63" s="417"/>
      <c r="I63" s="417"/>
      <c r="J63" s="417"/>
      <c r="K63" s="417"/>
    </row>
    <row r="64" spans="1:11">
      <c r="A64" s="415" t="s">
        <v>428</v>
      </c>
      <c r="B64" s="413" t="s">
        <v>145</v>
      </c>
      <c r="F64" s="416">
        <v>0</v>
      </c>
      <c r="G64" s="416">
        <v>0</v>
      </c>
      <c r="H64" s="417">
        <f>SUM(H53:H62)</f>
        <v>2271347</v>
      </c>
      <c r="I64" s="417">
        <f t="shared" ref="I64:K64" si="0">SUM(I53:I62)</f>
        <v>0</v>
      </c>
      <c r="J64" s="417">
        <f t="shared" si="0"/>
        <v>0</v>
      </c>
      <c r="K64" s="417">
        <f t="shared" si="0"/>
        <v>2271347</v>
      </c>
    </row>
    <row r="67" spans="1:11">
      <c r="A67" s="415" t="s">
        <v>102</v>
      </c>
      <c r="B67" s="414" t="s">
        <v>12</v>
      </c>
    </row>
    <row r="68" spans="1:11">
      <c r="A68" s="413" t="s">
        <v>429</v>
      </c>
      <c r="B68" s="413" t="s">
        <v>52</v>
      </c>
      <c r="F68" s="416">
        <v>0</v>
      </c>
      <c r="G68" s="416">
        <v>0</v>
      </c>
      <c r="H68" s="417">
        <v>0</v>
      </c>
      <c r="I68" s="417">
        <v>0</v>
      </c>
      <c r="J68" s="417">
        <v>0</v>
      </c>
      <c r="K68" s="417">
        <v>0</v>
      </c>
    </row>
    <row r="69" spans="1:11">
      <c r="A69" s="413" t="s">
        <v>430</v>
      </c>
      <c r="B69" s="413" t="s">
        <v>53</v>
      </c>
      <c r="F69" s="416">
        <v>40</v>
      </c>
      <c r="G69" s="416">
        <v>0</v>
      </c>
      <c r="H69" s="417">
        <v>2169</v>
      </c>
      <c r="I69" s="417">
        <v>0</v>
      </c>
      <c r="J69" s="417">
        <v>0</v>
      </c>
      <c r="K69" s="417">
        <v>2169</v>
      </c>
    </row>
    <row r="70" spans="1:11">
      <c r="A70" s="413" t="s">
        <v>653</v>
      </c>
      <c r="B70" s="413" t="s">
        <v>659</v>
      </c>
      <c r="F70" s="416">
        <v>2080</v>
      </c>
      <c r="G70" s="416">
        <v>0</v>
      </c>
      <c r="H70" s="417">
        <v>119977</v>
      </c>
      <c r="I70" s="417">
        <v>84824</v>
      </c>
      <c r="J70" s="417">
        <v>0</v>
      </c>
      <c r="K70" s="417">
        <v>204801</v>
      </c>
    </row>
    <row r="71" spans="1:11">
      <c r="A71" s="413"/>
      <c r="B71" s="413"/>
      <c r="F71" s="416"/>
      <c r="G71" s="416"/>
      <c r="H71" s="417"/>
      <c r="I71" s="417"/>
      <c r="J71" s="417"/>
      <c r="K71" s="417"/>
    </row>
    <row r="72" spans="1:11">
      <c r="A72" s="413"/>
      <c r="B72" s="413"/>
      <c r="F72" s="416"/>
      <c r="G72" s="416"/>
      <c r="H72" s="417"/>
      <c r="I72" s="417"/>
      <c r="J72" s="417"/>
      <c r="K72" s="417"/>
    </row>
    <row r="73" spans="1:11">
      <c r="A73" s="413"/>
      <c r="B73" s="413"/>
      <c r="F73" s="416"/>
      <c r="G73" s="416"/>
      <c r="H73" s="417"/>
      <c r="I73" s="417"/>
      <c r="J73" s="417"/>
      <c r="K73" s="417"/>
    </row>
    <row r="74" spans="1:11">
      <c r="A74" s="415" t="s">
        <v>431</v>
      </c>
      <c r="B74" s="413" t="s">
        <v>147</v>
      </c>
      <c r="F74" s="416">
        <v>2120</v>
      </c>
      <c r="G74" s="416">
        <v>0</v>
      </c>
      <c r="H74" s="417">
        <v>122146</v>
      </c>
      <c r="I74" s="417">
        <v>84824</v>
      </c>
      <c r="J74" s="417">
        <v>0</v>
      </c>
      <c r="K74" s="417">
        <v>206970</v>
      </c>
    </row>
    <row r="76" spans="1:11">
      <c r="A76" s="415" t="s">
        <v>105</v>
      </c>
      <c r="B76" s="414" t="s">
        <v>106</v>
      </c>
    </row>
    <row r="77" spans="1:11">
      <c r="A77" s="413" t="s">
        <v>432</v>
      </c>
      <c r="B77" s="413" t="s">
        <v>54</v>
      </c>
      <c r="F77" s="416">
        <v>0</v>
      </c>
      <c r="G77" s="416">
        <v>0</v>
      </c>
      <c r="H77" s="417">
        <v>94972</v>
      </c>
      <c r="I77" s="417">
        <v>170</v>
      </c>
      <c r="J77" s="417">
        <v>0</v>
      </c>
      <c r="K77" s="417">
        <v>95142</v>
      </c>
    </row>
    <row r="78" spans="1:11">
      <c r="A78" s="413" t="s">
        <v>433</v>
      </c>
      <c r="B78" s="413" t="s">
        <v>55</v>
      </c>
      <c r="F78" s="416">
        <v>0</v>
      </c>
      <c r="G78" s="416">
        <v>0</v>
      </c>
      <c r="H78" s="417">
        <v>0</v>
      </c>
      <c r="I78" s="417">
        <v>0</v>
      </c>
      <c r="J78" s="417">
        <v>0</v>
      </c>
      <c r="K78" s="417">
        <v>0</v>
      </c>
    </row>
    <row r="79" spans="1:11">
      <c r="A79" s="413" t="s">
        <v>434</v>
      </c>
      <c r="B79" s="413" t="s">
        <v>13</v>
      </c>
      <c r="F79" s="416">
        <v>132</v>
      </c>
      <c r="G79" s="416">
        <v>440</v>
      </c>
      <c r="H79" s="417">
        <v>7084</v>
      </c>
      <c r="I79" s="417">
        <v>3577</v>
      </c>
      <c r="J79" s="417">
        <v>0</v>
      </c>
      <c r="K79" s="417">
        <v>10661</v>
      </c>
    </row>
    <row r="80" spans="1:11">
      <c r="A80" s="413" t="s">
        <v>435</v>
      </c>
      <c r="B80" s="413" t="s">
        <v>436</v>
      </c>
      <c r="F80" s="416">
        <v>0</v>
      </c>
      <c r="G80" s="416">
        <v>0</v>
      </c>
      <c r="H80" s="417">
        <v>0</v>
      </c>
      <c r="I80" s="417">
        <v>0</v>
      </c>
      <c r="J80" s="417">
        <v>0</v>
      </c>
      <c r="K80" s="417">
        <v>0</v>
      </c>
    </row>
    <row r="81" spans="1:11">
      <c r="A81" s="413"/>
      <c r="B81" s="413"/>
      <c r="F81" s="416"/>
      <c r="G81" s="416"/>
      <c r="H81" s="417"/>
      <c r="I81" s="417"/>
      <c r="J81" s="417"/>
      <c r="K81" s="417"/>
    </row>
    <row r="82" spans="1:11">
      <c r="A82" s="415" t="s">
        <v>437</v>
      </c>
      <c r="B82" s="413" t="s">
        <v>54</v>
      </c>
      <c r="F82" s="416">
        <v>132</v>
      </c>
      <c r="G82" s="416">
        <v>440</v>
      </c>
      <c r="H82" s="417">
        <v>102056</v>
      </c>
      <c r="I82" s="417">
        <v>3747</v>
      </c>
      <c r="J82" s="417">
        <v>0</v>
      </c>
      <c r="K82" s="417">
        <v>105803</v>
      </c>
    </row>
    <row r="85" spans="1:11">
      <c r="A85" s="415" t="s">
        <v>111</v>
      </c>
      <c r="B85" s="414" t="s">
        <v>57</v>
      </c>
    </row>
    <row r="86" spans="1:11">
      <c r="A86" s="413" t="s">
        <v>438</v>
      </c>
      <c r="B86" s="413" t="s">
        <v>113</v>
      </c>
      <c r="F86" s="416">
        <v>0</v>
      </c>
      <c r="G86" s="416">
        <v>0</v>
      </c>
      <c r="H86" s="417">
        <v>0</v>
      </c>
      <c r="I86" s="417">
        <v>0</v>
      </c>
      <c r="J86" s="417">
        <v>0</v>
      </c>
      <c r="K86" s="417">
        <v>0</v>
      </c>
    </row>
    <row r="87" spans="1:11">
      <c r="A87" s="413" t="s">
        <v>439</v>
      </c>
      <c r="B87" s="413" t="s">
        <v>14</v>
      </c>
      <c r="F87" s="416">
        <v>0</v>
      </c>
      <c r="G87" s="416">
        <v>0</v>
      </c>
      <c r="H87" s="417">
        <v>0</v>
      </c>
      <c r="I87" s="417">
        <v>0</v>
      </c>
      <c r="J87" s="417">
        <v>0</v>
      </c>
      <c r="K87" s="417">
        <v>0</v>
      </c>
    </row>
    <row r="88" spans="1:11">
      <c r="A88" s="413" t="s">
        <v>440</v>
      </c>
      <c r="B88" s="413" t="s">
        <v>116</v>
      </c>
      <c r="F88" s="416">
        <v>1038</v>
      </c>
      <c r="G88" s="416">
        <v>0</v>
      </c>
      <c r="H88" s="417">
        <v>48037</v>
      </c>
      <c r="I88" s="417">
        <v>32971</v>
      </c>
      <c r="J88" s="417">
        <v>0</v>
      </c>
      <c r="K88" s="417">
        <v>81008</v>
      </c>
    </row>
    <row r="89" spans="1:11">
      <c r="A89" s="413" t="s">
        <v>441</v>
      </c>
      <c r="B89" s="413" t="s">
        <v>58</v>
      </c>
      <c r="F89" s="416">
        <v>0</v>
      </c>
      <c r="G89" s="416">
        <v>0</v>
      </c>
      <c r="H89" s="417">
        <v>0</v>
      </c>
      <c r="I89" s="417">
        <v>0</v>
      </c>
      <c r="J89" s="417">
        <v>0</v>
      </c>
      <c r="K89" s="417">
        <v>0</v>
      </c>
    </row>
    <row r="90" spans="1:11">
      <c r="A90" s="413" t="s">
        <v>442</v>
      </c>
      <c r="B90" s="413" t="s">
        <v>59</v>
      </c>
      <c r="F90" s="416">
        <v>0</v>
      </c>
      <c r="G90" s="416">
        <v>0</v>
      </c>
      <c r="H90" s="417">
        <v>0</v>
      </c>
      <c r="I90" s="417">
        <v>0</v>
      </c>
      <c r="J90" s="417">
        <v>0</v>
      </c>
      <c r="K90" s="417">
        <v>0</v>
      </c>
    </row>
    <row r="91" spans="1:11">
      <c r="A91" s="413" t="s">
        <v>443</v>
      </c>
      <c r="B91" s="413" t="s">
        <v>60</v>
      </c>
      <c r="F91" s="416">
        <v>67.5</v>
      </c>
      <c r="G91" s="416">
        <v>10</v>
      </c>
      <c r="H91" s="417">
        <v>2487</v>
      </c>
      <c r="I91" s="417">
        <v>0</v>
      </c>
      <c r="J91" s="417">
        <v>0</v>
      </c>
      <c r="K91" s="417">
        <v>2487</v>
      </c>
    </row>
    <row r="92" spans="1:11">
      <c r="A92" s="413" t="s">
        <v>444</v>
      </c>
      <c r="B92" s="413" t="s">
        <v>121</v>
      </c>
      <c r="F92" s="416">
        <v>0</v>
      </c>
      <c r="G92" s="416">
        <v>0</v>
      </c>
      <c r="H92" s="417">
        <v>26385</v>
      </c>
      <c r="I92" s="417">
        <v>0</v>
      </c>
      <c r="J92" s="417">
        <v>0</v>
      </c>
      <c r="K92" s="417">
        <v>26385</v>
      </c>
    </row>
    <row r="93" spans="1:11">
      <c r="A93" s="413" t="s">
        <v>445</v>
      </c>
      <c r="B93" s="413" t="s">
        <v>123</v>
      </c>
      <c r="F93" s="416">
        <v>8</v>
      </c>
      <c r="G93" s="416">
        <v>0</v>
      </c>
      <c r="H93" s="417">
        <v>294</v>
      </c>
      <c r="I93" s="417">
        <v>208</v>
      </c>
      <c r="J93" s="417">
        <v>0</v>
      </c>
      <c r="K93" s="417">
        <v>502</v>
      </c>
    </row>
    <row r="94" spans="1:11">
      <c r="A94" s="413"/>
      <c r="B94" s="413"/>
      <c r="F94" s="416"/>
      <c r="G94" s="416"/>
      <c r="H94" s="417"/>
      <c r="I94" s="417"/>
      <c r="J94" s="417"/>
      <c r="K94" s="417"/>
    </row>
    <row r="95" spans="1:11">
      <c r="A95" s="413"/>
      <c r="B95" s="413"/>
      <c r="F95" s="416"/>
      <c r="G95" s="416"/>
      <c r="H95" s="417"/>
      <c r="I95" s="417"/>
      <c r="J95" s="417"/>
      <c r="K95" s="417"/>
    </row>
    <row r="96" spans="1:11">
      <c r="A96" s="413"/>
      <c r="B96" s="413"/>
      <c r="F96" s="416"/>
      <c r="G96" s="416"/>
      <c r="H96" s="417"/>
      <c r="I96" s="417"/>
      <c r="J96" s="417"/>
      <c r="K96" s="417"/>
    </row>
    <row r="97" spans="1:11">
      <c r="A97" s="413"/>
      <c r="B97" s="413"/>
      <c r="F97" s="416"/>
      <c r="G97" s="416"/>
      <c r="H97" s="417"/>
      <c r="I97" s="417"/>
      <c r="J97" s="417"/>
      <c r="K97" s="417"/>
    </row>
    <row r="98" spans="1:11">
      <c r="A98" s="415" t="s">
        <v>446</v>
      </c>
      <c r="B98" s="413" t="s">
        <v>151</v>
      </c>
      <c r="F98" s="416">
        <v>1113.5</v>
      </c>
      <c r="G98" s="416">
        <v>10</v>
      </c>
      <c r="H98" s="417">
        <v>77203</v>
      </c>
      <c r="I98" s="417">
        <v>33179</v>
      </c>
      <c r="J98" s="417">
        <v>0</v>
      </c>
      <c r="K98" s="417">
        <v>110382</v>
      </c>
    </row>
    <row r="101" spans="1:11">
      <c r="A101" s="415" t="s">
        <v>130</v>
      </c>
      <c r="B101" s="414" t="s">
        <v>63</v>
      </c>
    </row>
    <row r="102" spans="1:11">
      <c r="A102" s="413" t="s">
        <v>447</v>
      </c>
      <c r="B102" s="413" t="s">
        <v>152</v>
      </c>
      <c r="F102" s="416">
        <v>0</v>
      </c>
      <c r="G102" s="416">
        <v>0</v>
      </c>
      <c r="H102" s="417">
        <v>30034</v>
      </c>
      <c r="I102" s="417">
        <v>21234</v>
      </c>
      <c r="J102" s="417">
        <v>0</v>
      </c>
      <c r="K102" s="417">
        <v>51268</v>
      </c>
    </row>
    <row r="103" spans="1:11">
      <c r="A103" s="413" t="s">
        <v>448</v>
      </c>
      <c r="B103" s="413" t="s">
        <v>62</v>
      </c>
      <c r="F103" s="416">
        <v>0</v>
      </c>
      <c r="G103" s="416">
        <v>0</v>
      </c>
      <c r="H103" s="417">
        <v>25000</v>
      </c>
      <c r="I103" s="417">
        <v>0</v>
      </c>
      <c r="J103" s="417">
        <v>0</v>
      </c>
      <c r="K103" s="417">
        <v>25000</v>
      </c>
    </row>
    <row r="104" spans="1:11">
      <c r="A104" s="413" t="s">
        <v>642</v>
      </c>
      <c r="B104" s="413" t="s">
        <v>643</v>
      </c>
      <c r="F104" s="416">
        <v>0</v>
      </c>
      <c r="G104" s="416">
        <v>0</v>
      </c>
      <c r="H104" s="417">
        <v>37837</v>
      </c>
      <c r="I104" s="417">
        <v>0</v>
      </c>
      <c r="J104" s="417">
        <v>0</v>
      </c>
      <c r="K104" s="417">
        <v>37837</v>
      </c>
    </row>
    <row r="105" spans="1:11">
      <c r="A105" s="413"/>
      <c r="B105" s="413"/>
      <c r="F105" s="416"/>
      <c r="G105" s="416"/>
      <c r="H105" s="417"/>
      <c r="I105" s="417"/>
      <c r="J105" s="417"/>
      <c r="K105" s="417"/>
    </row>
    <row r="106" spans="1:11">
      <c r="A106" s="413"/>
      <c r="B106" s="413"/>
      <c r="F106" s="416"/>
      <c r="G106" s="416"/>
      <c r="H106" s="417"/>
      <c r="I106" s="417"/>
      <c r="J106" s="417"/>
      <c r="K106" s="417"/>
    </row>
    <row r="107" spans="1:11">
      <c r="A107" s="413"/>
      <c r="B107" s="413"/>
      <c r="F107" s="416"/>
      <c r="G107" s="416"/>
      <c r="H107" s="417"/>
      <c r="I107" s="417"/>
      <c r="J107" s="417"/>
      <c r="K107" s="417"/>
    </row>
    <row r="108" spans="1:11">
      <c r="A108" s="415" t="s">
        <v>449</v>
      </c>
      <c r="B108" s="413" t="s">
        <v>154</v>
      </c>
      <c r="F108" s="416">
        <v>0</v>
      </c>
      <c r="G108" s="416">
        <v>0</v>
      </c>
      <c r="H108" s="417">
        <v>92871</v>
      </c>
      <c r="I108" s="417">
        <v>21234</v>
      </c>
      <c r="J108" s="417">
        <v>0</v>
      </c>
      <c r="K108" s="417">
        <v>114105</v>
      </c>
    </row>
    <row r="110" spans="1:11">
      <c r="A110" s="414" t="s">
        <v>156</v>
      </c>
      <c r="B110" s="414" t="s">
        <v>39</v>
      </c>
    </row>
    <row r="111" spans="1:11">
      <c r="A111" s="413" t="s">
        <v>450</v>
      </c>
      <c r="B111" s="411" t="s">
        <v>164</v>
      </c>
      <c r="F111" s="417">
        <v>4722141</v>
      </c>
    </row>
    <row r="113" spans="1:6">
      <c r="A113" s="414"/>
      <c r="B113" s="414" t="s">
        <v>15</v>
      </c>
    </row>
    <row r="114" spans="1:6">
      <c r="A114" s="413" t="s">
        <v>451</v>
      </c>
      <c r="B114" s="411" t="s">
        <v>452</v>
      </c>
      <c r="F114" s="418">
        <v>0.7</v>
      </c>
    </row>
    <row r="116" spans="1:6">
      <c r="A116" s="414" t="s">
        <v>170</v>
      </c>
      <c r="B116" s="414" t="s">
        <v>16</v>
      </c>
    </row>
    <row r="117" spans="1:6">
      <c r="A117" s="413" t="s">
        <v>453</v>
      </c>
      <c r="B117" s="411" t="s">
        <v>17</v>
      </c>
      <c r="F117" s="417">
        <v>145636603</v>
      </c>
    </row>
    <row r="118" spans="1:6">
      <c r="A118" s="413" t="s">
        <v>454</v>
      </c>
      <c r="B118" s="411" t="s">
        <v>18</v>
      </c>
      <c r="F118" s="417">
        <v>3079505</v>
      </c>
    </row>
    <row r="119" spans="1:6">
      <c r="A119" s="413" t="s">
        <v>455</v>
      </c>
      <c r="B119" s="414" t="s">
        <v>19</v>
      </c>
      <c r="F119" s="416">
        <v>148716108</v>
      </c>
    </row>
    <row r="121" spans="1:6">
      <c r="A121" s="413" t="s">
        <v>456</v>
      </c>
      <c r="B121" s="411" t="s">
        <v>282</v>
      </c>
      <c r="F121" s="417">
        <v>141655632</v>
      </c>
    </row>
    <row r="123" spans="1:6">
      <c r="A123" s="413" t="s">
        <v>457</v>
      </c>
      <c r="B123" s="411" t="s">
        <v>458</v>
      </c>
      <c r="F123" s="417">
        <v>7060476</v>
      </c>
    </row>
    <row r="125" spans="1:6">
      <c r="A125" s="413" t="s">
        <v>459</v>
      </c>
      <c r="B125" s="411" t="s">
        <v>460</v>
      </c>
      <c r="F125" s="417">
        <v>15370</v>
      </c>
    </row>
    <row r="127" spans="1:6">
      <c r="A127" s="413" t="s">
        <v>461</v>
      </c>
      <c r="B127" s="411" t="s">
        <v>462</v>
      </c>
      <c r="F127" s="417">
        <v>7075846</v>
      </c>
    </row>
    <row r="130" spans="1:11">
      <c r="A130" s="415" t="s">
        <v>157</v>
      </c>
      <c r="B130" s="414" t="s">
        <v>23</v>
      </c>
    </row>
    <row r="131" spans="1:11">
      <c r="A131" s="413" t="s">
        <v>463</v>
      </c>
      <c r="B131" s="413" t="s">
        <v>24</v>
      </c>
      <c r="F131" s="416">
        <v>0</v>
      </c>
      <c r="G131" s="416">
        <v>0</v>
      </c>
      <c r="H131" s="417">
        <v>0</v>
      </c>
      <c r="I131" s="417">
        <v>0</v>
      </c>
      <c r="J131" s="417">
        <v>0</v>
      </c>
      <c r="K131" s="417">
        <v>0</v>
      </c>
    </row>
    <row r="132" spans="1:11">
      <c r="A132" s="413" t="s">
        <v>464</v>
      </c>
      <c r="B132" s="413" t="s">
        <v>25</v>
      </c>
      <c r="F132" s="416">
        <v>0</v>
      </c>
      <c r="G132" s="416">
        <v>0</v>
      </c>
      <c r="H132" s="417">
        <v>0</v>
      </c>
      <c r="I132" s="417">
        <v>0</v>
      </c>
      <c r="J132" s="417">
        <v>0</v>
      </c>
      <c r="K132" s="417">
        <v>0</v>
      </c>
    </row>
    <row r="133" spans="1:11">
      <c r="A133" s="413"/>
      <c r="B133" s="413"/>
      <c r="F133" s="416"/>
      <c r="G133" s="416"/>
      <c r="H133" s="417"/>
      <c r="I133" s="417"/>
      <c r="J133" s="417"/>
      <c r="K133" s="417"/>
    </row>
    <row r="134" spans="1:11">
      <c r="A134" s="413"/>
      <c r="B134" s="413"/>
      <c r="F134" s="416"/>
      <c r="G134" s="416"/>
      <c r="H134" s="417"/>
      <c r="I134" s="417"/>
      <c r="J134" s="417"/>
      <c r="K134" s="417"/>
    </row>
    <row r="135" spans="1:11">
      <c r="A135" s="413"/>
      <c r="B135" s="413"/>
      <c r="F135" s="416"/>
      <c r="G135" s="416"/>
      <c r="H135" s="417"/>
      <c r="I135" s="417"/>
      <c r="J135" s="417"/>
      <c r="K135" s="417"/>
    </row>
    <row r="136" spans="1:11">
      <c r="A136" s="413"/>
      <c r="B136" s="413"/>
      <c r="F136" s="416"/>
      <c r="G136" s="416"/>
      <c r="H136" s="417"/>
      <c r="I136" s="417"/>
      <c r="J136" s="417"/>
      <c r="K136" s="417"/>
    </row>
    <row r="137" spans="1:11">
      <c r="A137" s="415" t="s">
        <v>465</v>
      </c>
      <c r="B137" s="413" t="s">
        <v>466</v>
      </c>
      <c r="F137" s="416">
        <v>0</v>
      </c>
      <c r="G137" s="416">
        <v>0</v>
      </c>
      <c r="H137" s="417">
        <v>0</v>
      </c>
      <c r="I137" s="417">
        <v>0</v>
      </c>
      <c r="J137" s="417">
        <v>0</v>
      </c>
      <c r="K137" s="417">
        <v>0</v>
      </c>
    </row>
    <row r="138" spans="1:11" s="422" customFormat="1">
      <c r="A138" s="420"/>
      <c r="B138" s="421"/>
      <c r="H138" s="419"/>
      <c r="I138" s="419"/>
      <c r="J138" s="419"/>
      <c r="K138" s="419"/>
    </row>
    <row r="140" spans="1:11">
      <c r="A140" s="415" t="s">
        <v>166</v>
      </c>
      <c r="B140" s="414" t="s">
        <v>26</v>
      </c>
    </row>
    <row r="141" spans="1:11">
      <c r="A141" s="413" t="s">
        <v>420</v>
      </c>
      <c r="B141" s="413" t="s">
        <v>64</v>
      </c>
      <c r="F141" s="416">
        <v>3622</v>
      </c>
      <c r="G141" s="416">
        <v>8601</v>
      </c>
      <c r="H141" s="417">
        <v>993591</v>
      </c>
      <c r="I141" s="417">
        <v>504599</v>
      </c>
      <c r="J141" s="417">
        <v>18830</v>
      </c>
      <c r="K141" s="417">
        <v>1479360</v>
      </c>
    </row>
    <row r="142" spans="1:11">
      <c r="A142" s="413" t="s">
        <v>425</v>
      </c>
      <c r="B142" s="413" t="s">
        <v>65</v>
      </c>
      <c r="F142" s="416">
        <v>756.5</v>
      </c>
      <c r="G142" s="416">
        <v>1759</v>
      </c>
      <c r="H142" s="417">
        <v>38499</v>
      </c>
      <c r="I142" s="417">
        <v>27219</v>
      </c>
      <c r="J142" s="417">
        <v>0</v>
      </c>
      <c r="K142" s="417">
        <v>65718</v>
      </c>
    </row>
    <row r="143" spans="1:11">
      <c r="A143" s="413" t="s">
        <v>428</v>
      </c>
      <c r="B143" s="413" t="s">
        <v>66</v>
      </c>
      <c r="F143" s="416">
        <v>0</v>
      </c>
      <c r="G143" s="416">
        <v>0</v>
      </c>
      <c r="H143" s="417">
        <v>2271347</v>
      </c>
      <c r="I143" s="417">
        <v>0</v>
      </c>
      <c r="J143" s="417">
        <v>0</v>
      </c>
      <c r="K143" s="417">
        <v>2271347</v>
      </c>
    </row>
    <row r="144" spans="1:11">
      <c r="A144" s="413" t="s">
        <v>431</v>
      </c>
      <c r="B144" s="413" t="s">
        <v>67</v>
      </c>
      <c r="F144" s="416">
        <v>2120</v>
      </c>
      <c r="G144" s="416">
        <v>0</v>
      </c>
      <c r="H144" s="417">
        <v>122146</v>
      </c>
      <c r="I144" s="417">
        <v>84824</v>
      </c>
      <c r="J144" s="417">
        <v>0</v>
      </c>
      <c r="K144" s="417">
        <v>206970</v>
      </c>
    </row>
    <row r="145" spans="1:11">
      <c r="A145" s="413" t="s">
        <v>437</v>
      </c>
      <c r="B145" s="413" t="s">
        <v>68</v>
      </c>
      <c r="F145" s="416">
        <v>132</v>
      </c>
      <c r="G145" s="416">
        <v>440</v>
      </c>
      <c r="H145" s="417">
        <v>102056</v>
      </c>
      <c r="I145" s="417">
        <v>3747</v>
      </c>
      <c r="J145" s="417">
        <v>0</v>
      </c>
      <c r="K145" s="417">
        <v>105803</v>
      </c>
    </row>
    <row r="146" spans="1:11">
      <c r="A146" s="413" t="s">
        <v>446</v>
      </c>
      <c r="B146" s="413" t="s">
        <v>69</v>
      </c>
      <c r="F146" s="416">
        <v>1113.5</v>
      </c>
      <c r="G146" s="416">
        <v>10</v>
      </c>
      <c r="H146" s="417">
        <v>77203</v>
      </c>
      <c r="I146" s="417">
        <v>33179</v>
      </c>
      <c r="J146" s="417">
        <v>0</v>
      </c>
      <c r="K146" s="417">
        <v>110382</v>
      </c>
    </row>
    <row r="147" spans="1:11">
      <c r="A147" s="413" t="s">
        <v>449</v>
      </c>
      <c r="B147" s="413" t="s">
        <v>61</v>
      </c>
      <c r="F147" s="416">
        <v>0</v>
      </c>
      <c r="G147" s="416">
        <v>0</v>
      </c>
      <c r="H147" s="417">
        <v>92871</v>
      </c>
      <c r="I147" s="417">
        <v>21234</v>
      </c>
      <c r="J147" s="417">
        <v>0</v>
      </c>
      <c r="K147" s="417">
        <v>114105</v>
      </c>
    </row>
    <row r="148" spans="1:11">
      <c r="A148" s="413" t="s">
        <v>450</v>
      </c>
      <c r="B148" s="413" t="s">
        <v>70</v>
      </c>
      <c r="F148" s="411" t="s">
        <v>73</v>
      </c>
      <c r="G148" s="411" t="s">
        <v>73</v>
      </c>
      <c r="H148" s="411" t="s">
        <v>73</v>
      </c>
      <c r="I148" s="411" t="s">
        <v>73</v>
      </c>
      <c r="J148" s="411" t="s">
        <v>73</v>
      </c>
      <c r="K148" s="417">
        <v>4722141</v>
      </c>
    </row>
    <row r="149" spans="1:11">
      <c r="A149" s="413" t="s">
        <v>465</v>
      </c>
      <c r="B149" s="413" t="s">
        <v>71</v>
      </c>
      <c r="F149" s="416">
        <v>0</v>
      </c>
      <c r="G149" s="416">
        <v>0</v>
      </c>
      <c r="H149" s="417">
        <v>0</v>
      </c>
      <c r="I149" s="417">
        <v>0</v>
      </c>
      <c r="J149" s="417">
        <v>0</v>
      </c>
      <c r="K149" s="417">
        <v>0</v>
      </c>
    </row>
    <row r="150" spans="1:11">
      <c r="A150" s="413" t="s">
        <v>408</v>
      </c>
      <c r="B150" s="413" t="s">
        <v>186</v>
      </c>
      <c r="F150" s="411" t="s">
        <v>73</v>
      </c>
      <c r="G150" s="411" t="s">
        <v>73</v>
      </c>
      <c r="H150" s="417">
        <v>4646955</v>
      </c>
      <c r="I150" s="417">
        <v>0</v>
      </c>
      <c r="J150" s="417">
        <v>3973728</v>
      </c>
      <c r="K150" s="417">
        <v>673227</v>
      </c>
    </row>
    <row r="151" spans="1:11" s="422" customFormat="1">
      <c r="A151" s="421"/>
      <c r="B151" s="421"/>
      <c r="H151" s="419"/>
      <c r="I151" s="419"/>
      <c r="J151" s="419"/>
      <c r="K151" s="419"/>
    </row>
    <row r="152" spans="1:11">
      <c r="A152" s="415" t="s">
        <v>467</v>
      </c>
      <c r="B152" s="413" t="s">
        <v>26</v>
      </c>
      <c r="F152" s="416">
        <v>7744</v>
      </c>
      <c r="G152" s="416">
        <v>10810</v>
      </c>
      <c r="H152" s="417">
        <v>8344668</v>
      </c>
      <c r="I152" s="417">
        <v>674802</v>
      </c>
      <c r="J152" s="417">
        <v>3992558</v>
      </c>
      <c r="K152" s="417">
        <v>9749053</v>
      </c>
    </row>
    <row r="154" spans="1:11">
      <c r="A154" s="413" t="s">
        <v>468</v>
      </c>
      <c r="B154" s="414" t="s">
        <v>28</v>
      </c>
      <c r="F154" s="416">
        <v>6.88</v>
      </c>
    </row>
    <row r="155" spans="1:11">
      <c r="A155" s="413" t="s">
        <v>469</v>
      </c>
      <c r="B155" s="414" t="s">
        <v>72</v>
      </c>
      <c r="F155" s="416">
        <v>137.78</v>
      </c>
    </row>
  </sheetData>
  <mergeCells count="7">
    <mergeCell ref="C11:G11"/>
    <mergeCell ref="D2:H2"/>
    <mergeCell ref="C5:G5"/>
    <mergeCell ref="C6:G6"/>
    <mergeCell ref="C7:G7"/>
    <mergeCell ref="C9:G9"/>
    <mergeCell ref="C10:G10"/>
  </mergeCell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topLeftCell="A37" workbookViewId="0">
      <selection activeCell="K54" sqref="K54"/>
    </sheetView>
  </sheetViews>
  <sheetFormatPr defaultRowHeight="15"/>
  <cols>
    <col min="1" max="1" width="7.5703125" style="411" bestFit="1" customWidth="1"/>
    <col min="2" max="2" width="55.5703125" style="411" bestFit="1" customWidth="1"/>
    <col min="3" max="5" width="9.140625" style="411"/>
    <col min="6" max="7" width="17.5703125" style="411" bestFit="1" customWidth="1"/>
    <col min="8" max="8" width="15" style="411" bestFit="1" customWidth="1"/>
    <col min="9" max="9" width="16.7109375" style="411" bestFit="1" customWidth="1"/>
    <col min="10" max="10" width="23.42578125" style="411" bestFit="1" customWidth="1"/>
    <col min="11" max="11" width="24.7109375" style="411" bestFit="1" customWidth="1"/>
    <col min="12" max="16384" width="9.140625" style="411"/>
  </cols>
  <sheetData>
    <row r="1" spans="1:11">
      <c r="A1" s="410"/>
    </row>
    <row r="2" spans="1:11" ht="15.75">
      <c r="D2" s="733" t="s">
        <v>371</v>
      </c>
      <c r="E2" s="733"/>
      <c r="F2" s="733"/>
      <c r="G2" s="733"/>
      <c r="H2" s="733"/>
    </row>
    <row r="3" spans="1:11">
      <c r="B3" s="412" t="s">
        <v>0</v>
      </c>
    </row>
    <row r="5" spans="1:11">
      <c r="B5" s="413" t="s">
        <v>40</v>
      </c>
      <c r="C5" s="732" t="s">
        <v>727</v>
      </c>
      <c r="D5" s="732"/>
      <c r="E5" s="732"/>
      <c r="F5" s="732"/>
      <c r="G5" s="732"/>
    </row>
    <row r="6" spans="1:11">
      <c r="B6" s="413" t="s">
        <v>3</v>
      </c>
      <c r="C6" s="732">
        <v>19</v>
      </c>
      <c r="D6" s="732"/>
      <c r="E6" s="732"/>
      <c r="F6" s="732"/>
      <c r="G6" s="732"/>
    </row>
    <row r="7" spans="1:11">
      <c r="B7" s="413" t="s">
        <v>4</v>
      </c>
      <c r="C7" s="734">
        <v>2538</v>
      </c>
      <c r="D7" s="732"/>
      <c r="E7" s="732"/>
      <c r="F7" s="732"/>
      <c r="G7" s="732"/>
    </row>
    <row r="8" spans="1:11">
      <c r="B8" s="413"/>
    </row>
    <row r="9" spans="1:11">
      <c r="B9" s="413" t="s">
        <v>1</v>
      </c>
      <c r="C9" s="732" t="s">
        <v>728</v>
      </c>
      <c r="D9" s="732"/>
      <c r="E9" s="732"/>
      <c r="F9" s="732"/>
      <c r="G9" s="732"/>
    </row>
    <row r="10" spans="1:11">
      <c r="B10" s="413" t="s">
        <v>2</v>
      </c>
      <c r="C10" s="732" t="s">
        <v>729</v>
      </c>
      <c r="D10" s="732"/>
      <c r="E10" s="732"/>
      <c r="F10" s="732"/>
      <c r="G10" s="732"/>
    </row>
    <row r="11" spans="1:11">
      <c r="B11" s="413" t="s">
        <v>32</v>
      </c>
      <c r="C11" s="732" t="s">
        <v>730</v>
      </c>
      <c r="D11" s="732"/>
      <c r="E11" s="732"/>
      <c r="F11" s="732"/>
      <c r="G11" s="732"/>
    </row>
    <row r="16" spans="1:11">
      <c r="B16" s="412" t="s">
        <v>181</v>
      </c>
      <c r="F16" s="414" t="s">
        <v>9</v>
      </c>
      <c r="G16" s="414" t="s">
        <v>37</v>
      </c>
      <c r="H16" s="414" t="s">
        <v>29</v>
      </c>
      <c r="I16" s="414" t="s">
        <v>30</v>
      </c>
      <c r="J16" s="414" t="s">
        <v>33</v>
      </c>
      <c r="K16" s="414" t="s">
        <v>34</v>
      </c>
    </row>
    <row r="17" spans="1:11">
      <c r="A17" s="415" t="s">
        <v>184</v>
      </c>
      <c r="B17" s="414" t="s">
        <v>182</v>
      </c>
    </row>
    <row r="18" spans="1:11">
      <c r="A18" s="413" t="s">
        <v>408</v>
      </c>
      <c r="B18" s="413" t="s">
        <v>183</v>
      </c>
      <c r="F18" s="416" t="s">
        <v>73</v>
      </c>
      <c r="G18" s="416" t="s">
        <v>73</v>
      </c>
      <c r="H18" s="417">
        <v>10348478</v>
      </c>
      <c r="I18" s="417">
        <v>0</v>
      </c>
      <c r="J18" s="417">
        <v>8849243</v>
      </c>
      <c r="K18" s="417">
        <v>1499235</v>
      </c>
    </row>
    <row r="19" spans="1:11">
      <c r="B19" s="412" t="s">
        <v>8</v>
      </c>
      <c r="F19" s="414" t="s">
        <v>9</v>
      </c>
      <c r="G19" s="414" t="s">
        <v>37</v>
      </c>
      <c r="H19" s="414" t="s">
        <v>29</v>
      </c>
      <c r="I19" s="414" t="s">
        <v>30</v>
      </c>
      <c r="J19" s="414" t="s">
        <v>33</v>
      </c>
      <c r="K19" s="414" t="s">
        <v>34</v>
      </c>
    </row>
    <row r="20" spans="1:11">
      <c r="A20" s="415" t="s">
        <v>409</v>
      </c>
      <c r="B20" s="414" t="s">
        <v>41</v>
      </c>
    </row>
    <row r="21" spans="1:11">
      <c r="A21" s="413" t="s">
        <v>410</v>
      </c>
      <c r="B21" s="413" t="s">
        <v>42</v>
      </c>
      <c r="F21" s="416">
        <v>350</v>
      </c>
      <c r="G21" s="416">
        <v>2490</v>
      </c>
      <c r="H21" s="417">
        <v>28871.1</v>
      </c>
      <c r="I21" s="417">
        <v>14926.36</v>
      </c>
      <c r="J21" s="417">
        <v>7788</v>
      </c>
      <c r="K21" s="417">
        <v>36009.46</v>
      </c>
    </row>
    <row r="22" spans="1:11">
      <c r="A22" s="413" t="s">
        <v>411</v>
      </c>
      <c r="B22" s="413" t="s">
        <v>6</v>
      </c>
      <c r="F22" s="416">
        <v>654</v>
      </c>
      <c r="G22" s="416">
        <v>1670</v>
      </c>
      <c r="H22" s="417">
        <v>31221.39</v>
      </c>
      <c r="I22" s="417">
        <v>16141.46</v>
      </c>
      <c r="J22" s="417">
        <v>0</v>
      </c>
      <c r="K22" s="417">
        <v>47362.85</v>
      </c>
    </row>
    <row r="23" spans="1:11">
      <c r="A23" s="413" t="s">
        <v>412</v>
      </c>
      <c r="B23" s="413" t="s">
        <v>43</v>
      </c>
      <c r="F23" s="416">
        <v>13915</v>
      </c>
      <c r="G23" s="416">
        <v>37487</v>
      </c>
      <c r="H23" s="417">
        <v>774717.41</v>
      </c>
      <c r="I23" s="417">
        <v>400528.9</v>
      </c>
      <c r="J23" s="417">
        <v>241828</v>
      </c>
      <c r="K23" s="417">
        <v>933418.31</v>
      </c>
    </row>
    <row r="24" spans="1:11">
      <c r="A24" s="413" t="s">
        <v>413</v>
      </c>
      <c r="B24" s="413" t="s">
        <v>44</v>
      </c>
      <c r="F24" s="416">
        <v>0</v>
      </c>
      <c r="G24" s="416">
        <v>0</v>
      </c>
      <c r="H24" s="417">
        <v>0</v>
      </c>
      <c r="I24" s="417">
        <v>0</v>
      </c>
      <c r="J24" s="417">
        <v>0</v>
      </c>
      <c r="K24" s="417">
        <v>0</v>
      </c>
    </row>
    <row r="25" spans="1:11">
      <c r="A25" s="413" t="s">
        <v>414</v>
      </c>
      <c r="B25" s="413" t="s">
        <v>5</v>
      </c>
      <c r="F25" s="416">
        <v>1385</v>
      </c>
      <c r="G25" s="416">
        <v>1938</v>
      </c>
      <c r="H25" s="417">
        <v>30909.73</v>
      </c>
      <c r="I25" s="417">
        <v>15980.33</v>
      </c>
      <c r="J25" s="417">
        <v>0</v>
      </c>
      <c r="K25" s="417">
        <v>46890.06</v>
      </c>
    </row>
    <row r="26" spans="1:11">
      <c r="A26" s="413" t="s">
        <v>415</v>
      </c>
      <c r="B26" s="413" t="s">
        <v>45</v>
      </c>
      <c r="F26" s="416">
        <v>1013</v>
      </c>
      <c r="G26" s="416">
        <v>5150</v>
      </c>
      <c r="H26" s="417">
        <v>98035.58</v>
      </c>
      <c r="I26" s="417">
        <v>50684.39</v>
      </c>
      <c r="J26" s="417">
        <v>45747</v>
      </c>
      <c r="K26" s="417">
        <v>102972.97</v>
      </c>
    </row>
    <row r="27" spans="1:11">
      <c r="A27" s="413" t="s">
        <v>416</v>
      </c>
      <c r="B27" s="413" t="s">
        <v>46</v>
      </c>
      <c r="F27" s="416">
        <v>0</v>
      </c>
      <c r="G27" s="416">
        <v>0</v>
      </c>
      <c r="H27" s="417">
        <v>93750</v>
      </c>
      <c r="I27" s="417">
        <v>48468.75</v>
      </c>
      <c r="J27" s="417">
        <v>0</v>
      </c>
      <c r="K27" s="417">
        <v>142218.75</v>
      </c>
    </row>
    <row r="28" spans="1:11">
      <c r="A28" s="413" t="s">
        <v>417</v>
      </c>
      <c r="B28" s="413" t="s">
        <v>47</v>
      </c>
      <c r="F28" s="416">
        <v>0</v>
      </c>
      <c r="G28" s="416">
        <v>0</v>
      </c>
      <c r="H28" s="417">
        <v>0</v>
      </c>
      <c r="I28" s="417">
        <v>0</v>
      </c>
      <c r="J28" s="417">
        <v>0</v>
      </c>
      <c r="K28" s="417">
        <v>0</v>
      </c>
    </row>
    <row r="29" spans="1:11">
      <c r="A29" s="413" t="s">
        <v>75</v>
      </c>
      <c r="B29" s="413" t="s">
        <v>48</v>
      </c>
      <c r="F29" s="416">
        <v>2547</v>
      </c>
      <c r="G29" s="416">
        <v>1967</v>
      </c>
      <c r="H29" s="417">
        <v>196015.06</v>
      </c>
      <c r="I29" s="417">
        <v>101339.79</v>
      </c>
      <c r="J29" s="417">
        <v>0</v>
      </c>
      <c r="K29" s="417">
        <v>297354.84999999998</v>
      </c>
    </row>
    <row r="30" spans="1:11">
      <c r="A30" s="413"/>
      <c r="B30" s="413"/>
      <c r="F30" s="416"/>
      <c r="G30" s="416"/>
      <c r="H30" s="417"/>
      <c r="I30" s="417"/>
      <c r="J30" s="417"/>
      <c r="K30" s="417"/>
    </row>
    <row r="31" spans="1:11">
      <c r="A31" s="413"/>
      <c r="B31" s="413"/>
      <c r="F31" s="416"/>
      <c r="G31" s="416"/>
      <c r="H31" s="417"/>
      <c r="I31" s="417"/>
      <c r="J31" s="417"/>
      <c r="K31" s="417"/>
    </row>
    <row r="32" spans="1:11">
      <c r="A32" s="413"/>
      <c r="B32" s="413"/>
      <c r="F32" s="416"/>
      <c r="G32" s="416"/>
      <c r="H32" s="417"/>
      <c r="I32" s="417"/>
      <c r="J32" s="417"/>
      <c r="K32" s="417"/>
    </row>
    <row r="33" spans="1:11">
      <c r="A33" s="413"/>
      <c r="B33" s="413"/>
      <c r="F33" s="416"/>
      <c r="G33" s="416"/>
      <c r="H33" s="417"/>
      <c r="I33" s="417"/>
      <c r="J33" s="417"/>
      <c r="K33" s="417"/>
    </row>
    <row r="34" spans="1:11">
      <c r="A34" s="413"/>
      <c r="B34" s="413"/>
      <c r="F34" s="416"/>
      <c r="G34" s="416"/>
      <c r="H34" s="417"/>
      <c r="I34" s="417"/>
      <c r="J34" s="417"/>
      <c r="K34" s="417"/>
    </row>
    <row r="35" spans="1:11">
      <c r="A35" s="413"/>
      <c r="B35" s="413"/>
      <c r="F35" s="416"/>
      <c r="G35" s="416"/>
      <c r="H35" s="417"/>
      <c r="I35" s="417"/>
      <c r="J35" s="417"/>
      <c r="K35" s="417"/>
    </row>
    <row r="36" spans="1:11">
      <c r="A36" s="415" t="s">
        <v>420</v>
      </c>
      <c r="B36" s="413" t="s">
        <v>138</v>
      </c>
      <c r="F36" s="416">
        <v>19864</v>
      </c>
      <c r="G36" s="416">
        <v>50702</v>
      </c>
      <c r="H36" s="417">
        <v>1253520.27</v>
      </c>
      <c r="I36" s="417">
        <v>648069.98</v>
      </c>
      <c r="J36" s="417">
        <v>295363</v>
      </c>
      <c r="K36" s="417">
        <v>1606227.25</v>
      </c>
    </row>
    <row r="39" spans="1:11">
      <c r="A39" s="415" t="s">
        <v>86</v>
      </c>
      <c r="B39" s="414" t="s">
        <v>49</v>
      </c>
    </row>
    <row r="40" spans="1:11">
      <c r="A40" s="413" t="s">
        <v>421</v>
      </c>
      <c r="B40" s="413" t="s">
        <v>31</v>
      </c>
      <c r="F40" s="416">
        <v>0</v>
      </c>
      <c r="G40" s="416">
        <v>0</v>
      </c>
      <c r="H40" s="417">
        <v>0</v>
      </c>
      <c r="I40" s="417">
        <v>0</v>
      </c>
      <c r="J40" s="417">
        <v>0</v>
      </c>
      <c r="K40" s="417">
        <v>0</v>
      </c>
    </row>
    <row r="41" spans="1:11">
      <c r="A41" s="413" t="s">
        <v>422</v>
      </c>
      <c r="B41" s="413" t="s">
        <v>50</v>
      </c>
      <c r="F41" s="416">
        <v>1785</v>
      </c>
      <c r="G41" s="416">
        <v>220</v>
      </c>
      <c r="H41" s="417">
        <v>97335.360000000001</v>
      </c>
      <c r="I41" s="417">
        <v>0</v>
      </c>
      <c r="J41" s="417">
        <v>0</v>
      </c>
      <c r="K41" s="417">
        <v>97335.360000000001</v>
      </c>
    </row>
    <row r="42" spans="1:11">
      <c r="A42" s="413" t="s">
        <v>423</v>
      </c>
      <c r="B42" s="413" t="s">
        <v>11</v>
      </c>
      <c r="F42" s="416">
        <v>3734</v>
      </c>
      <c r="G42" s="416">
        <v>134</v>
      </c>
      <c r="H42" s="417">
        <v>265972.59999999998</v>
      </c>
      <c r="I42" s="417">
        <v>137507.82999999999</v>
      </c>
      <c r="J42" s="417">
        <v>28079.26</v>
      </c>
      <c r="K42" s="417">
        <v>375401.17</v>
      </c>
    </row>
    <row r="43" spans="1:11">
      <c r="A43" s="413" t="s">
        <v>424</v>
      </c>
      <c r="B43" s="413" t="s">
        <v>10</v>
      </c>
      <c r="F43" s="416">
        <v>0</v>
      </c>
      <c r="G43" s="416">
        <v>0</v>
      </c>
      <c r="H43" s="417">
        <v>0</v>
      </c>
      <c r="I43" s="417">
        <v>0</v>
      </c>
      <c r="J43" s="417">
        <v>0</v>
      </c>
      <c r="K43" s="417">
        <v>0</v>
      </c>
    </row>
    <row r="44" spans="1:11">
      <c r="A44" s="413"/>
      <c r="B44" s="413"/>
      <c r="F44" s="416"/>
      <c r="G44" s="416"/>
      <c r="H44" s="417"/>
      <c r="I44" s="417"/>
      <c r="J44" s="417"/>
      <c r="K44" s="417"/>
    </row>
    <row r="45" spans="1:11">
      <c r="A45" s="413"/>
      <c r="B45" s="413"/>
      <c r="F45" s="416"/>
      <c r="G45" s="416"/>
      <c r="H45" s="417"/>
      <c r="I45" s="417"/>
      <c r="J45" s="417"/>
      <c r="K45" s="417"/>
    </row>
    <row r="46" spans="1:11">
      <c r="A46" s="413"/>
      <c r="B46" s="413"/>
      <c r="F46" s="416"/>
      <c r="G46" s="416"/>
      <c r="H46" s="417"/>
      <c r="I46" s="417"/>
      <c r="J46" s="417"/>
      <c r="K46" s="417"/>
    </row>
    <row r="47" spans="1:11">
      <c r="A47" s="413"/>
      <c r="B47" s="413"/>
      <c r="F47" s="416"/>
      <c r="G47" s="416"/>
      <c r="H47" s="417"/>
      <c r="I47" s="417"/>
      <c r="J47" s="417"/>
      <c r="K47" s="417"/>
    </row>
    <row r="48" spans="1:11">
      <c r="A48" s="413"/>
      <c r="B48" s="413"/>
      <c r="F48" s="416"/>
      <c r="G48" s="416"/>
      <c r="H48" s="417"/>
      <c r="I48" s="417"/>
      <c r="J48" s="417"/>
      <c r="K48" s="417"/>
    </row>
    <row r="49" spans="1:11">
      <c r="A49" s="415" t="s">
        <v>425</v>
      </c>
      <c r="B49" s="413" t="s">
        <v>143</v>
      </c>
      <c r="F49" s="416">
        <v>5519</v>
      </c>
      <c r="G49" s="416">
        <v>354</v>
      </c>
      <c r="H49" s="417">
        <v>363307.96</v>
      </c>
      <c r="I49" s="417">
        <v>137507.82999999999</v>
      </c>
      <c r="J49" s="417">
        <v>28079.26</v>
      </c>
      <c r="K49" s="417">
        <v>472736.53</v>
      </c>
    </row>
    <row r="52" spans="1:11">
      <c r="A52" s="415" t="s">
        <v>92</v>
      </c>
      <c r="B52" s="414" t="s">
        <v>38</v>
      </c>
    </row>
    <row r="53" spans="1:11">
      <c r="A53" s="413" t="s">
        <v>426</v>
      </c>
      <c r="B53" s="413" t="s">
        <v>731</v>
      </c>
      <c r="F53" s="416">
        <v>1623</v>
      </c>
      <c r="G53" s="416">
        <v>169</v>
      </c>
      <c r="H53" s="417">
        <v>51740</v>
      </c>
      <c r="I53" s="417">
        <v>61437</v>
      </c>
      <c r="J53" s="417">
        <v>23016</v>
      </c>
      <c r="K53" s="417">
        <v>90161</v>
      </c>
    </row>
    <row r="54" spans="1:11">
      <c r="A54" s="413" t="s">
        <v>635</v>
      </c>
      <c r="B54" s="413" t="s">
        <v>732</v>
      </c>
      <c r="F54" s="416">
        <v>624</v>
      </c>
      <c r="G54" s="416">
        <v>6350</v>
      </c>
      <c r="H54" s="417">
        <v>41717.269999999997</v>
      </c>
      <c r="I54" s="417">
        <v>0</v>
      </c>
      <c r="J54" s="417">
        <v>0</v>
      </c>
      <c r="K54" s="417">
        <v>41717.269999999997</v>
      </c>
    </row>
    <row r="55" spans="1:11">
      <c r="A55" s="413" t="s">
        <v>636</v>
      </c>
      <c r="B55" s="413" t="s">
        <v>733</v>
      </c>
      <c r="F55" s="416">
        <v>0</v>
      </c>
      <c r="G55" s="416">
        <v>0</v>
      </c>
      <c r="H55" s="417">
        <v>4822375</v>
      </c>
      <c r="I55" s="417">
        <v>0</v>
      </c>
      <c r="J55" s="417">
        <v>1175238</v>
      </c>
      <c r="K55" s="417">
        <v>3647137</v>
      </c>
    </row>
    <row r="56" spans="1:11">
      <c r="A56" s="413" t="s">
        <v>638</v>
      </c>
      <c r="B56" s="413" t="s">
        <v>734</v>
      </c>
      <c r="F56" s="416">
        <v>38776</v>
      </c>
      <c r="G56" s="416">
        <v>24786</v>
      </c>
      <c r="H56" s="417">
        <v>4135384</v>
      </c>
      <c r="I56" s="417">
        <v>711541</v>
      </c>
      <c r="J56" s="417">
        <v>2868815</v>
      </c>
      <c r="K56" s="417">
        <v>1978110</v>
      </c>
    </row>
    <row r="57" spans="1:11">
      <c r="A57" s="413" t="s">
        <v>640</v>
      </c>
      <c r="B57" s="413" t="s">
        <v>735</v>
      </c>
      <c r="F57" s="416">
        <v>0</v>
      </c>
      <c r="G57" s="416">
        <v>0</v>
      </c>
      <c r="H57" s="417">
        <v>98327.41</v>
      </c>
      <c r="I57" s="417">
        <v>0</v>
      </c>
      <c r="J57" s="417">
        <v>0</v>
      </c>
      <c r="K57" s="417">
        <v>98327.41</v>
      </c>
    </row>
    <row r="58" spans="1:11">
      <c r="A58" s="413" t="s">
        <v>648</v>
      </c>
      <c r="B58" s="413" t="s">
        <v>64</v>
      </c>
      <c r="F58" s="416">
        <v>180074</v>
      </c>
      <c r="G58" s="416">
        <v>54381</v>
      </c>
      <c r="H58" s="417">
        <v>21429419</v>
      </c>
      <c r="I58" s="417">
        <v>3983154</v>
      </c>
      <c r="J58" s="417">
        <v>12593424</v>
      </c>
      <c r="K58" s="417">
        <v>12819149</v>
      </c>
    </row>
    <row r="59" spans="1:11">
      <c r="A59" s="413"/>
      <c r="B59" s="413"/>
      <c r="F59" s="416"/>
      <c r="G59" s="416"/>
      <c r="H59" s="417"/>
      <c r="I59" s="417"/>
      <c r="J59" s="417"/>
      <c r="K59" s="417"/>
    </row>
    <row r="60" spans="1:11">
      <c r="A60" s="413"/>
      <c r="B60" s="413"/>
      <c r="F60" s="416"/>
      <c r="G60" s="416"/>
      <c r="H60" s="417"/>
      <c r="I60" s="417"/>
      <c r="J60" s="417"/>
      <c r="K60" s="417"/>
    </row>
    <row r="61" spans="1:11">
      <c r="A61" s="413"/>
      <c r="B61" s="413"/>
      <c r="F61" s="416"/>
      <c r="G61" s="416"/>
      <c r="H61" s="417"/>
      <c r="I61" s="417"/>
      <c r="J61" s="417"/>
      <c r="K61" s="417"/>
    </row>
    <row r="62" spans="1:11">
      <c r="A62" s="413"/>
      <c r="B62" s="413"/>
      <c r="F62" s="416"/>
      <c r="G62" s="416"/>
      <c r="H62" s="417"/>
      <c r="I62" s="417"/>
      <c r="J62" s="417"/>
      <c r="K62" s="417"/>
    </row>
    <row r="63" spans="1:11">
      <c r="A63" s="413"/>
      <c r="B63" s="413"/>
      <c r="F63" s="422"/>
      <c r="G63" s="422"/>
      <c r="H63" s="419"/>
      <c r="I63" s="419"/>
      <c r="J63" s="419"/>
      <c r="K63" s="419"/>
    </row>
    <row r="64" spans="1:11">
      <c r="A64" s="415" t="s">
        <v>428</v>
      </c>
      <c r="B64" s="413" t="s">
        <v>145</v>
      </c>
      <c r="F64" s="416">
        <f>SUM(F53:F62)</f>
        <v>221097</v>
      </c>
      <c r="G64" s="416">
        <f>SUM(G53:G62)</f>
        <v>85686</v>
      </c>
      <c r="H64" s="417">
        <f>SUM(H53:H62)</f>
        <v>30578962.68</v>
      </c>
      <c r="I64" s="417">
        <f t="shared" ref="I64:K64" si="0">SUM(I53:I62)</f>
        <v>4756132</v>
      </c>
      <c r="J64" s="417">
        <f t="shared" si="0"/>
        <v>16660493</v>
      </c>
      <c r="K64" s="417">
        <f t="shared" si="0"/>
        <v>18674601.68</v>
      </c>
    </row>
    <row r="67" spans="1:11">
      <c r="A67" s="415" t="s">
        <v>102</v>
      </c>
      <c r="B67" s="414" t="s">
        <v>12</v>
      </c>
    </row>
    <row r="68" spans="1:11">
      <c r="A68" s="413" t="s">
        <v>429</v>
      </c>
      <c r="B68" s="413" t="s">
        <v>52</v>
      </c>
      <c r="F68" s="416">
        <v>0</v>
      </c>
      <c r="G68" s="416">
        <v>0</v>
      </c>
      <c r="H68" s="417">
        <v>0</v>
      </c>
      <c r="I68" s="417">
        <v>0</v>
      </c>
      <c r="J68" s="417">
        <v>0</v>
      </c>
      <c r="K68" s="417">
        <v>0</v>
      </c>
    </row>
    <row r="69" spans="1:11">
      <c r="A69" s="413" t="s">
        <v>430</v>
      </c>
      <c r="B69" s="413" t="s">
        <v>53</v>
      </c>
      <c r="F69" s="416">
        <v>0</v>
      </c>
      <c r="G69" s="416">
        <v>0</v>
      </c>
      <c r="H69" s="417">
        <v>0</v>
      </c>
      <c r="I69" s="417">
        <v>0</v>
      </c>
      <c r="J69" s="417">
        <v>0</v>
      </c>
      <c r="K69" s="417">
        <v>0</v>
      </c>
    </row>
    <row r="70" spans="1:11">
      <c r="A70" s="413"/>
      <c r="B70" s="413"/>
      <c r="F70" s="416"/>
      <c r="G70" s="416"/>
      <c r="H70" s="417"/>
      <c r="I70" s="417"/>
      <c r="J70" s="417"/>
      <c r="K70" s="417"/>
    </row>
    <row r="71" spans="1:11">
      <c r="A71" s="413"/>
      <c r="B71" s="413"/>
      <c r="F71" s="416"/>
      <c r="G71" s="416"/>
      <c r="H71" s="417"/>
      <c r="I71" s="417"/>
      <c r="J71" s="417"/>
      <c r="K71" s="417"/>
    </row>
    <row r="72" spans="1:11">
      <c r="A72" s="413"/>
      <c r="B72" s="413"/>
      <c r="F72" s="416"/>
      <c r="G72" s="416"/>
      <c r="H72" s="417"/>
      <c r="I72" s="417"/>
      <c r="J72" s="417"/>
      <c r="K72" s="417"/>
    </row>
    <row r="73" spans="1:11">
      <c r="A73" s="413"/>
      <c r="B73" s="413"/>
      <c r="F73" s="416"/>
      <c r="G73" s="416"/>
      <c r="H73" s="417"/>
      <c r="I73" s="417"/>
      <c r="J73" s="417"/>
      <c r="K73" s="417"/>
    </row>
    <row r="74" spans="1:11">
      <c r="A74" s="415" t="s">
        <v>431</v>
      </c>
      <c r="B74" s="413" t="s">
        <v>147</v>
      </c>
      <c r="F74" s="416">
        <v>0</v>
      </c>
      <c r="G74" s="416">
        <v>0</v>
      </c>
      <c r="H74" s="417">
        <v>0</v>
      </c>
      <c r="I74" s="417">
        <v>0</v>
      </c>
      <c r="J74" s="417">
        <v>0</v>
      </c>
      <c r="K74" s="417">
        <v>0</v>
      </c>
    </row>
    <row r="76" spans="1:11">
      <c r="A76" s="415" t="s">
        <v>105</v>
      </c>
      <c r="B76" s="414" t="s">
        <v>106</v>
      </c>
    </row>
    <row r="77" spans="1:11">
      <c r="A77" s="413" t="s">
        <v>432</v>
      </c>
      <c r="B77" s="413" t="s">
        <v>54</v>
      </c>
      <c r="F77" s="416">
        <v>0</v>
      </c>
      <c r="G77" s="416">
        <v>0</v>
      </c>
      <c r="H77" s="417">
        <v>76475</v>
      </c>
      <c r="I77" s="417">
        <v>0</v>
      </c>
      <c r="J77" s="417">
        <v>0</v>
      </c>
      <c r="K77" s="417">
        <v>76475</v>
      </c>
    </row>
    <row r="78" spans="1:11">
      <c r="A78" s="413" t="s">
        <v>433</v>
      </c>
      <c r="B78" s="413" t="s">
        <v>55</v>
      </c>
      <c r="F78" s="416">
        <v>0</v>
      </c>
      <c r="G78" s="416">
        <v>0</v>
      </c>
      <c r="H78" s="417">
        <v>0</v>
      </c>
      <c r="I78" s="417">
        <v>0</v>
      </c>
      <c r="J78" s="417">
        <v>0</v>
      </c>
      <c r="K78" s="417">
        <v>0</v>
      </c>
    </row>
    <row r="79" spans="1:11">
      <c r="A79" s="413" t="s">
        <v>434</v>
      </c>
      <c r="B79" s="413" t="s">
        <v>13</v>
      </c>
      <c r="F79" s="416">
        <v>3650</v>
      </c>
      <c r="G79" s="416">
        <v>3425</v>
      </c>
      <c r="H79" s="417">
        <v>55653.95</v>
      </c>
      <c r="I79" s="417">
        <v>0</v>
      </c>
      <c r="J79" s="417">
        <v>0</v>
      </c>
      <c r="K79" s="417">
        <v>55653.95</v>
      </c>
    </row>
    <row r="80" spans="1:11">
      <c r="A80" s="413" t="s">
        <v>435</v>
      </c>
      <c r="B80" s="413" t="s">
        <v>436</v>
      </c>
      <c r="F80" s="416">
        <v>0</v>
      </c>
      <c r="G80" s="416">
        <v>0</v>
      </c>
      <c r="H80" s="417">
        <v>0</v>
      </c>
      <c r="I80" s="417">
        <v>0</v>
      </c>
      <c r="J80" s="417">
        <v>0</v>
      </c>
      <c r="K80" s="417">
        <v>0</v>
      </c>
    </row>
    <row r="81" spans="1:11">
      <c r="A81" s="413"/>
      <c r="B81" s="413"/>
      <c r="F81" s="416"/>
      <c r="G81" s="416"/>
      <c r="H81" s="417"/>
      <c r="I81" s="417"/>
      <c r="J81" s="417"/>
      <c r="K81" s="417"/>
    </row>
    <row r="82" spans="1:11">
      <c r="A82" s="415" t="s">
        <v>437</v>
      </c>
      <c r="B82" s="413" t="s">
        <v>106</v>
      </c>
      <c r="F82" s="416">
        <v>3650</v>
      </c>
      <c r="G82" s="416">
        <v>3425</v>
      </c>
      <c r="H82" s="417">
        <v>132128.95000000001</v>
      </c>
      <c r="I82" s="417">
        <v>0</v>
      </c>
      <c r="J82" s="417">
        <v>0</v>
      </c>
      <c r="K82" s="417">
        <v>132128.95000000001</v>
      </c>
    </row>
    <row r="85" spans="1:11">
      <c r="A85" s="415" t="s">
        <v>111</v>
      </c>
      <c r="B85" s="414" t="s">
        <v>57</v>
      </c>
    </row>
    <row r="86" spans="1:11">
      <c r="A86" s="413" t="s">
        <v>438</v>
      </c>
      <c r="B86" s="413" t="s">
        <v>113</v>
      </c>
      <c r="F86" s="416">
        <v>0</v>
      </c>
      <c r="G86" s="416">
        <v>0</v>
      </c>
      <c r="H86" s="417">
        <v>0</v>
      </c>
      <c r="I86" s="417">
        <v>0</v>
      </c>
      <c r="J86" s="417">
        <v>0</v>
      </c>
      <c r="K86" s="417">
        <v>0</v>
      </c>
    </row>
    <row r="87" spans="1:11">
      <c r="A87" s="413" t="s">
        <v>439</v>
      </c>
      <c r="B87" s="413" t="s">
        <v>14</v>
      </c>
      <c r="F87" s="416">
        <v>1</v>
      </c>
      <c r="G87" s="416">
        <v>0</v>
      </c>
      <c r="H87" s="417">
        <v>130.61000000000001</v>
      </c>
      <c r="I87" s="417">
        <v>67.53</v>
      </c>
      <c r="J87" s="417">
        <v>0</v>
      </c>
      <c r="K87" s="417">
        <v>198.14</v>
      </c>
    </row>
    <row r="88" spans="1:11">
      <c r="A88" s="413" t="s">
        <v>440</v>
      </c>
      <c r="B88" s="413" t="s">
        <v>116</v>
      </c>
      <c r="F88" s="416">
        <v>68</v>
      </c>
      <c r="G88" s="416">
        <v>8</v>
      </c>
      <c r="H88" s="417">
        <v>5668.9</v>
      </c>
      <c r="I88" s="417">
        <v>2930.82</v>
      </c>
      <c r="J88" s="417">
        <v>0</v>
      </c>
      <c r="K88" s="417">
        <v>8599.7199999999993</v>
      </c>
    </row>
    <row r="89" spans="1:11">
      <c r="A89" s="413" t="s">
        <v>441</v>
      </c>
      <c r="B89" s="413" t="s">
        <v>58</v>
      </c>
      <c r="F89" s="416">
        <v>0</v>
      </c>
      <c r="G89" s="416">
        <v>0</v>
      </c>
      <c r="H89" s="417">
        <v>90697.08</v>
      </c>
      <c r="I89" s="417">
        <v>46890.39</v>
      </c>
      <c r="J89" s="417">
        <v>0</v>
      </c>
      <c r="K89" s="417">
        <v>137587.47</v>
      </c>
    </row>
    <row r="90" spans="1:11">
      <c r="A90" s="413" t="s">
        <v>442</v>
      </c>
      <c r="B90" s="413" t="s">
        <v>59</v>
      </c>
      <c r="F90" s="416">
        <v>0</v>
      </c>
      <c r="G90" s="416">
        <v>0</v>
      </c>
      <c r="H90" s="417">
        <v>0</v>
      </c>
      <c r="I90" s="417">
        <v>0</v>
      </c>
      <c r="J90" s="417">
        <v>0</v>
      </c>
      <c r="K90" s="417">
        <v>0</v>
      </c>
    </row>
    <row r="91" spans="1:11">
      <c r="A91" s="413" t="s">
        <v>443</v>
      </c>
      <c r="B91" s="413" t="s">
        <v>60</v>
      </c>
      <c r="F91" s="416">
        <v>657</v>
      </c>
      <c r="G91" s="416">
        <v>25</v>
      </c>
      <c r="H91" s="417">
        <v>59397.41</v>
      </c>
      <c r="I91" s="417">
        <v>30708.46</v>
      </c>
      <c r="J91" s="417">
        <v>0</v>
      </c>
      <c r="K91" s="417">
        <v>90105.87</v>
      </c>
    </row>
    <row r="92" spans="1:11">
      <c r="A92" s="413" t="s">
        <v>444</v>
      </c>
      <c r="B92" s="413" t="s">
        <v>121</v>
      </c>
      <c r="F92" s="416">
        <v>0</v>
      </c>
      <c r="G92" s="416">
        <v>0</v>
      </c>
      <c r="H92" s="417">
        <v>0</v>
      </c>
      <c r="I92" s="417">
        <v>0</v>
      </c>
      <c r="J92" s="417">
        <v>0</v>
      </c>
      <c r="K92" s="417">
        <v>0</v>
      </c>
    </row>
    <row r="93" spans="1:11">
      <c r="A93" s="413" t="s">
        <v>445</v>
      </c>
      <c r="B93" s="413" t="s">
        <v>123</v>
      </c>
      <c r="F93" s="416">
        <v>0</v>
      </c>
      <c r="G93" s="416">
        <v>0</v>
      </c>
      <c r="H93" s="417">
        <v>0</v>
      </c>
      <c r="I93" s="417">
        <v>0</v>
      </c>
      <c r="J93" s="417">
        <v>0</v>
      </c>
      <c r="K93" s="417">
        <v>0</v>
      </c>
    </row>
    <row r="94" spans="1:11">
      <c r="A94" s="413"/>
      <c r="B94" s="413"/>
      <c r="F94" s="416"/>
      <c r="G94" s="416"/>
      <c r="H94" s="417"/>
      <c r="I94" s="417"/>
      <c r="J94" s="417"/>
      <c r="K94" s="417"/>
    </row>
    <row r="95" spans="1:11">
      <c r="A95" s="413"/>
      <c r="B95" s="413"/>
      <c r="F95" s="416"/>
      <c r="G95" s="416"/>
      <c r="H95" s="417"/>
      <c r="I95" s="417"/>
      <c r="J95" s="417"/>
      <c r="K95" s="417"/>
    </row>
    <row r="96" spans="1:11">
      <c r="A96" s="413"/>
      <c r="B96" s="413"/>
      <c r="F96" s="416"/>
      <c r="G96" s="416"/>
      <c r="H96" s="417"/>
      <c r="I96" s="417"/>
      <c r="J96" s="417"/>
      <c r="K96" s="417"/>
    </row>
    <row r="97" spans="1:11">
      <c r="A97" s="413"/>
      <c r="B97" s="413"/>
      <c r="F97" s="416"/>
      <c r="G97" s="416"/>
      <c r="H97" s="417"/>
      <c r="I97" s="417"/>
      <c r="J97" s="417"/>
      <c r="K97" s="417"/>
    </row>
    <row r="98" spans="1:11">
      <c r="A98" s="415" t="s">
        <v>446</v>
      </c>
      <c r="B98" s="413" t="s">
        <v>151</v>
      </c>
      <c r="F98" s="416">
        <v>726</v>
      </c>
      <c r="G98" s="416">
        <v>33</v>
      </c>
      <c r="H98" s="417">
        <v>155894</v>
      </c>
      <c r="I98" s="417">
        <v>80597.2</v>
      </c>
      <c r="J98" s="417">
        <v>0</v>
      </c>
      <c r="K98" s="417">
        <v>236491.2</v>
      </c>
    </row>
    <row r="101" spans="1:11">
      <c r="A101" s="415" t="s">
        <v>130</v>
      </c>
      <c r="B101" s="414" t="s">
        <v>63</v>
      </c>
    </row>
    <row r="102" spans="1:11">
      <c r="A102" s="413" t="s">
        <v>447</v>
      </c>
      <c r="B102" s="413" t="s">
        <v>152</v>
      </c>
      <c r="F102" s="416">
        <v>161</v>
      </c>
      <c r="G102" s="416">
        <v>0</v>
      </c>
      <c r="H102" s="417">
        <v>8433.41</v>
      </c>
      <c r="I102" s="417">
        <v>4360.07</v>
      </c>
      <c r="J102" s="417">
        <v>0</v>
      </c>
      <c r="K102" s="417">
        <v>12793.48</v>
      </c>
    </row>
    <row r="103" spans="1:11">
      <c r="A103" s="413" t="s">
        <v>448</v>
      </c>
      <c r="B103" s="413" t="s">
        <v>62</v>
      </c>
      <c r="F103" s="416">
        <v>23</v>
      </c>
      <c r="G103" s="416">
        <v>0</v>
      </c>
      <c r="H103" s="417">
        <v>2914.91</v>
      </c>
      <c r="I103" s="417">
        <v>1507.01</v>
      </c>
      <c r="J103" s="417">
        <v>0</v>
      </c>
      <c r="K103" s="417">
        <v>4421.92</v>
      </c>
    </row>
    <row r="104" spans="1:11">
      <c r="A104" s="413"/>
      <c r="B104" s="413"/>
      <c r="F104" s="416"/>
      <c r="G104" s="416"/>
      <c r="H104" s="417"/>
      <c r="I104" s="417"/>
      <c r="J104" s="417"/>
      <c r="K104" s="417"/>
    </row>
    <row r="105" spans="1:11">
      <c r="A105" s="413"/>
      <c r="B105" s="413"/>
      <c r="F105" s="416"/>
      <c r="G105" s="416"/>
      <c r="H105" s="417"/>
      <c r="I105" s="417"/>
      <c r="J105" s="417"/>
      <c r="K105" s="417"/>
    </row>
    <row r="106" spans="1:11">
      <c r="A106" s="413"/>
      <c r="B106" s="413"/>
      <c r="F106" s="416"/>
      <c r="G106" s="416"/>
      <c r="H106" s="417"/>
      <c r="I106" s="417"/>
      <c r="J106" s="417"/>
      <c r="K106" s="417"/>
    </row>
    <row r="107" spans="1:11">
      <c r="A107" s="413"/>
      <c r="B107" s="413"/>
      <c r="F107" s="416"/>
      <c r="G107" s="416"/>
      <c r="H107" s="417"/>
      <c r="I107" s="417"/>
      <c r="J107" s="417"/>
      <c r="K107" s="417"/>
    </row>
    <row r="108" spans="1:11">
      <c r="A108" s="415" t="s">
        <v>449</v>
      </c>
      <c r="B108" s="413" t="s">
        <v>154</v>
      </c>
      <c r="F108" s="416">
        <v>184</v>
      </c>
      <c r="G108" s="416">
        <v>0</v>
      </c>
      <c r="H108" s="417">
        <v>11348.32</v>
      </c>
      <c r="I108" s="417">
        <v>5867.08</v>
      </c>
      <c r="J108" s="417">
        <v>0</v>
      </c>
      <c r="K108" s="417">
        <v>17215.400000000001</v>
      </c>
    </row>
    <row r="110" spans="1:11">
      <c r="A110" s="414" t="s">
        <v>156</v>
      </c>
      <c r="B110" s="414" t="s">
        <v>39</v>
      </c>
    </row>
    <row r="111" spans="1:11">
      <c r="A111" s="413" t="s">
        <v>450</v>
      </c>
      <c r="B111" s="411" t="s">
        <v>164</v>
      </c>
      <c r="F111" s="417">
        <v>13261500</v>
      </c>
    </row>
    <row r="113" spans="1:6">
      <c r="A113" s="414"/>
      <c r="B113" s="414" t="s">
        <v>15</v>
      </c>
    </row>
    <row r="114" spans="1:6">
      <c r="A114" s="413" t="s">
        <v>451</v>
      </c>
      <c r="B114" s="411" t="s">
        <v>452</v>
      </c>
      <c r="F114" s="418">
        <v>51.7</v>
      </c>
    </row>
    <row r="116" spans="1:6">
      <c r="A116" s="414" t="s">
        <v>170</v>
      </c>
      <c r="B116" s="414" t="s">
        <v>16</v>
      </c>
    </row>
    <row r="117" spans="1:6">
      <c r="A117" s="413" t="s">
        <v>453</v>
      </c>
      <c r="B117" s="411" t="s">
        <v>17</v>
      </c>
      <c r="F117" s="417">
        <v>370071785</v>
      </c>
    </row>
    <row r="118" spans="1:6">
      <c r="A118" s="413" t="s">
        <v>454</v>
      </c>
      <c r="B118" s="411" t="s">
        <v>18</v>
      </c>
      <c r="F118" s="417">
        <v>5789873</v>
      </c>
    </row>
    <row r="119" spans="1:6">
      <c r="A119" s="413" t="s">
        <v>455</v>
      </c>
      <c r="B119" s="414" t="s">
        <v>19</v>
      </c>
      <c r="F119" s="416">
        <v>375861658</v>
      </c>
    </row>
    <row r="121" spans="1:6">
      <c r="A121" s="413" t="s">
        <v>456</v>
      </c>
      <c r="B121" s="411" t="s">
        <v>282</v>
      </c>
      <c r="F121" s="417">
        <v>368170415</v>
      </c>
    </row>
    <row r="123" spans="1:6">
      <c r="A123" s="413" t="s">
        <v>457</v>
      </c>
      <c r="B123" s="411" t="s">
        <v>458</v>
      </c>
      <c r="F123" s="417">
        <v>7691243</v>
      </c>
    </row>
    <row r="125" spans="1:6">
      <c r="A125" s="413" t="s">
        <v>459</v>
      </c>
      <c r="B125" s="411" t="s">
        <v>460</v>
      </c>
      <c r="F125" s="417">
        <v>21728765</v>
      </c>
    </row>
    <row r="127" spans="1:6">
      <c r="A127" s="413" t="s">
        <v>461</v>
      </c>
      <c r="B127" s="411" t="s">
        <v>462</v>
      </c>
      <c r="F127" s="417">
        <v>29420008</v>
      </c>
    </row>
    <row r="130" spans="1:11">
      <c r="A130" s="415" t="s">
        <v>157</v>
      </c>
      <c r="B130" s="414" t="s">
        <v>23</v>
      </c>
    </row>
    <row r="131" spans="1:11">
      <c r="A131" s="413" t="s">
        <v>463</v>
      </c>
      <c r="B131" s="413" t="s">
        <v>24</v>
      </c>
      <c r="F131" s="416">
        <v>0</v>
      </c>
      <c r="G131" s="416">
        <v>0</v>
      </c>
      <c r="H131" s="417">
        <v>0</v>
      </c>
      <c r="I131" s="417">
        <v>0</v>
      </c>
      <c r="J131" s="417">
        <v>0</v>
      </c>
      <c r="K131" s="417">
        <v>0</v>
      </c>
    </row>
    <row r="132" spans="1:11">
      <c r="A132" s="413" t="s">
        <v>464</v>
      </c>
      <c r="B132" s="413" t="s">
        <v>25</v>
      </c>
      <c r="F132" s="416">
        <v>0</v>
      </c>
      <c r="G132" s="416">
        <v>0</v>
      </c>
      <c r="H132" s="417">
        <v>0</v>
      </c>
      <c r="I132" s="417">
        <v>0</v>
      </c>
      <c r="J132" s="417">
        <v>0</v>
      </c>
      <c r="K132" s="417">
        <v>0</v>
      </c>
    </row>
    <row r="133" spans="1:11">
      <c r="A133" s="413"/>
      <c r="B133" s="413"/>
      <c r="F133" s="416"/>
      <c r="G133" s="416"/>
      <c r="H133" s="417"/>
      <c r="I133" s="417"/>
      <c r="J133" s="417"/>
      <c r="K133" s="417"/>
    </row>
    <row r="134" spans="1:11">
      <c r="A134" s="413"/>
      <c r="B134" s="413"/>
      <c r="F134" s="416"/>
      <c r="G134" s="416"/>
      <c r="H134" s="417"/>
      <c r="I134" s="417"/>
      <c r="J134" s="417"/>
      <c r="K134" s="417"/>
    </row>
    <row r="135" spans="1:11">
      <c r="A135" s="413"/>
      <c r="B135" s="413"/>
      <c r="F135" s="416"/>
      <c r="G135" s="416"/>
      <c r="H135" s="417"/>
      <c r="I135" s="417"/>
      <c r="J135" s="417"/>
      <c r="K135" s="417"/>
    </row>
    <row r="136" spans="1:11">
      <c r="A136" s="413"/>
      <c r="B136" s="413"/>
      <c r="F136" s="416"/>
      <c r="G136" s="416"/>
      <c r="H136" s="417"/>
      <c r="I136" s="417"/>
      <c r="J136" s="417"/>
      <c r="K136" s="417"/>
    </row>
    <row r="137" spans="1:11">
      <c r="A137" s="415" t="s">
        <v>465</v>
      </c>
      <c r="B137" s="413" t="s">
        <v>466</v>
      </c>
      <c r="F137" s="416">
        <v>0</v>
      </c>
      <c r="G137" s="416">
        <v>0</v>
      </c>
      <c r="H137" s="417">
        <v>0</v>
      </c>
      <c r="I137" s="417">
        <v>0</v>
      </c>
      <c r="J137" s="417">
        <v>0</v>
      </c>
      <c r="K137" s="417">
        <v>0</v>
      </c>
    </row>
    <row r="140" spans="1:11">
      <c r="A140" s="415" t="s">
        <v>166</v>
      </c>
      <c r="B140" s="414" t="s">
        <v>26</v>
      </c>
    </row>
    <row r="141" spans="1:11">
      <c r="A141" s="413" t="s">
        <v>420</v>
      </c>
      <c r="B141" s="413" t="s">
        <v>64</v>
      </c>
      <c r="F141" s="416">
        <v>19864</v>
      </c>
      <c r="G141" s="416">
        <v>50702</v>
      </c>
      <c r="H141" s="417">
        <v>1253520.27</v>
      </c>
      <c r="I141" s="417">
        <v>648069.98</v>
      </c>
      <c r="J141" s="417">
        <v>295363</v>
      </c>
      <c r="K141" s="417">
        <v>1606227.25</v>
      </c>
    </row>
    <row r="142" spans="1:11">
      <c r="A142" s="413" t="s">
        <v>425</v>
      </c>
      <c r="B142" s="413" t="s">
        <v>65</v>
      </c>
      <c r="F142" s="416">
        <v>5519</v>
      </c>
      <c r="G142" s="416">
        <v>354</v>
      </c>
      <c r="H142" s="417">
        <v>363307.96</v>
      </c>
      <c r="I142" s="417">
        <v>137507.82999999999</v>
      </c>
      <c r="J142" s="417">
        <v>28079.26</v>
      </c>
      <c r="K142" s="417">
        <v>472736.53</v>
      </c>
    </row>
    <row r="143" spans="1:11">
      <c r="A143" s="413" t="s">
        <v>428</v>
      </c>
      <c r="B143" s="413" t="s">
        <v>66</v>
      </c>
      <c r="F143" s="416">
        <v>221097</v>
      </c>
      <c r="G143" s="416">
        <v>85686</v>
      </c>
      <c r="H143" s="417">
        <v>30578962.68</v>
      </c>
      <c r="I143" s="417">
        <v>4756132</v>
      </c>
      <c r="J143" s="417">
        <v>16660493</v>
      </c>
      <c r="K143" s="417">
        <v>18674601.68</v>
      </c>
    </row>
    <row r="144" spans="1:11">
      <c r="A144" s="413" t="s">
        <v>431</v>
      </c>
      <c r="B144" s="413" t="s">
        <v>67</v>
      </c>
      <c r="F144" s="416">
        <v>0</v>
      </c>
      <c r="G144" s="416">
        <v>0</v>
      </c>
      <c r="H144" s="417">
        <v>0</v>
      </c>
      <c r="I144" s="417">
        <v>0</v>
      </c>
      <c r="J144" s="417">
        <v>0</v>
      </c>
      <c r="K144" s="417">
        <v>0</v>
      </c>
    </row>
    <row r="145" spans="1:11">
      <c r="A145" s="413" t="s">
        <v>437</v>
      </c>
      <c r="B145" s="413" t="s">
        <v>68</v>
      </c>
      <c r="F145" s="416">
        <v>3650</v>
      </c>
      <c r="G145" s="416">
        <v>3425</v>
      </c>
      <c r="H145" s="417">
        <v>132128.95000000001</v>
      </c>
      <c r="I145" s="417">
        <v>0</v>
      </c>
      <c r="J145" s="417">
        <v>0</v>
      </c>
      <c r="K145" s="417">
        <v>132128.95000000001</v>
      </c>
    </row>
    <row r="146" spans="1:11">
      <c r="A146" s="413" t="s">
        <v>446</v>
      </c>
      <c r="B146" s="413" t="s">
        <v>69</v>
      </c>
      <c r="F146" s="416">
        <v>726</v>
      </c>
      <c r="G146" s="416">
        <v>33</v>
      </c>
      <c r="H146" s="417">
        <v>155894</v>
      </c>
      <c r="I146" s="417">
        <v>80597.2</v>
      </c>
      <c r="J146" s="417">
        <v>0</v>
      </c>
      <c r="K146" s="417">
        <v>236491.2</v>
      </c>
    </row>
    <row r="147" spans="1:11">
      <c r="A147" s="413" t="s">
        <v>449</v>
      </c>
      <c r="B147" s="413" t="s">
        <v>61</v>
      </c>
      <c r="F147" s="416">
        <v>184</v>
      </c>
      <c r="G147" s="416">
        <v>0</v>
      </c>
      <c r="H147" s="417">
        <v>11348.32</v>
      </c>
      <c r="I147" s="417">
        <v>5867.08</v>
      </c>
      <c r="J147" s="417">
        <v>0</v>
      </c>
      <c r="K147" s="417">
        <v>17215.400000000001</v>
      </c>
    </row>
    <row r="148" spans="1:11">
      <c r="A148" s="413" t="s">
        <v>450</v>
      </c>
      <c r="B148" s="413" t="s">
        <v>70</v>
      </c>
      <c r="F148" s="411" t="s">
        <v>73</v>
      </c>
      <c r="G148" s="411" t="s">
        <v>73</v>
      </c>
      <c r="H148" s="411" t="s">
        <v>73</v>
      </c>
      <c r="I148" s="411" t="s">
        <v>73</v>
      </c>
      <c r="J148" s="411" t="s">
        <v>73</v>
      </c>
      <c r="K148" s="417">
        <v>13261500</v>
      </c>
    </row>
    <row r="149" spans="1:11">
      <c r="A149" s="413" t="s">
        <v>465</v>
      </c>
      <c r="B149" s="413" t="s">
        <v>71</v>
      </c>
      <c r="F149" s="416">
        <v>0</v>
      </c>
      <c r="G149" s="416">
        <v>0</v>
      </c>
      <c r="H149" s="417">
        <v>0</v>
      </c>
      <c r="I149" s="417">
        <v>0</v>
      </c>
      <c r="J149" s="417">
        <v>0</v>
      </c>
      <c r="K149" s="417">
        <v>0</v>
      </c>
    </row>
    <row r="150" spans="1:11">
      <c r="A150" s="413" t="s">
        <v>408</v>
      </c>
      <c r="B150" s="413" t="s">
        <v>186</v>
      </c>
      <c r="F150" s="411" t="s">
        <v>73</v>
      </c>
      <c r="G150" s="411" t="s">
        <v>73</v>
      </c>
      <c r="H150" s="417">
        <v>10348478</v>
      </c>
      <c r="I150" s="417">
        <v>0</v>
      </c>
      <c r="J150" s="417">
        <v>8849243</v>
      </c>
      <c r="K150" s="417">
        <v>1499235</v>
      </c>
    </row>
    <row r="151" spans="1:11">
      <c r="A151" s="413"/>
      <c r="B151" s="413"/>
      <c r="H151" s="417"/>
      <c r="I151" s="417"/>
      <c r="J151" s="417"/>
      <c r="K151" s="417"/>
    </row>
    <row r="152" spans="1:11">
      <c r="A152" s="415" t="s">
        <v>467</v>
      </c>
      <c r="B152" s="413" t="s">
        <v>26</v>
      </c>
      <c r="F152" s="416">
        <v>251040</v>
      </c>
      <c r="G152" s="416">
        <v>140200</v>
      </c>
      <c r="H152" s="417">
        <v>42843640.18</v>
      </c>
      <c r="I152" s="417">
        <v>5628174.0899999999</v>
      </c>
      <c r="J152" s="417">
        <v>25833178.260000002</v>
      </c>
      <c r="K152" s="417">
        <v>35900136.009999998</v>
      </c>
    </row>
    <row r="154" spans="1:11">
      <c r="A154" s="413" t="s">
        <v>468</v>
      </c>
      <c r="B154" s="414" t="s">
        <v>28</v>
      </c>
      <c r="F154" s="416">
        <v>9.75</v>
      </c>
    </row>
    <row r="155" spans="1:11">
      <c r="A155" s="413" t="s">
        <v>469</v>
      </c>
      <c r="B155" s="414" t="s">
        <v>72</v>
      </c>
      <c r="F155" s="416">
        <v>122.03</v>
      </c>
    </row>
  </sheetData>
  <mergeCells count="7">
    <mergeCell ref="C11:G11"/>
    <mergeCell ref="D2:H2"/>
    <mergeCell ref="C5:G5"/>
    <mergeCell ref="C6:G6"/>
    <mergeCell ref="C7:G7"/>
    <mergeCell ref="C9:G9"/>
    <mergeCell ref="C10:G10"/>
  </mergeCells>
  <pageMargins left="0.7" right="0.7" top="0.75" bottom="0.75" header="0.3" footer="0.3"/>
  <pageSetup paperSize="0" orientation="portrait" horizontalDpi="0" verticalDpi="0" copie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6"/>
  <sheetViews>
    <sheetView showGridLines="0" topLeftCell="A43" zoomScale="89" zoomScaleNormal="89" zoomScaleSheetLayoutView="85" workbookViewId="0">
      <selection activeCell="K64" sqref="K64"/>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 min="12" max="12" width="11.28515625" bestFit="1" customWidth="1"/>
    <col min="15" max="15" width="13.85546875" bestFit="1" customWidth="1"/>
    <col min="17" max="18" width="13.85546875" bestFit="1" customWidth="1"/>
  </cols>
  <sheetData>
    <row r="1" spans="1:11" ht="18" customHeight="1">
      <c r="C1" s="4"/>
      <c r="D1" s="3"/>
      <c r="E1" s="4"/>
      <c r="F1" s="4"/>
      <c r="G1" s="4"/>
      <c r="H1" s="4"/>
      <c r="I1" s="4"/>
      <c r="J1" s="4"/>
      <c r="K1" s="4"/>
    </row>
    <row r="2" spans="1:11" ht="18" customHeight="1">
      <c r="D2" s="651" t="s">
        <v>371</v>
      </c>
      <c r="E2" s="652"/>
      <c r="F2" s="652"/>
      <c r="G2" s="652"/>
      <c r="H2" s="652"/>
    </row>
    <row r="3" spans="1:11" ht="18" customHeight="1">
      <c r="B3" s="2" t="s">
        <v>0</v>
      </c>
    </row>
    <row r="5" spans="1:11" ht="18" customHeight="1">
      <c r="B5" s="5" t="s">
        <v>40</v>
      </c>
      <c r="C5" s="670" t="s">
        <v>311</v>
      </c>
      <c r="D5" s="654"/>
      <c r="E5" s="654"/>
      <c r="F5" s="654"/>
      <c r="G5" s="655"/>
    </row>
    <row r="6" spans="1:11" ht="18" customHeight="1">
      <c r="B6" s="5" t="s">
        <v>3</v>
      </c>
      <c r="C6" s="737" t="s">
        <v>812</v>
      </c>
      <c r="D6" s="657"/>
      <c r="E6" s="657"/>
      <c r="F6" s="657"/>
      <c r="G6" s="658"/>
    </row>
    <row r="7" spans="1:11" ht="18" customHeight="1">
      <c r="B7" s="5" t="s">
        <v>4</v>
      </c>
      <c r="C7" s="716">
        <v>1753</v>
      </c>
      <c r="D7" s="717"/>
      <c r="E7" s="717"/>
      <c r="F7" s="717"/>
      <c r="G7" s="718"/>
    </row>
    <row r="9" spans="1:11" ht="18" customHeight="1">
      <c r="B9" s="5" t="s">
        <v>1</v>
      </c>
      <c r="C9" s="670" t="s">
        <v>813</v>
      </c>
      <c r="D9" s="654"/>
      <c r="E9" s="654"/>
      <c r="F9" s="654"/>
      <c r="G9" s="655"/>
    </row>
    <row r="10" spans="1:11" ht="18" customHeight="1">
      <c r="B10" s="5" t="s">
        <v>2</v>
      </c>
      <c r="C10" s="674" t="s">
        <v>814</v>
      </c>
      <c r="D10" s="663"/>
      <c r="E10" s="663"/>
      <c r="F10" s="663"/>
      <c r="G10" s="664"/>
    </row>
    <row r="11" spans="1:11" ht="18" customHeight="1">
      <c r="B11" s="5" t="s">
        <v>32</v>
      </c>
      <c r="C11" s="738" t="s">
        <v>815</v>
      </c>
      <c r="D11" s="663"/>
      <c r="E11" s="663"/>
      <c r="F11" s="663"/>
      <c r="G11" s="664"/>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2" ht="18" customHeight="1">
      <c r="A17" s="6" t="s">
        <v>184</v>
      </c>
      <c r="B17" s="2" t="s">
        <v>182</v>
      </c>
    </row>
    <row r="18" spans="1:12" ht="18" customHeight="1">
      <c r="A18" s="5" t="s">
        <v>185</v>
      </c>
      <c r="B18" s="341" t="s">
        <v>183</v>
      </c>
      <c r="F18" s="54" t="s">
        <v>73</v>
      </c>
      <c r="G18" s="54" t="s">
        <v>73</v>
      </c>
      <c r="H18" s="469">
        <v>7338768</v>
      </c>
      <c r="I18" s="55">
        <v>0</v>
      </c>
      <c r="J18" s="469">
        <v>6686334</v>
      </c>
      <c r="K18" s="470">
        <v>652434</v>
      </c>
    </row>
    <row r="19" spans="1:12" ht="45" customHeight="1">
      <c r="A19" s="3" t="s">
        <v>8</v>
      </c>
      <c r="B19" s="4"/>
      <c r="C19" s="4"/>
      <c r="D19" s="4"/>
      <c r="E19" s="4"/>
      <c r="F19" s="9" t="s">
        <v>9</v>
      </c>
      <c r="G19" s="9" t="s">
        <v>37</v>
      </c>
      <c r="H19" s="9" t="s">
        <v>29</v>
      </c>
      <c r="I19" s="9" t="s">
        <v>30</v>
      </c>
      <c r="J19" s="9" t="s">
        <v>33</v>
      </c>
      <c r="K19" s="9" t="s">
        <v>34</v>
      </c>
    </row>
    <row r="20" spans="1:12" ht="18" customHeight="1">
      <c r="A20" s="6" t="s">
        <v>74</v>
      </c>
      <c r="B20" s="2" t="s">
        <v>41</v>
      </c>
    </row>
    <row r="21" spans="1:12" ht="18" customHeight="1">
      <c r="A21" s="5" t="s">
        <v>75</v>
      </c>
      <c r="B21" s="341" t="s">
        <v>42</v>
      </c>
      <c r="F21" s="14">
        <v>5783.4</v>
      </c>
      <c r="G21" s="14">
        <v>47805</v>
      </c>
      <c r="H21" s="15">
        <v>351858</v>
      </c>
      <c r="I21" s="50">
        <v>338640.32564345072</v>
      </c>
      <c r="J21" s="15">
        <v>74295</v>
      </c>
      <c r="K21" s="16">
        <v>616203.32564345072</v>
      </c>
      <c r="L21" s="471"/>
    </row>
    <row r="22" spans="1:12" ht="18" customHeight="1">
      <c r="A22" s="5" t="s">
        <v>76</v>
      </c>
      <c r="B22" t="s">
        <v>6</v>
      </c>
      <c r="F22" s="14">
        <v>139</v>
      </c>
      <c r="G22" s="14">
        <v>564</v>
      </c>
      <c r="H22" s="15">
        <v>10929</v>
      </c>
      <c r="I22" s="50">
        <v>5967.8818556271926</v>
      </c>
      <c r="J22" s="15">
        <v>0</v>
      </c>
      <c r="K22" s="16">
        <v>16896.881855627194</v>
      </c>
      <c r="L22" s="471"/>
    </row>
    <row r="23" spans="1:12" ht="18" customHeight="1">
      <c r="A23" s="5" t="s">
        <v>77</v>
      </c>
      <c r="B23" t="s">
        <v>43</v>
      </c>
      <c r="F23" s="14">
        <v>0</v>
      </c>
      <c r="G23" s="14">
        <v>0</v>
      </c>
      <c r="H23" s="15">
        <v>0</v>
      </c>
      <c r="I23" s="50">
        <v>0</v>
      </c>
      <c r="J23" s="15">
        <v>0</v>
      </c>
      <c r="K23" s="16">
        <v>0</v>
      </c>
      <c r="L23" s="471"/>
    </row>
    <row r="24" spans="1:12" ht="18" customHeight="1">
      <c r="A24" s="5" t="s">
        <v>78</v>
      </c>
      <c r="B24" t="s">
        <v>44</v>
      </c>
      <c r="F24" s="14">
        <v>4231.8999999999996</v>
      </c>
      <c r="G24" s="14">
        <v>2176</v>
      </c>
      <c r="H24" s="15">
        <v>394138</v>
      </c>
      <c r="I24" s="50">
        <v>215222.71194191513</v>
      </c>
      <c r="J24" s="15">
        <v>83246</v>
      </c>
      <c r="K24" s="16">
        <v>526114.7119419151</v>
      </c>
      <c r="L24" s="471"/>
    </row>
    <row r="25" spans="1:12" ht="18" customHeight="1">
      <c r="A25" s="5" t="s">
        <v>79</v>
      </c>
      <c r="B25" t="s">
        <v>5</v>
      </c>
      <c r="F25" s="14">
        <v>38.5</v>
      </c>
      <c r="G25" s="14">
        <v>4686</v>
      </c>
      <c r="H25" s="15">
        <v>2302</v>
      </c>
      <c r="I25" s="50">
        <v>1257.028459296715</v>
      </c>
      <c r="J25" s="15">
        <v>0</v>
      </c>
      <c r="K25" s="16">
        <v>3559.028459296715</v>
      </c>
      <c r="L25" s="471"/>
    </row>
    <row r="26" spans="1:12" ht="18" customHeight="1">
      <c r="A26" s="5" t="s">
        <v>80</v>
      </c>
      <c r="B26" t="s">
        <v>45</v>
      </c>
      <c r="F26" s="14">
        <v>0</v>
      </c>
      <c r="G26" s="14">
        <v>0</v>
      </c>
      <c r="H26" s="15">
        <v>0</v>
      </c>
      <c r="I26" s="50">
        <v>0</v>
      </c>
      <c r="J26" s="15">
        <v>0</v>
      </c>
      <c r="K26" s="16">
        <v>0</v>
      </c>
      <c r="L26" s="471"/>
    </row>
    <row r="27" spans="1:12" ht="18" customHeight="1">
      <c r="A27" s="5" t="s">
        <v>81</v>
      </c>
      <c r="B27" t="s">
        <v>46</v>
      </c>
      <c r="F27" s="14">
        <v>0</v>
      </c>
      <c r="G27" s="14">
        <v>0</v>
      </c>
      <c r="H27" s="15">
        <v>0</v>
      </c>
      <c r="I27" s="50">
        <v>0</v>
      </c>
      <c r="J27" s="15">
        <v>0</v>
      </c>
      <c r="K27" s="16">
        <v>0</v>
      </c>
      <c r="L27" s="471"/>
    </row>
    <row r="28" spans="1:12" ht="18" customHeight="1">
      <c r="A28" s="5" t="s">
        <v>82</v>
      </c>
      <c r="B28" t="s">
        <v>47</v>
      </c>
      <c r="F28" s="14">
        <v>0</v>
      </c>
      <c r="G28" s="14">
        <v>0</v>
      </c>
      <c r="H28" s="15">
        <v>0</v>
      </c>
      <c r="I28" s="50">
        <v>0</v>
      </c>
      <c r="J28" s="15">
        <v>0</v>
      </c>
      <c r="K28" s="16">
        <v>0</v>
      </c>
      <c r="L28" s="471"/>
    </row>
    <row r="29" spans="1:12" ht="18" customHeight="1">
      <c r="A29" s="5" t="s">
        <v>83</v>
      </c>
      <c r="B29" t="s">
        <v>48</v>
      </c>
      <c r="F29" s="14">
        <v>20094</v>
      </c>
      <c r="G29" s="14">
        <v>4330</v>
      </c>
      <c r="H29" s="15">
        <v>641040</v>
      </c>
      <c r="I29" s="50">
        <v>350045.83994247008</v>
      </c>
      <c r="J29" s="15">
        <v>0</v>
      </c>
      <c r="K29" s="16">
        <v>991085.83994247008</v>
      </c>
      <c r="L29" s="471"/>
    </row>
    <row r="30" spans="1:12" ht="18" customHeight="1">
      <c r="A30" s="5" t="s">
        <v>84</v>
      </c>
      <c r="B30" s="650" t="s">
        <v>816</v>
      </c>
      <c r="C30" s="643"/>
      <c r="D30" s="644"/>
      <c r="F30" s="14">
        <v>1.5</v>
      </c>
      <c r="G30" s="14">
        <v>155</v>
      </c>
      <c r="H30" s="15">
        <v>28830</v>
      </c>
      <c r="I30" s="50">
        <v>15742.88900153097</v>
      </c>
      <c r="J30" s="15">
        <v>0</v>
      </c>
      <c r="K30" s="16">
        <v>44572.889001530973</v>
      </c>
      <c r="L30" s="471"/>
    </row>
    <row r="31" spans="1:12" ht="18" customHeight="1">
      <c r="A31" s="5" t="s">
        <v>133</v>
      </c>
      <c r="B31" s="642"/>
      <c r="C31" s="643"/>
      <c r="D31" s="644"/>
      <c r="F31" s="14"/>
      <c r="G31" s="14"/>
      <c r="H31" s="15"/>
      <c r="I31" s="50">
        <v>0</v>
      </c>
      <c r="J31" s="15"/>
      <c r="K31" s="16">
        <v>0</v>
      </c>
      <c r="L31" s="471"/>
    </row>
    <row r="32" spans="1:12" ht="18" customHeight="1">
      <c r="A32" s="5" t="s">
        <v>134</v>
      </c>
      <c r="B32" s="363"/>
      <c r="C32" s="364"/>
      <c r="D32" s="365"/>
      <c r="F32" s="14"/>
      <c r="G32" s="342" t="s">
        <v>85</v>
      </c>
      <c r="H32" s="15"/>
      <c r="I32" s="50">
        <v>0</v>
      </c>
      <c r="J32" s="15"/>
      <c r="K32" s="16">
        <v>0</v>
      </c>
      <c r="L32" s="471"/>
    </row>
    <row r="33" spans="1:12" ht="18" customHeight="1">
      <c r="A33" s="5" t="s">
        <v>135</v>
      </c>
      <c r="B33" s="363"/>
      <c r="C33" s="364"/>
      <c r="D33" s="365"/>
      <c r="F33" s="14"/>
      <c r="G33" s="342" t="s">
        <v>85</v>
      </c>
      <c r="H33" s="15"/>
      <c r="I33" s="50">
        <v>0</v>
      </c>
      <c r="J33" s="15"/>
      <c r="K33" s="16">
        <v>0</v>
      </c>
      <c r="L33" s="471"/>
    </row>
    <row r="34" spans="1:12" ht="18" customHeight="1">
      <c r="A34" s="5" t="s">
        <v>136</v>
      </c>
      <c r="B34" s="636"/>
      <c r="C34" s="637"/>
      <c r="D34" s="638"/>
      <c r="F34" s="14"/>
      <c r="G34" s="342" t="s">
        <v>85</v>
      </c>
      <c r="H34" s="15"/>
      <c r="I34" s="50">
        <v>0</v>
      </c>
      <c r="J34" s="15"/>
      <c r="K34" s="16">
        <v>0</v>
      </c>
      <c r="L34" s="471"/>
    </row>
    <row r="35" spans="1:12" ht="18" customHeight="1">
      <c r="K35" s="44"/>
    </row>
    <row r="36" spans="1:12" ht="18" customHeight="1">
      <c r="A36" s="6" t="s">
        <v>137</v>
      </c>
      <c r="B36" s="2" t="s">
        <v>138</v>
      </c>
      <c r="E36" s="2" t="s">
        <v>7</v>
      </c>
      <c r="F36" s="18">
        <v>30288.3</v>
      </c>
      <c r="G36" s="18">
        <v>59716</v>
      </c>
      <c r="H36" s="18">
        <v>1429097</v>
      </c>
      <c r="I36" s="16">
        <v>926876.67684429069</v>
      </c>
      <c r="J36" s="16">
        <v>157541</v>
      </c>
      <c r="K36" s="16">
        <v>2198432.6768442909</v>
      </c>
    </row>
    <row r="37" spans="1:12" ht="18" customHeight="1" thickBot="1">
      <c r="B37" s="2"/>
      <c r="F37" s="19"/>
      <c r="G37" s="19"/>
      <c r="H37" s="20"/>
      <c r="I37" s="20"/>
      <c r="J37" s="20"/>
      <c r="K37" s="45"/>
    </row>
    <row r="38" spans="1:12" ht="42.75" customHeight="1">
      <c r="F38" s="9" t="s">
        <v>9</v>
      </c>
      <c r="G38" s="9" t="s">
        <v>37</v>
      </c>
      <c r="H38" s="9" t="s">
        <v>29</v>
      </c>
      <c r="I38" s="9" t="s">
        <v>30</v>
      </c>
      <c r="J38" s="9" t="s">
        <v>33</v>
      </c>
      <c r="K38" s="9" t="s">
        <v>34</v>
      </c>
    </row>
    <row r="39" spans="1:12" ht="18.75" customHeight="1">
      <c r="A39" s="6" t="s">
        <v>86</v>
      </c>
      <c r="B39" s="2" t="s">
        <v>49</v>
      </c>
    </row>
    <row r="40" spans="1:12" ht="18" customHeight="1">
      <c r="A40" s="5" t="s">
        <v>87</v>
      </c>
      <c r="B40" t="s">
        <v>31</v>
      </c>
      <c r="F40" s="14">
        <v>1042.3</v>
      </c>
      <c r="G40" s="14">
        <v>4841</v>
      </c>
      <c r="H40" s="15">
        <v>75577</v>
      </c>
      <c r="I40" s="50">
        <v>17160.028845465509</v>
      </c>
      <c r="J40" s="15">
        <v>0</v>
      </c>
      <c r="K40" s="16">
        <v>92737.028845465509</v>
      </c>
      <c r="L40" s="471"/>
    </row>
    <row r="41" spans="1:12" ht="18" customHeight="1">
      <c r="A41" s="5" t="s">
        <v>88</v>
      </c>
      <c r="B41" s="641" t="s">
        <v>50</v>
      </c>
      <c r="C41" s="649"/>
      <c r="F41" s="14">
        <v>22321.5</v>
      </c>
      <c r="G41" s="14">
        <v>1052</v>
      </c>
      <c r="H41" s="15">
        <v>2215909</v>
      </c>
      <c r="I41" s="50">
        <v>503130.08400606835</v>
      </c>
      <c r="J41" s="15">
        <v>306015</v>
      </c>
      <c r="K41" s="16">
        <v>2413024.0840060683</v>
      </c>
      <c r="L41" s="471"/>
    </row>
    <row r="42" spans="1:12" ht="18" customHeight="1">
      <c r="A42" s="5" t="s">
        <v>89</v>
      </c>
      <c r="B42" s="341" t="s">
        <v>11</v>
      </c>
      <c r="F42" s="14">
        <v>9061</v>
      </c>
      <c r="G42" s="14">
        <v>145</v>
      </c>
      <c r="H42" s="15">
        <v>511653</v>
      </c>
      <c r="I42" s="50">
        <v>116172.64827750459</v>
      </c>
      <c r="J42" s="15">
        <v>0</v>
      </c>
      <c r="K42" s="16">
        <v>627825.6482775046</v>
      </c>
      <c r="L42" s="471"/>
    </row>
    <row r="43" spans="1:12" ht="18" customHeight="1">
      <c r="A43" s="5" t="s">
        <v>90</v>
      </c>
      <c r="B43" s="343" t="s">
        <v>10</v>
      </c>
      <c r="C43" s="10"/>
      <c r="D43" s="10"/>
      <c r="F43" s="14">
        <v>270</v>
      </c>
      <c r="G43" s="14">
        <v>45</v>
      </c>
      <c r="H43" s="15">
        <v>15346</v>
      </c>
      <c r="I43" s="50">
        <v>0</v>
      </c>
      <c r="J43" s="15">
        <v>0</v>
      </c>
      <c r="K43" s="16">
        <v>15346</v>
      </c>
      <c r="L43" s="471"/>
    </row>
    <row r="44" spans="1:12" ht="18" customHeight="1">
      <c r="A44" s="5" t="s">
        <v>91</v>
      </c>
      <c r="B44" s="642" t="s">
        <v>367</v>
      </c>
      <c r="C44" s="643"/>
      <c r="D44" s="644"/>
      <c r="F44" s="54">
        <v>8805</v>
      </c>
      <c r="G44" s="14">
        <v>954</v>
      </c>
      <c r="H44" s="17">
        <v>455327</v>
      </c>
      <c r="I44" s="50">
        <v>103383.62801009929</v>
      </c>
      <c r="J44" s="17">
        <v>0</v>
      </c>
      <c r="K44" s="56">
        <v>558710.62801009929</v>
      </c>
      <c r="L44" s="471"/>
    </row>
    <row r="45" spans="1:12" ht="18" customHeight="1">
      <c r="A45" s="5" t="s">
        <v>139</v>
      </c>
      <c r="B45" s="642"/>
      <c r="C45" s="643"/>
      <c r="D45" s="644"/>
      <c r="F45" s="14"/>
      <c r="G45" s="14"/>
      <c r="H45" s="15"/>
      <c r="I45" s="50"/>
      <c r="J45" s="15"/>
      <c r="K45" s="16"/>
    </row>
    <row r="46" spans="1:12" ht="18" customHeight="1">
      <c r="A46" s="5" t="s">
        <v>140</v>
      </c>
      <c r="B46" s="642"/>
      <c r="C46" s="643"/>
      <c r="D46" s="644"/>
      <c r="F46" s="14"/>
      <c r="G46" s="14"/>
      <c r="H46" s="15"/>
      <c r="I46" s="50"/>
      <c r="J46" s="15"/>
      <c r="K46" s="16"/>
    </row>
    <row r="47" spans="1:12" ht="18" customHeight="1">
      <c r="A47" s="5" t="s">
        <v>141</v>
      </c>
      <c r="B47" s="642"/>
      <c r="C47" s="643"/>
      <c r="D47" s="644"/>
      <c r="F47" s="14"/>
      <c r="G47" s="14"/>
      <c r="H47" s="15"/>
      <c r="I47" s="50">
        <v>0</v>
      </c>
      <c r="J47" s="15"/>
      <c r="K47" s="16">
        <v>0</v>
      </c>
    </row>
    <row r="49" spans="1:12" ht="18" customHeight="1">
      <c r="A49" s="6" t="s">
        <v>142</v>
      </c>
      <c r="B49" s="2" t="s">
        <v>143</v>
      </c>
      <c r="E49" s="2" t="s">
        <v>7</v>
      </c>
      <c r="F49" s="23">
        <v>41499.800000000003</v>
      </c>
      <c r="G49" s="23">
        <v>7037</v>
      </c>
      <c r="H49" s="16">
        <v>3273812</v>
      </c>
      <c r="I49" s="16">
        <v>739846.3891391377</v>
      </c>
      <c r="J49" s="16">
        <v>306015</v>
      </c>
      <c r="K49" s="16">
        <v>3707643.3891391377</v>
      </c>
    </row>
    <row r="50" spans="1:12" ht="18" customHeight="1" thickBot="1">
      <c r="G50" s="24"/>
      <c r="H50" s="24"/>
      <c r="I50" s="24"/>
      <c r="J50" s="24"/>
      <c r="K50" s="24"/>
    </row>
    <row r="51" spans="1:12" ht="42.75" customHeight="1">
      <c r="F51" s="9" t="s">
        <v>9</v>
      </c>
      <c r="G51" s="9" t="s">
        <v>37</v>
      </c>
      <c r="H51" s="9" t="s">
        <v>29</v>
      </c>
      <c r="I51" s="9" t="s">
        <v>30</v>
      </c>
      <c r="J51" s="9" t="s">
        <v>33</v>
      </c>
      <c r="K51" s="9" t="s">
        <v>34</v>
      </c>
    </row>
    <row r="52" spans="1:12" ht="18" customHeight="1">
      <c r="A52" s="6" t="s">
        <v>92</v>
      </c>
      <c r="B52" s="645" t="s">
        <v>38</v>
      </c>
      <c r="C52" s="646"/>
    </row>
    <row r="53" spans="1:12" ht="18" customHeight="1">
      <c r="A53" s="5" t="s">
        <v>51</v>
      </c>
      <c r="B53" s="669" t="s">
        <v>817</v>
      </c>
      <c r="C53" s="648"/>
      <c r="D53" s="644"/>
      <c r="F53" s="14">
        <v>0</v>
      </c>
      <c r="G53" s="14">
        <v>0</v>
      </c>
      <c r="H53" s="15">
        <v>1354750</v>
      </c>
      <c r="I53" s="50">
        <v>27365.760746157634</v>
      </c>
      <c r="J53" s="15">
        <v>675349</v>
      </c>
      <c r="K53" s="16">
        <v>706766.76074615773</v>
      </c>
      <c r="L53" s="471"/>
    </row>
    <row r="54" spans="1:12" ht="18" customHeight="1">
      <c r="A54" s="5" t="s">
        <v>93</v>
      </c>
      <c r="B54" s="360" t="s">
        <v>818</v>
      </c>
      <c r="C54" s="361"/>
      <c r="D54" s="362"/>
      <c r="F54" s="14">
        <v>0</v>
      </c>
      <c r="G54" s="14">
        <v>0</v>
      </c>
      <c r="H54" s="469">
        <v>241758</v>
      </c>
      <c r="I54" s="50">
        <v>0</v>
      </c>
      <c r="J54" s="15">
        <v>0</v>
      </c>
      <c r="K54" s="16">
        <v>241758</v>
      </c>
      <c r="L54" s="471"/>
    </row>
    <row r="55" spans="1:12" ht="18" customHeight="1">
      <c r="A55" s="5" t="s">
        <v>94</v>
      </c>
      <c r="B55" s="642" t="s">
        <v>819</v>
      </c>
      <c r="C55" s="643"/>
      <c r="D55" s="644"/>
      <c r="F55" s="14">
        <v>1703</v>
      </c>
      <c r="G55" s="14">
        <v>11013</v>
      </c>
      <c r="H55" s="469">
        <v>184417</v>
      </c>
      <c r="I55" s="50">
        <v>100702.61397833288</v>
      </c>
      <c r="J55" s="15">
        <v>9600</v>
      </c>
      <c r="K55" s="16">
        <v>275519.6139783329</v>
      </c>
      <c r="L55" s="471"/>
    </row>
    <row r="56" spans="1:12" ht="18" customHeight="1">
      <c r="A56" s="5" t="s">
        <v>95</v>
      </c>
      <c r="B56" s="642" t="s">
        <v>820</v>
      </c>
      <c r="C56" s="643"/>
      <c r="D56" s="644"/>
      <c r="F56" s="14">
        <v>0</v>
      </c>
      <c r="G56" s="14">
        <v>0</v>
      </c>
      <c r="H56" s="469">
        <v>61300</v>
      </c>
      <c r="I56" s="50">
        <v>0</v>
      </c>
      <c r="J56" s="15">
        <v>0</v>
      </c>
      <c r="K56" s="16">
        <v>61300</v>
      </c>
      <c r="L56" s="471"/>
    </row>
    <row r="57" spans="1:12" ht="18" customHeight="1">
      <c r="A57" s="5" t="s">
        <v>96</v>
      </c>
      <c r="B57" s="642" t="s">
        <v>821</v>
      </c>
      <c r="C57" s="643"/>
      <c r="D57" s="644"/>
      <c r="F57" s="14">
        <v>0</v>
      </c>
      <c r="G57" s="14">
        <v>0</v>
      </c>
      <c r="H57" s="469">
        <v>303600</v>
      </c>
      <c r="I57" s="50">
        <v>0</v>
      </c>
      <c r="J57" s="15">
        <v>0</v>
      </c>
      <c r="K57" s="16">
        <v>303600</v>
      </c>
      <c r="L57" s="471"/>
    </row>
    <row r="58" spans="1:12" ht="18" customHeight="1">
      <c r="A58" s="5" t="s">
        <v>97</v>
      </c>
      <c r="B58" s="360" t="s">
        <v>822</v>
      </c>
      <c r="C58" s="361"/>
      <c r="D58" s="362"/>
      <c r="F58" s="14">
        <v>0</v>
      </c>
      <c r="G58" s="14">
        <v>0</v>
      </c>
      <c r="H58" s="469">
        <v>77818</v>
      </c>
      <c r="I58" s="50">
        <v>0</v>
      </c>
      <c r="J58" s="15">
        <v>0</v>
      </c>
      <c r="K58" s="16">
        <v>77818</v>
      </c>
      <c r="L58" s="471"/>
    </row>
    <row r="59" spans="1:12" ht="18" customHeight="1">
      <c r="A59" s="5" t="s">
        <v>98</v>
      </c>
      <c r="B59" s="642" t="s">
        <v>823</v>
      </c>
      <c r="C59" s="643"/>
      <c r="D59" s="644"/>
      <c r="F59" s="14">
        <v>0</v>
      </c>
      <c r="G59" s="14">
        <v>0</v>
      </c>
      <c r="H59" s="469">
        <v>331780</v>
      </c>
      <c r="I59" s="50">
        <v>0</v>
      </c>
      <c r="J59" s="15">
        <v>0</v>
      </c>
      <c r="K59" s="16">
        <v>331780</v>
      </c>
      <c r="L59" s="471"/>
    </row>
    <row r="60" spans="1:12" ht="18" customHeight="1">
      <c r="A60" s="5" t="s">
        <v>99</v>
      </c>
      <c r="B60" s="360" t="s">
        <v>824</v>
      </c>
      <c r="C60" s="361"/>
      <c r="D60" s="362"/>
      <c r="F60" s="14">
        <v>0</v>
      </c>
      <c r="G60" s="14">
        <v>0</v>
      </c>
      <c r="H60" s="469">
        <v>1113383</v>
      </c>
      <c r="I60" s="50">
        <v>0</v>
      </c>
      <c r="J60" s="15">
        <v>0</v>
      </c>
      <c r="K60" s="16">
        <v>1113383</v>
      </c>
      <c r="L60" s="471"/>
    </row>
    <row r="61" spans="1:12" ht="18" customHeight="1">
      <c r="A61" s="5" t="s">
        <v>100</v>
      </c>
      <c r="B61" s="360" t="s">
        <v>825</v>
      </c>
      <c r="C61" s="361"/>
      <c r="D61" s="362"/>
      <c r="F61" s="14">
        <v>0</v>
      </c>
      <c r="G61" s="14">
        <v>0</v>
      </c>
      <c r="H61" s="469">
        <v>628110</v>
      </c>
      <c r="I61" s="50">
        <v>0</v>
      </c>
      <c r="J61" s="15">
        <v>0</v>
      </c>
      <c r="K61" s="16">
        <v>628110</v>
      </c>
      <c r="L61" s="471"/>
    </row>
    <row r="62" spans="1:12" ht="18" customHeight="1">
      <c r="A62" s="5" t="s">
        <v>101</v>
      </c>
      <c r="B62" s="360" t="s">
        <v>826</v>
      </c>
      <c r="C62" s="361"/>
      <c r="D62" s="362"/>
      <c r="F62" s="14">
        <v>0</v>
      </c>
      <c r="G62" s="14">
        <v>0</v>
      </c>
      <c r="H62" s="469">
        <v>4095877</v>
      </c>
      <c r="I62" s="50">
        <v>0</v>
      </c>
      <c r="J62" s="15">
        <v>0</v>
      </c>
      <c r="K62" s="16">
        <v>4095877</v>
      </c>
      <c r="L62" s="471"/>
    </row>
    <row r="63" spans="1:12" ht="18" customHeight="1">
      <c r="A63" s="5"/>
      <c r="I63" s="46"/>
    </row>
    <row r="64" spans="1:12" ht="18" customHeight="1">
      <c r="A64" s="5" t="s">
        <v>144</v>
      </c>
      <c r="B64" s="2" t="s">
        <v>145</v>
      </c>
      <c r="E64" s="2" t="s">
        <v>7</v>
      </c>
      <c r="F64" s="18">
        <f>SUM(F53:F62)</f>
        <v>1703</v>
      </c>
      <c r="G64" s="18">
        <f>SUM(G53:G62)</f>
        <v>11013</v>
      </c>
      <c r="H64" s="16">
        <f>SUM(H53:H62)</f>
        <v>8392793</v>
      </c>
      <c r="I64" s="16">
        <f t="shared" ref="I64:K64" si="0">SUM(I53:I62)</f>
        <v>128068.37472449051</v>
      </c>
      <c r="J64" s="16">
        <f t="shared" si="0"/>
        <v>684949</v>
      </c>
      <c r="K64" s="16">
        <f t="shared" si="0"/>
        <v>7835912.3747244906</v>
      </c>
    </row>
    <row r="65" spans="1:12" ht="18" customHeight="1">
      <c r="F65" s="48"/>
      <c r="G65" s="48"/>
      <c r="H65" s="48"/>
      <c r="I65" s="48"/>
      <c r="J65" s="48"/>
      <c r="K65" s="48"/>
    </row>
    <row r="66" spans="1:12" ht="42.75" customHeight="1">
      <c r="F66" s="57" t="s">
        <v>9</v>
      </c>
      <c r="G66" s="57" t="s">
        <v>37</v>
      </c>
      <c r="H66" s="57" t="s">
        <v>29</v>
      </c>
      <c r="I66" s="57" t="s">
        <v>30</v>
      </c>
      <c r="J66" s="57" t="s">
        <v>33</v>
      </c>
      <c r="K66" s="57" t="s">
        <v>34</v>
      </c>
    </row>
    <row r="67" spans="1:12" ht="18" customHeight="1">
      <c r="A67" s="6" t="s">
        <v>102</v>
      </c>
      <c r="B67" s="2" t="s">
        <v>12</v>
      </c>
      <c r="F67" s="58"/>
      <c r="G67" s="58"/>
      <c r="H67" s="58"/>
      <c r="I67" s="59"/>
      <c r="J67" s="58"/>
      <c r="K67" s="60"/>
    </row>
    <row r="68" spans="1:12" ht="18" customHeight="1">
      <c r="A68" s="5" t="s">
        <v>103</v>
      </c>
      <c r="B68" t="s">
        <v>52</v>
      </c>
      <c r="F68" s="472">
        <v>0</v>
      </c>
      <c r="G68" s="51">
        <v>0</v>
      </c>
      <c r="H68" s="17">
        <v>4213321</v>
      </c>
      <c r="I68" s="50">
        <v>0</v>
      </c>
      <c r="J68" s="17">
        <v>4213321</v>
      </c>
      <c r="K68" s="16">
        <v>0</v>
      </c>
    </row>
    <row r="69" spans="1:12" ht="18" customHeight="1">
      <c r="A69" s="5" t="s">
        <v>104</v>
      </c>
      <c r="B69" s="341" t="s">
        <v>53</v>
      </c>
      <c r="F69" s="51">
        <v>0</v>
      </c>
      <c r="G69" s="51">
        <v>0</v>
      </c>
      <c r="H69" s="51">
        <v>0</v>
      </c>
      <c r="I69" s="50">
        <v>0</v>
      </c>
      <c r="J69" s="51">
        <v>0</v>
      </c>
      <c r="K69" s="16">
        <v>0</v>
      </c>
    </row>
    <row r="70" spans="1:12" ht="18" customHeight="1">
      <c r="A70" s="5" t="s">
        <v>178</v>
      </c>
      <c r="B70" s="360"/>
      <c r="C70" s="361"/>
      <c r="D70" s="362"/>
      <c r="E70" s="2"/>
      <c r="F70" s="35"/>
      <c r="G70" s="35"/>
      <c r="H70" s="36"/>
      <c r="I70" s="50">
        <v>0</v>
      </c>
      <c r="J70" s="36"/>
      <c r="K70" s="16">
        <v>0</v>
      </c>
    </row>
    <row r="71" spans="1:12" ht="18" customHeight="1">
      <c r="A71" s="5" t="s">
        <v>179</v>
      </c>
      <c r="B71" s="360"/>
      <c r="C71" s="361"/>
      <c r="D71" s="362"/>
      <c r="E71" s="2"/>
      <c r="F71" s="35"/>
      <c r="G71" s="35"/>
      <c r="H71" s="36"/>
      <c r="I71" s="50">
        <v>0</v>
      </c>
      <c r="J71" s="36"/>
      <c r="K71" s="16">
        <v>0</v>
      </c>
    </row>
    <row r="72" spans="1:12" ht="18" customHeight="1">
      <c r="A72" s="5" t="s">
        <v>180</v>
      </c>
      <c r="B72" s="366"/>
      <c r="C72" s="367"/>
      <c r="D72" s="34"/>
      <c r="E72" s="2"/>
      <c r="F72" s="14"/>
      <c r="G72" s="14"/>
      <c r="H72" s="15"/>
      <c r="I72" s="50">
        <v>0</v>
      </c>
      <c r="J72" s="15"/>
      <c r="K72" s="16">
        <v>0</v>
      </c>
    </row>
    <row r="73" spans="1:12" ht="18" customHeight="1">
      <c r="A73" s="5"/>
      <c r="B73" s="341"/>
      <c r="E73" s="2"/>
      <c r="F73" s="61"/>
      <c r="G73" s="61"/>
      <c r="H73" s="62"/>
      <c r="I73" s="59"/>
      <c r="J73" s="62"/>
      <c r="K73" s="60"/>
    </row>
    <row r="74" spans="1:12" ht="18" customHeight="1">
      <c r="A74" s="6" t="s">
        <v>146</v>
      </c>
      <c r="B74" s="2" t="s">
        <v>147</v>
      </c>
      <c r="E74" s="2" t="s">
        <v>7</v>
      </c>
      <c r="F74" s="21">
        <v>0</v>
      </c>
      <c r="G74" s="21">
        <v>0</v>
      </c>
      <c r="H74" s="16">
        <v>4213321</v>
      </c>
      <c r="I74" s="53">
        <v>0</v>
      </c>
      <c r="J74" s="17">
        <v>4213321</v>
      </c>
      <c r="K74" s="17">
        <v>0</v>
      </c>
    </row>
    <row r="75" spans="1:12" ht="42.75" customHeight="1">
      <c r="F75" s="9" t="s">
        <v>9</v>
      </c>
      <c r="G75" s="9" t="s">
        <v>37</v>
      </c>
      <c r="H75" s="9" t="s">
        <v>29</v>
      </c>
      <c r="I75" s="9" t="s">
        <v>30</v>
      </c>
      <c r="J75" s="9" t="s">
        <v>33</v>
      </c>
      <c r="K75" s="9" t="s">
        <v>34</v>
      </c>
    </row>
    <row r="76" spans="1:12" ht="18" customHeight="1">
      <c r="A76" s="6" t="s">
        <v>105</v>
      </c>
      <c r="B76" s="2" t="s">
        <v>106</v>
      </c>
    </row>
    <row r="77" spans="1:12" ht="18" customHeight="1">
      <c r="A77" s="5" t="s">
        <v>107</v>
      </c>
      <c r="B77" s="341" t="s">
        <v>54</v>
      </c>
      <c r="F77" s="14">
        <v>0</v>
      </c>
      <c r="G77" s="14">
        <v>0</v>
      </c>
      <c r="H77" s="15">
        <v>298110</v>
      </c>
      <c r="I77" s="50">
        <v>0</v>
      </c>
      <c r="J77" s="15">
        <v>0</v>
      </c>
      <c r="K77" s="16">
        <v>298110</v>
      </c>
    </row>
    <row r="78" spans="1:12" ht="18" customHeight="1">
      <c r="A78" s="5" t="s">
        <v>108</v>
      </c>
      <c r="B78" s="341" t="s">
        <v>55</v>
      </c>
      <c r="F78" s="14">
        <v>0</v>
      </c>
      <c r="G78" s="14">
        <v>0</v>
      </c>
      <c r="H78" s="15">
        <v>0</v>
      </c>
      <c r="I78" s="50">
        <v>0</v>
      </c>
      <c r="J78" s="15">
        <v>0</v>
      </c>
      <c r="K78" s="16">
        <v>0</v>
      </c>
    </row>
    <row r="79" spans="1:12" ht="18" customHeight="1">
      <c r="A79" s="5" t="s">
        <v>109</v>
      </c>
      <c r="B79" s="341" t="s">
        <v>13</v>
      </c>
      <c r="F79" s="14">
        <v>127</v>
      </c>
      <c r="G79" s="14">
        <v>670</v>
      </c>
      <c r="H79" s="15">
        <v>603468</v>
      </c>
      <c r="I79" s="50">
        <v>0</v>
      </c>
      <c r="J79" s="15">
        <v>0</v>
      </c>
      <c r="K79" s="16">
        <v>603468</v>
      </c>
    </row>
    <row r="80" spans="1:12" ht="18" customHeight="1">
      <c r="A80" s="5" t="s">
        <v>110</v>
      </c>
      <c r="B80" s="341" t="s">
        <v>56</v>
      </c>
      <c r="F80" s="14">
        <v>605.5</v>
      </c>
      <c r="G80" s="14">
        <v>596</v>
      </c>
      <c r="H80" s="15">
        <v>30018</v>
      </c>
      <c r="I80" s="50">
        <v>16391.607424486876</v>
      </c>
      <c r="J80" s="15">
        <v>0</v>
      </c>
      <c r="K80" s="16">
        <v>46409.60742448688</v>
      </c>
      <c r="L80" s="471"/>
    </row>
    <row r="81" spans="1:12" ht="18" customHeight="1">
      <c r="A81" s="5"/>
      <c r="K81" s="40"/>
    </row>
    <row r="82" spans="1:12" ht="18" customHeight="1">
      <c r="A82" s="5" t="s">
        <v>148</v>
      </c>
      <c r="B82" s="2" t="s">
        <v>149</v>
      </c>
      <c r="E82" s="2" t="s">
        <v>7</v>
      </c>
      <c r="F82" s="473">
        <v>732.5</v>
      </c>
      <c r="G82" s="21">
        <v>1266</v>
      </c>
      <c r="H82" s="17">
        <v>931596</v>
      </c>
      <c r="I82" s="17">
        <v>16391.607424486876</v>
      </c>
      <c r="J82" s="17">
        <v>0</v>
      </c>
      <c r="K82" s="17">
        <v>947987.60742448689</v>
      </c>
    </row>
    <row r="83" spans="1:12" ht="18" customHeight="1" thickBot="1">
      <c r="A83" s="5"/>
      <c r="F83" s="24"/>
      <c r="G83" s="24"/>
      <c r="H83" s="24"/>
      <c r="I83" s="24"/>
      <c r="J83" s="24"/>
      <c r="K83" s="24"/>
    </row>
    <row r="84" spans="1:12" ht="42.75" customHeight="1">
      <c r="F84" s="9" t="s">
        <v>9</v>
      </c>
      <c r="G84" s="9" t="s">
        <v>37</v>
      </c>
      <c r="H84" s="9" t="s">
        <v>29</v>
      </c>
      <c r="I84" s="9" t="s">
        <v>30</v>
      </c>
      <c r="J84" s="9" t="s">
        <v>33</v>
      </c>
      <c r="K84" s="9" t="s">
        <v>34</v>
      </c>
    </row>
    <row r="85" spans="1:12" ht="18" customHeight="1">
      <c r="A85" s="6" t="s">
        <v>111</v>
      </c>
      <c r="B85" s="2" t="s">
        <v>57</v>
      </c>
    </row>
    <row r="86" spans="1:12" ht="18" customHeight="1">
      <c r="A86" s="5" t="s">
        <v>112</v>
      </c>
      <c r="B86" s="341" t="s">
        <v>113</v>
      </c>
      <c r="F86" s="14">
        <v>0</v>
      </c>
      <c r="G86" s="14">
        <v>0</v>
      </c>
      <c r="H86" s="15">
        <v>0</v>
      </c>
      <c r="I86" s="50">
        <v>0</v>
      </c>
      <c r="J86" s="15">
        <v>0</v>
      </c>
      <c r="K86" s="16">
        <v>0</v>
      </c>
    </row>
    <row r="87" spans="1:12" ht="18" customHeight="1">
      <c r="A87" s="5" t="s">
        <v>114</v>
      </c>
      <c r="B87" s="341" t="s">
        <v>14</v>
      </c>
      <c r="F87" s="14">
        <v>110</v>
      </c>
      <c r="G87" s="14">
        <v>922</v>
      </c>
      <c r="H87" s="15">
        <v>10017</v>
      </c>
      <c r="I87" s="50">
        <v>0</v>
      </c>
      <c r="J87" s="15">
        <v>0</v>
      </c>
      <c r="K87" s="16">
        <v>10017</v>
      </c>
    </row>
    <row r="88" spans="1:12" ht="18" customHeight="1">
      <c r="A88" s="5" t="s">
        <v>115</v>
      </c>
      <c r="B88" s="341" t="s">
        <v>116</v>
      </c>
      <c r="F88" s="14">
        <v>813.6</v>
      </c>
      <c r="G88" s="14">
        <v>13931</v>
      </c>
      <c r="H88" s="15">
        <v>454631</v>
      </c>
      <c r="I88" s="50">
        <v>248255.47588120104</v>
      </c>
      <c r="J88" s="15">
        <v>10406</v>
      </c>
      <c r="K88" s="16">
        <v>692480.47588120098</v>
      </c>
      <c r="L88" s="471"/>
    </row>
    <row r="89" spans="1:12" ht="18" customHeight="1">
      <c r="A89" s="5" t="s">
        <v>117</v>
      </c>
      <c r="B89" s="341" t="s">
        <v>58</v>
      </c>
      <c r="F89" s="14">
        <v>0</v>
      </c>
      <c r="G89" s="14">
        <v>0</v>
      </c>
      <c r="H89" s="15">
        <v>0</v>
      </c>
      <c r="I89" s="50">
        <v>0</v>
      </c>
      <c r="J89" s="15">
        <v>0</v>
      </c>
      <c r="K89" s="16">
        <v>0</v>
      </c>
    </row>
    <row r="90" spans="1:12" ht="18" customHeight="1">
      <c r="A90" s="5" t="s">
        <v>118</v>
      </c>
      <c r="B90" s="641" t="s">
        <v>59</v>
      </c>
      <c r="C90" s="649"/>
      <c r="F90" s="14">
        <v>25</v>
      </c>
      <c r="G90" s="14">
        <v>42</v>
      </c>
      <c r="H90" s="15">
        <v>2349</v>
      </c>
      <c r="I90" s="50">
        <v>1282.6932453900884</v>
      </c>
      <c r="J90" s="15">
        <v>0</v>
      </c>
      <c r="K90" s="16">
        <v>3631.6932453900881</v>
      </c>
      <c r="L90" s="471"/>
    </row>
    <row r="91" spans="1:12" ht="18" customHeight="1">
      <c r="A91" s="5" t="s">
        <v>119</v>
      </c>
      <c r="B91" s="341" t="s">
        <v>60</v>
      </c>
      <c r="F91" s="14">
        <v>1640.5</v>
      </c>
      <c r="G91" s="14">
        <v>1192</v>
      </c>
      <c r="H91" s="15">
        <v>118853</v>
      </c>
      <c r="I91" s="50">
        <v>64900.783437355545</v>
      </c>
      <c r="J91" s="15">
        <v>10405</v>
      </c>
      <c r="K91" s="16">
        <v>173348.78343735554</v>
      </c>
      <c r="L91" s="471"/>
    </row>
    <row r="92" spans="1:12" ht="18" customHeight="1">
      <c r="A92" s="5" t="s">
        <v>120</v>
      </c>
      <c r="B92" s="341" t="s">
        <v>121</v>
      </c>
      <c r="F92" s="38">
        <v>65</v>
      </c>
      <c r="G92" s="14">
        <v>90</v>
      </c>
      <c r="H92" s="39">
        <v>19762</v>
      </c>
      <c r="I92" s="50">
        <v>10791.223463345648</v>
      </c>
      <c r="J92" s="39">
        <v>0</v>
      </c>
      <c r="K92" s="16">
        <v>30553.223463345646</v>
      </c>
      <c r="L92" s="471"/>
    </row>
    <row r="93" spans="1:12" ht="18" customHeight="1">
      <c r="A93" s="5" t="s">
        <v>122</v>
      </c>
      <c r="B93" s="341" t="s">
        <v>123</v>
      </c>
      <c r="F93" s="14">
        <v>1610</v>
      </c>
      <c r="G93" s="14">
        <v>31773</v>
      </c>
      <c r="H93" s="15">
        <v>143781</v>
      </c>
      <c r="I93" s="50">
        <v>78512.949133857939</v>
      </c>
      <c r="J93" s="15">
        <v>0</v>
      </c>
      <c r="K93" s="16">
        <v>222293.94913385794</v>
      </c>
      <c r="L93" s="471"/>
    </row>
    <row r="94" spans="1:12" ht="18" customHeight="1">
      <c r="A94" s="5" t="s">
        <v>124</v>
      </c>
      <c r="B94" s="642"/>
      <c r="C94" s="643"/>
      <c r="D94" s="644"/>
      <c r="F94" s="14"/>
      <c r="G94" s="14"/>
      <c r="H94" s="15"/>
      <c r="I94" s="50">
        <v>0</v>
      </c>
      <c r="J94" s="15"/>
      <c r="K94" s="16">
        <v>0</v>
      </c>
    </row>
    <row r="95" spans="1:12" ht="18" customHeight="1">
      <c r="A95" s="5" t="s">
        <v>125</v>
      </c>
      <c r="B95" s="642"/>
      <c r="C95" s="643"/>
      <c r="D95" s="644"/>
      <c r="F95" s="14"/>
      <c r="G95" s="14"/>
      <c r="H95" s="15"/>
      <c r="I95" s="50">
        <v>0</v>
      </c>
      <c r="J95" s="15"/>
      <c r="K95" s="16">
        <v>0</v>
      </c>
    </row>
    <row r="96" spans="1:12" ht="18" customHeight="1">
      <c r="A96" s="5" t="s">
        <v>126</v>
      </c>
      <c r="B96" s="642"/>
      <c r="C96" s="643"/>
      <c r="D96" s="644"/>
      <c r="F96" s="14"/>
      <c r="G96" s="14"/>
      <c r="H96" s="15"/>
      <c r="I96" s="50">
        <v>0</v>
      </c>
      <c r="J96" s="15"/>
      <c r="K96" s="16">
        <v>0</v>
      </c>
    </row>
    <row r="97" spans="1:12" ht="18" customHeight="1">
      <c r="A97" s="5"/>
      <c r="B97" s="341"/>
    </row>
    <row r="98" spans="1:12" ht="18" customHeight="1">
      <c r="A98" s="6" t="s">
        <v>150</v>
      </c>
      <c r="B98" s="2" t="s">
        <v>151</v>
      </c>
      <c r="E98" s="2" t="s">
        <v>7</v>
      </c>
      <c r="F98" s="18">
        <v>4264.1000000000004</v>
      </c>
      <c r="G98" s="18">
        <v>47950</v>
      </c>
      <c r="H98" s="17">
        <v>749393</v>
      </c>
      <c r="I98" s="17">
        <v>403743.12516115024</v>
      </c>
      <c r="J98" s="17">
        <v>20811</v>
      </c>
      <c r="K98" s="17">
        <v>1132325.1251611502</v>
      </c>
    </row>
    <row r="99" spans="1:12" ht="18" customHeight="1" thickBot="1">
      <c r="B99" s="2"/>
      <c r="F99" s="24"/>
      <c r="G99" s="24"/>
      <c r="H99" s="24"/>
      <c r="I99" s="24"/>
      <c r="J99" s="24"/>
      <c r="K99" s="24"/>
    </row>
    <row r="100" spans="1:12" ht="42.75" customHeight="1">
      <c r="F100" s="9" t="s">
        <v>9</v>
      </c>
      <c r="G100" s="9" t="s">
        <v>37</v>
      </c>
      <c r="H100" s="9" t="s">
        <v>29</v>
      </c>
      <c r="I100" s="9" t="s">
        <v>30</v>
      </c>
      <c r="J100" s="9" t="s">
        <v>33</v>
      </c>
      <c r="K100" s="9" t="s">
        <v>34</v>
      </c>
    </row>
    <row r="101" spans="1:12" ht="18" customHeight="1">
      <c r="A101" s="6" t="s">
        <v>130</v>
      </c>
      <c r="B101" s="2" t="s">
        <v>63</v>
      </c>
    </row>
    <row r="102" spans="1:12" ht="18" customHeight="1">
      <c r="A102" s="5" t="s">
        <v>131</v>
      </c>
      <c r="B102" s="341" t="s">
        <v>152</v>
      </c>
      <c r="F102" s="14">
        <v>1372.1</v>
      </c>
      <c r="G102" s="14">
        <v>16</v>
      </c>
      <c r="H102" s="15">
        <v>97622</v>
      </c>
      <c r="I102" s="50">
        <v>53307.398893772333</v>
      </c>
      <c r="J102" s="15">
        <v>20811</v>
      </c>
      <c r="K102" s="16">
        <v>130118.39889377233</v>
      </c>
      <c r="L102" s="471"/>
    </row>
    <row r="103" spans="1:12" ht="18" customHeight="1">
      <c r="A103" s="5" t="s">
        <v>132</v>
      </c>
      <c r="B103" s="641" t="s">
        <v>827</v>
      </c>
      <c r="C103" s="641"/>
      <c r="F103" s="14">
        <v>424.6</v>
      </c>
      <c r="G103" s="14">
        <v>0</v>
      </c>
      <c r="H103" s="15">
        <v>52901</v>
      </c>
      <c r="I103" s="50">
        <v>28887.081896288237</v>
      </c>
      <c r="J103" s="15">
        <v>10406</v>
      </c>
      <c r="K103" s="16">
        <v>71382.081896288233</v>
      </c>
      <c r="L103" s="471"/>
    </row>
    <row r="104" spans="1:12" ht="18" customHeight="1">
      <c r="A104" s="5" t="s">
        <v>128</v>
      </c>
      <c r="B104" s="650"/>
      <c r="C104" s="643"/>
      <c r="D104" s="644"/>
      <c r="F104" s="14">
        <v>0</v>
      </c>
      <c r="G104" s="14">
        <v>0</v>
      </c>
      <c r="H104" s="15">
        <v>0</v>
      </c>
      <c r="I104" s="50">
        <v>0</v>
      </c>
      <c r="J104" s="15">
        <v>0</v>
      </c>
      <c r="K104" s="16">
        <v>0</v>
      </c>
    </row>
    <row r="105" spans="1:12" ht="18" customHeight="1">
      <c r="A105" s="5" t="s">
        <v>127</v>
      </c>
      <c r="B105" s="642"/>
      <c r="C105" s="643"/>
      <c r="D105" s="644"/>
      <c r="F105" s="14"/>
      <c r="G105" s="14"/>
      <c r="H105" s="15"/>
      <c r="I105" s="50">
        <v>0</v>
      </c>
      <c r="J105" s="15"/>
      <c r="K105" s="16">
        <v>0</v>
      </c>
    </row>
    <row r="106" spans="1:12" ht="18" customHeight="1">
      <c r="A106" s="5" t="s">
        <v>129</v>
      </c>
      <c r="B106" s="642"/>
      <c r="C106" s="643"/>
      <c r="D106" s="644"/>
      <c r="F106" s="14"/>
      <c r="G106" s="14"/>
      <c r="H106" s="15"/>
      <c r="I106" s="50">
        <v>0</v>
      </c>
      <c r="J106" s="15"/>
      <c r="K106" s="16">
        <v>0</v>
      </c>
    </row>
    <row r="107" spans="1:12" ht="18" customHeight="1">
      <c r="B107" s="2"/>
    </row>
    <row r="108" spans="1:12" s="10" customFormat="1" ht="18" customHeight="1">
      <c r="A108" s="6" t="s">
        <v>153</v>
      </c>
      <c r="B108" s="63" t="s">
        <v>154</v>
      </c>
      <c r="C108"/>
      <c r="D108"/>
      <c r="E108" s="2" t="s">
        <v>7</v>
      </c>
      <c r="F108" s="18">
        <v>1796.6999999999998</v>
      </c>
      <c r="G108" s="18">
        <v>16</v>
      </c>
      <c r="H108" s="16">
        <v>150523</v>
      </c>
      <c r="I108" s="16">
        <v>82194.480790060567</v>
      </c>
      <c r="J108" s="16">
        <v>31217</v>
      </c>
      <c r="K108" s="16">
        <v>201500.48079006057</v>
      </c>
    </row>
    <row r="109" spans="1:12" s="10" customFormat="1" ht="18" customHeight="1" thickBot="1">
      <c r="A109" s="11"/>
      <c r="B109" s="12"/>
      <c r="C109" s="13"/>
      <c r="D109" s="13"/>
      <c r="E109" s="13"/>
      <c r="F109" s="24"/>
      <c r="G109" s="24"/>
      <c r="H109" s="24"/>
      <c r="I109" s="24"/>
      <c r="J109" s="24"/>
      <c r="K109" s="24"/>
    </row>
    <row r="110" spans="1:12" s="10" customFormat="1" ht="18" customHeight="1">
      <c r="A110" s="6" t="s">
        <v>156</v>
      </c>
      <c r="B110" s="2" t="s">
        <v>39</v>
      </c>
      <c r="C110"/>
      <c r="D110"/>
      <c r="E110"/>
      <c r="F110"/>
      <c r="G110"/>
      <c r="H110"/>
      <c r="I110"/>
      <c r="J110"/>
      <c r="K110"/>
    </row>
    <row r="111" spans="1:12" ht="18" customHeight="1">
      <c r="A111" s="6" t="s">
        <v>155</v>
      </c>
      <c r="B111" s="2" t="s">
        <v>164</v>
      </c>
      <c r="E111" s="2" t="s">
        <v>7</v>
      </c>
      <c r="F111" s="469">
        <v>4501300</v>
      </c>
    </row>
    <row r="112" spans="1:12" ht="18" customHeight="1">
      <c r="B112" s="2"/>
      <c r="E112" s="2"/>
      <c r="F112" s="22"/>
    </row>
    <row r="113" spans="1:6" ht="18" customHeight="1">
      <c r="A113" s="6"/>
      <c r="B113" s="2" t="s">
        <v>15</v>
      </c>
    </row>
    <row r="114" spans="1:6" ht="18" customHeight="1">
      <c r="A114" s="5" t="s">
        <v>171</v>
      </c>
      <c r="B114" s="341" t="s">
        <v>35</v>
      </c>
      <c r="F114" s="25">
        <v>0.5460592785824131</v>
      </c>
    </row>
    <row r="115" spans="1:6" ht="18" customHeight="1">
      <c r="A115" s="5"/>
      <c r="B115" s="2"/>
    </row>
    <row r="116" spans="1:6" ht="18" customHeight="1">
      <c r="A116" s="5" t="s">
        <v>170</v>
      </c>
      <c r="B116" s="2" t="s">
        <v>16</v>
      </c>
    </row>
    <row r="117" spans="1:6" ht="18" customHeight="1">
      <c r="A117" s="5" t="s">
        <v>172</v>
      </c>
      <c r="B117" s="341" t="s">
        <v>17</v>
      </c>
      <c r="F117" s="469">
        <v>239648239.48999998</v>
      </c>
    </row>
    <row r="118" spans="1:6" ht="18" customHeight="1">
      <c r="A118" s="5" t="s">
        <v>173</v>
      </c>
      <c r="B118" t="s">
        <v>18</v>
      </c>
      <c r="F118" s="469">
        <v>2720835.799999997</v>
      </c>
    </row>
    <row r="119" spans="1:6" ht="18" customHeight="1">
      <c r="A119" s="5" t="s">
        <v>174</v>
      </c>
      <c r="B119" s="2" t="s">
        <v>19</v>
      </c>
      <c r="F119" s="17">
        <f>SUM(F117:F118)</f>
        <v>242369075.28999996</v>
      </c>
    </row>
    <row r="120" spans="1:6" ht="18" customHeight="1">
      <c r="A120" s="5"/>
      <c r="B120" s="2"/>
    </row>
    <row r="121" spans="1:6" ht="18" customHeight="1">
      <c r="A121" s="5" t="s">
        <v>167</v>
      </c>
      <c r="B121" s="2" t="s">
        <v>36</v>
      </c>
      <c r="F121" s="469">
        <v>225204531.06999999</v>
      </c>
    </row>
    <row r="122" spans="1:6" ht="18" customHeight="1">
      <c r="A122" s="5"/>
    </row>
    <row r="123" spans="1:6" ht="18" customHeight="1">
      <c r="A123" s="5" t="s">
        <v>175</v>
      </c>
      <c r="B123" s="2" t="s">
        <v>20</v>
      </c>
      <c r="F123" s="469">
        <v>17164544.219999969</v>
      </c>
    </row>
    <row r="124" spans="1:6" ht="18" customHeight="1">
      <c r="A124" s="5"/>
    </row>
    <row r="125" spans="1:6" ht="18" customHeight="1">
      <c r="A125" s="5" t="s">
        <v>176</v>
      </c>
      <c r="B125" s="2" t="s">
        <v>21</v>
      </c>
      <c r="F125" s="469">
        <v>0</v>
      </c>
    </row>
    <row r="126" spans="1:6" ht="18" customHeight="1">
      <c r="A126" s="5"/>
    </row>
    <row r="127" spans="1:6" ht="18" customHeight="1">
      <c r="A127" s="5" t="s">
        <v>177</v>
      </c>
      <c r="B127" s="2" t="s">
        <v>22</v>
      </c>
      <c r="F127" s="469">
        <f>F123+F125</f>
        <v>17164544.219999969</v>
      </c>
    </row>
    <row r="128" spans="1:6" ht="18" customHeight="1">
      <c r="A128" s="5"/>
    </row>
    <row r="129" spans="1:12" ht="42.75" customHeight="1">
      <c r="F129" s="9" t="s">
        <v>9</v>
      </c>
      <c r="G129" s="9" t="s">
        <v>37</v>
      </c>
      <c r="H129" s="9" t="s">
        <v>29</v>
      </c>
      <c r="I129" s="9" t="s">
        <v>30</v>
      </c>
      <c r="J129" s="9" t="s">
        <v>33</v>
      </c>
      <c r="K129" s="9" t="s">
        <v>34</v>
      </c>
    </row>
    <row r="130" spans="1:12" ht="18" customHeight="1">
      <c r="A130" s="6" t="s">
        <v>157</v>
      </c>
      <c r="B130" s="2" t="s">
        <v>23</v>
      </c>
    </row>
    <row r="131" spans="1:12" ht="18" customHeight="1">
      <c r="A131" s="5" t="s">
        <v>158</v>
      </c>
      <c r="B131" t="s">
        <v>24</v>
      </c>
      <c r="F131" s="14">
        <v>0</v>
      </c>
      <c r="G131" s="14">
        <v>0</v>
      </c>
      <c r="H131" s="15">
        <v>126481.29</v>
      </c>
      <c r="I131" s="50">
        <v>69066.281971572971</v>
      </c>
      <c r="J131" s="15">
        <v>0</v>
      </c>
      <c r="K131" s="16">
        <v>195547.57197157296</v>
      </c>
      <c r="L131" s="471"/>
    </row>
    <row r="132" spans="1:12" ht="18" customHeight="1">
      <c r="A132" s="5" t="s">
        <v>159</v>
      </c>
      <c r="B132" t="s">
        <v>25</v>
      </c>
      <c r="F132" s="14">
        <v>0</v>
      </c>
      <c r="G132" s="14">
        <v>8</v>
      </c>
      <c r="H132" s="469">
        <v>31787</v>
      </c>
      <c r="I132" s="50">
        <v>17357.586288299164</v>
      </c>
      <c r="J132" s="15">
        <v>0</v>
      </c>
      <c r="K132" s="16">
        <v>49144.586288299164</v>
      </c>
      <c r="L132" s="471"/>
    </row>
    <row r="133" spans="1:12" ht="18" customHeight="1">
      <c r="A133" s="5" t="s">
        <v>160</v>
      </c>
      <c r="B133" s="650" t="s">
        <v>828</v>
      </c>
      <c r="C133" s="735"/>
      <c r="D133" s="736"/>
      <c r="F133" s="14">
        <v>0</v>
      </c>
      <c r="G133" s="14">
        <v>0</v>
      </c>
      <c r="H133" s="15">
        <v>10263.92</v>
      </c>
      <c r="I133" s="50">
        <v>0</v>
      </c>
      <c r="J133" s="15">
        <v>0</v>
      </c>
      <c r="K133" s="16">
        <v>10263.92</v>
      </c>
    </row>
    <row r="134" spans="1:12" ht="18" customHeight="1">
      <c r="A134" s="5" t="s">
        <v>161</v>
      </c>
      <c r="B134" s="636"/>
      <c r="C134" s="637"/>
      <c r="D134" s="638"/>
      <c r="F134" s="14"/>
      <c r="G134" s="14"/>
      <c r="H134" s="15"/>
      <c r="I134" s="50">
        <v>0</v>
      </c>
      <c r="J134" s="15"/>
      <c r="K134" s="16">
        <v>0</v>
      </c>
    </row>
    <row r="135" spans="1:12" ht="18" customHeight="1">
      <c r="A135" s="5" t="s">
        <v>162</v>
      </c>
      <c r="B135" s="636"/>
      <c r="C135" s="637"/>
      <c r="D135" s="638"/>
      <c r="F135" s="14"/>
      <c r="G135" s="14"/>
      <c r="H135" s="15"/>
      <c r="I135" s="50">
        <v>0</v>
      </c>
      <c r="J135" s="15"/>
      <c r="K135" s="16">
        <v>0</v>
      </c>
    </row>
    <row r="136" spans="1:12" ht="18" customHeight="1">
      <c r="A136" s="6"/>
    </row>
    <row r="137" spans="1:12" ht="18" customHeight="1">
      <c r="A137" s="6" t="s">
        <v>163</v>
      </c>
      <c r="B137" s="2" t="s">
        <v>27</v>
      </c>
      <c r="F137" s="18">
        <v>0</v>
      </c>
      <c r="G137" s="18">
        <v>8</v>
      </c>
      <c r="H137" s="16">
        <v>168532.21</v>
      </c>
      <c r="I137" s="16">
        <v>86423.868259872135</v>
      </c>
      <c r="J137" s="16">
        <v>0</v>
      </c>
      <c r="K137" s="16">
        <v>254956.07825987213</v>
      </c>
    </row>
    <row r="138" spans="1:12" ht="18" customHeight="1">
      <c r="A138"/>
    </row>
    <row r="139" spans="1:12" ht="42.75" customHeight="1">
      <c r="F139" s="9" t="s">
        <v>9</v>
      </c>
      <c r="G139" s="9" t="s">
        <v>37</v>
      </c>
      <c r="H139" s="9" t="s">
        <v>29</v>
      </c>
      <c r="I139" s="9" t="s">
        <v>30</v>
      </c>
      <c r="J139" s="9" t="s">
        <v>33</v>
      </c>
      <c r="K139" s="9" t="s">
        <v>34</v>
      </c>
    </row>
    <row r="140" spans="1:12" ht="18" customHeight="1">
      <c r="A140" s="6" t="s">
        <v>166</v>
      </c>
      <c r="B140" s="2" t="s">
        <v>26</v>
      </c>
    </row>
    <row r="141" spans="1:12" ht="18" customHeight="1">
      <c r="A141" s="5" t="s">
        <v>137</v>
      </c>
      <c r="B141" s="2" t="s">
        <v>64</v>
      </c>
      <c r="F141" s="474">
        <f t="shared" ref="F141:K141" si="1">F36</f>
        <v>30288.3</v>
      </c>
      <c r="G141" s="474">
        <f t="shared" si="1"/>
        <v>59716</v>
      </c>
      <c r="H141" s="17">
        <f t="shared" si="1"/>
        <v>1429097</v>
      </c>
      <c r="I141" s="53">
        <f t="shared" si="1"/>
        <v>926876.67684429069</v>
      </c>
      <c r="J141" s="17">
        <f t="shared" si="1"/>
        <v>157541</v>
      </c>
      <c r="K141" s="16">
        <f t="shared" si="1"/>
        <v>2198432.6768442909</v>
      </c>
      <c r="L141" s="471"/>
    </row>
    <row r="142" spans="1:12" ht="18" customHeight="1">
      <c r="A142" s="5" t="s">
        <v>142</v>
      </c>
      <c r="B142" s="2" t="s">
        <v>65</v>
      </c>
      <c r="F142" s="474">
        <f t="shared" ref="F142:K142" si="2">F49</f>
        <v>41499.800000000003</v>
      </c>
      <c r="G142" s="474">
        <f t="shared" si="2"/>
        <v>7037</v>
      </c>
      <c r="H142" s="17">
        <f t="shared" si="2"/>
        <v>3273812</v>
      </c>
      <c r="I142" s="53">
        <f t="shared" si="2"/>
        <v>739846.3891391377</v>
      </c>
      <c r="J142" s="17">
        <f t="shared" si="2"/>
        <v>306015</v>
      </c>
      <c r="K142" s="16">
        <f t="shared" si="2"/>
        <v>3707643.3891391377</v>
      </c>
    </row>
    <row r="143" spans="1:12" ht="18" customHeight="1">
      <c r="A143" s="5" t="s">
        <v>144</v>
      </c>
      <c r="B143" s="2" t="s">
        <v>66</v>
      </c>
      <c r="F143" s="474">
        <f t="shared" ref="F143:K143" si="3">F64</f>
        <v>1703</v>
      </c>
      <c r="G143" s="474">
        <f t="shared" si="3"/>
        <v>11013</v>
      </c>
      <c r="H143" s="17">
        <f t="shared" si="3"/>
        <v>8392793</v>
      </c>
      <c r="I143" s="53">
        <f t="shared" si="3"/>
        <v>128068.37472449051</v>
      </c>
      <c r="J143" s="17">
        <f t="shared" si="3"/>
        <v>684949</v>
      </c>
      <c r="K143" s="16">
        <f t="shared" si="3"/>
        <v>7835912.3747244906</v>
      </c>
    </row>
    <row r="144" spans="1:12" ht="18" customHeight="1">
      <c r="A144" s="5" t="s">
        <v>146</v>
      </c>
      <c r="B144" s="2" t="s">
        <v>67</v>
      </c>
      <c r="F144" s="474">
        <f t="shared" ref="F144:K144" si="4">F74</f>
        <v>0</v>
      </c>
      <c r="G144" s="474">
        <f t="shared" si="4"/>
        <v>0</v>
      </c>
      <c r="H144" s="17">
        <f t="shared" si="4"/>
        <v>4213321</v>
      </c>
      <c r="I144" s="53">
        <f t="shared" si="4"/>
        <v>0</v>
      </c>
      <c r="J144" s="17">
        <f t="shared" si="4"/>
        <v>4213321</v>
      </c>
      <c r="K144" s="16">
        <f t="shared" si="4"/>
        <v>0</v>
      </c>
    </row>
    <row r="145" spans="1:11" ht="18" customHeight="1">
      <c r="A145" s="5" t="s">
        <v>148</v>
      </c>
      <c r="B145" s="2" t="s">
        <v>68</v>
      </c>
      <c r="F145" s="474">
        <f t="shared" ref="F145:K145" si="5">F82</f>
        <v>732.5</v>
      </c>
      <c r="G145" s="474">
        <f t="shared" si="5"/>
        <v>1266</v>
      </c>
      <c r="H145" s="17">
        <f t="shared" si="5"/>
        <v>931596</v>
      </c>
      <c r="I145" s="53">
        <f t="shared" si="5"/>
        <v>16391.607424486876</v>
      </c>
      <c r="J145" s="17">
        <f t="shared" si="5"/>
        <v>0</v>
      </c>
      <c r="K145" s="16">
        <f t="shared" si="5"/>
        <v>947987.60742448689</v>
      </c>
    </row>
    <row r="146" spans="1:11" ht="18" customHeight="1">
      <c r="A146" s="5" t="s">
        <v>150</v>
      </c>
      <c r="B146" s="2" t="s">
        <v>69</v>
      </c>
      <c r="F146" s="474">
        <f t="shared" ref="F146:K146" si="6">F98</f>
        <v>4264.1000000000004</v>
      </c>
      <c r="G146" s="474">
        <f t="shared" si="6"/>
        <v>47950</v>
      </c>
      <c r="H146" s="17">
        <f t="shared" si="6"/>
        <v>749393</v>
      </c>
      <c r="I146" s="53">
        <f t="shared" si="6"/>
        <v>403743.12516115024</v>
      </c>
      <c r="J146" s="17">
        <f t="shared" si="6"/>
        <v>20811</v>
      </c>
      <c r="K146" s="16">
        <f t="shared" si="6"/>
        <v>1132325.1251611502</v>
      </c>
    </row>
    <row r="147" spans="1:11" ht="18" customHeight="1">
      <c r="A147" s="5" t="s">
        <v>153</v>
      </c>
      <c r="B147" s="2" t="s">
        <v>61</v>
      </c>
      <c r="F147" s="474">
        <f t="shared" ref="F147:K147" si="7">F108</f>
        <v>1796.6999999999998</v>
      </c>
      <c r="G147" s="474">
        <f t="shared" si="7"/>
        <v>16</v>
      </c>
      <c r="H147" s="17">
        <f t="shared" si="7"/>
        <v>150523</v>
      </c>
      <c r="I147" s="53">
        <f t="shared" si="7"/>
        <v>82194.480790060567</v>
      </c>
      <c r="J147" s="17">
        <f t="shared" si="7"/>
        <v>31217</v>
      </c>
      <c r="K147" s="16">
        <f t="shared" si="7"/>
        <v>201500.48079006057</v>
      </c>
    </row>
    <row r="148" spans="1:11" ht="18" customHeight="1">
      <c r="A148" s="5" t="s">
        <v>155</v>
      </c>
      <c r="B148" s="2" t="s">
        <v>70</v>
      </c>
      <c r="F148" s="474" t="s">
        <v>73</v>
      </c>
      <c r="G148" s="474" t="s">
        <v>73</v>
      </c>
      <c r="H148" s="17" t="s">
        <v>73</v>
      </c>
      <c r="I148" s="53" t="s">
        <v>73</v>
      </c>
      <c r="J148" s="17" t="s">
        <v>73</v>
      </c>
      <c r="K148" s="16">
        <f>F111</f>
        <v>4501300</v>
      </c>
    </row>
    <row r="149" spans="1:11" ht="18" customHeight="1">
      <c r="A149" s="5" t="s">
        <v>163</v>
      </c>
      <c r="B149" s="2" t="s">
        <v>71</v>
      </c>
      <c r="F149" s="474">
        <f t="shared" ref="F149:K149" si="8">F137</f>
        <v>0</v>
      </c>
      <c r="G149" s="474">
        <f t="shared" si="8"/>
        <v>8</v>
      </c>
      <c r="H149" s="17">
        <f t="shared" si="8"/>
        <v>168532.21</v>
      </c>
      <c r="I149" s="53">
        <f t="shared" si="8"/>
        <v>86423.868259872135</v>
      </c>
      <c r="J149" s="17">
        <f t="shared" si="8"/>
        <v>0</v>
      </c>
      <c r="K149" s="16">
        <f t="shared" si="8"/>
        <v>254956.07825987213</v>
      </c>
    </row>
    <row r="150" spans="1:11" ht="18" customHeight="1">
      <c r="A150" s="5" t="s">
        <v>185</v>
      </c>
      <c r="B150" s="2" t="s">
        <v>186</v>
      </c>
      <c r="F150" s="474" t="s">
        <v>73</v>
      </c>
      <c r="G150" s="474" t="s">
        <v>73</v>
      </c>
      <c r="H150" s="17">
        <f>H18</f>
        <v>7338768</v>
      </c>
      <c r="I150" s="53">
        <f>I18</f>
        <v>0</v>
      </c>
      <c r="J150" s="17">
        <f>J18</f>
        <v>6686334</v>
      </c>
      <c r="K150" s="16">
        <f>K18</f>
        <v>652434</v>
      </c>
    </row>
    <row r="151" spans="1:11" ht="18" customHeight="1">
      <c r="B151" s="2"/>
      <c r="F151" s="48"/>
      <c r="G151" s="48"/>
      <c r="H151" s="48"/>
      <c r="I151" s="48"/>
      <c r="J151" s="48"/>
      <c r="K151" s="48"/>
    </row>
    <row r="152" spans="1:11" ht="18" customHeight="1">
      <c r="A152" s="6" t="s">
        <v>165</v>
      </c>
      <c r="B152" s="2" t="s">
        <v>26</v>
      </c>
      <c r="F152" s="474">
        <f t="shared" ref="F152:K152" si="9">SUM(F141:F150)</f>
        <v>80284.400000000009</v>
      </c>
      <c r="G152" s="474">
        <f t="shared" si="9"/>
        <v>127006</v>
      </c>
      <c r="H152" s="17">
        <f t="shared" si="9"/>
        <v>26647835.210000001</v>
      </c>
      <c r="I152" s="17">
        <f t="shared" si="9"/>
        <v>2383544.5223434889</v>
      </c>
      <c r="J152" s="17">
        <f t="shared" si="9"/>
        <v>12100188</v>
      </c>
      <c r="K152" s="17">
        <f t="shared" si="9"/>
        <v>21432491.732343487</v>
      </c>
    </row>
    <row r="154" spans="1:11" ht="18" customHeight="1">
      <c r="A154" s="6" t="s">
        <v>168</v>
      </c>
      <c r="B154" s="2" t="s">
        <v>28</v>
      </c>
      <c r="F154" s="64">
        <f>K152/F121</f>
        <v>9.5169007615045084E-2</v>
      </c>
      <c r="H154" s="471"/>
    </row>
    <row r="155" spans="1:11" ht="18" customHeight="1">
      <c r="A155" s="6" t="s">
        <v>169</v>
      </c>
      <c r="B155" s="2" t="s">
        <v>72</v>
      </c>
      <c r="F155" s="64">
        <f>K152/F127</f>
        <v>1.2486490440783475</v>
      </c>
      <c r="G155" s="2"/>
    </row>
    <row r="156" spans="1:11" ht="18" customHeight="1">
      <c r="G156" s="2"/>
    </row>
  </sheetData>
  <mergeCells count="33">
    <mergeCell ref="B41:C41"/>
    <mergeCell ref="D2:H2"/>
    <mergeCell ref="C5:G5"/>
    <mergeCell ref="C6:G6"/>
    <mergeCell ref="C7:G7"/>
    <mergeCell ref="C9:G9"/>
    <mergeCell ref="C10:G10"/>
    <mergeCell ref="C11:G11"/>
    <mergeCell ref="B13:H13"/>
    <mergeCell ref="B30:D30"/>
    <mergeCell ref="B31:D31"/>
    <mergeCell ref="B34:D34"/>
    <mergeCell ref="B94:D94"/>
    <mergeCell ref="B44:D44"/>
    <mergeCell ref="B45:D45"/>
    <mergeCell ref="B46:D46"/>
    <mergeCell ref="B47:D47"/>
    <mergeCell ref="B52:C52"/>
    <mergeCell ref="B53:D53"/>
    <mergeCell ref="B55:D55"/>
    <mergeCell ref="B56:D56"/>
    <mergeCell ref="B57:D57"/>
    <mergeCell ref="B59:D59"/>
    <mergeCell ref="B90:C90"/>
    <mergeCell ref="B133:D133"/>
    <mergeCell ref="B134:D134"/>
    <mergeCell ref="B135:D135"/>
    <mergeCell ref="B95:D95"/>
    <mergeCell ref="B96:D96"/>
    <mergeCell ref="B103:C103"/>
    <mergeCell ref="B104:D104"/>
    <mergeCell ref="B105:D105"/>
    <mergeCell ref="B106:D106"/>
  </mergeCells>
  <hyperlinks>
    <hyperlink ref="C11" r:id="rId1"/>
  </hyperlinks>
  <printOptions headings="1" gridLines="1"/>
  <pageMargins left="0.17" right="0.16" top="0.35" bottom="0.32" header="0.17" footer="0.17"/>
  <pageSetup scale="54" fitToHeight="3" orientation="landscape" horizontalDpi="4294967294" r:id="rId2"/>
  <headerFooter alignWithMargins="0">
    <oddFooter>&amp;L&amp;Z&amp;F.xls&amp;C&amp;P of &amp;N&amp;R&amp;D</oddFooter>
  </headerFooter>
  <rowBreaks count="3" manualBreakCount="3">
    <brk id="37" max="10" man="1"/>
    <brk id="83" max="10" man="1"/>
    <brk id="12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zoomScaleNormal="100" workbookViewId="0">
      <selection activeCell="H1" sqref="H1:N13"/>
    </sheetView>
  </sheetViews>
  <sheetFormatPr defaultRowHeight="15"/>
  <cols>
    <col min="1" max="1" width="38.5703125" style="156" customWidth="1"/>
    <col min="2" max="2" width="7.5703125" style="156" hidden="1" customWidth="1"/>
    <col min="3" max="3" width="16.28515625" style="156" customWidth="1"/>
    <col min="4" max="4" width="17.5703125" style="156" customWidth="1"/>
    <col min="5" max="5" width="13.5703125" style="156" hidden="1" customWidth="1"/>
    <col min="6" max="7" width="9.140625" style="156"/>
    <col min="8" max="8" width="41.42578125" style="156" bestFit="1" customWidth="1"/>
    <col min="9" max="9" width="9.140625" style="156"/>
    <col min="10" max="10" width="14.28515625" style="156" bestFit="1" customWidth="1"/>
    <col min="11" max="16384" width="9.140625" style="156"/>
  </cols>
  <sheetData>
    <row r="1" spans="1:10" ht="75">
      <c r="A1" s="176" t="s">
        <v>221</v>
      </c>
      <c r="B1" s="175"/>
      <c r="C1" s="174" t="s">
        <v>358</v>
      </c>
      <c r="D1" s="173" t="s">
        <v>357</v>
      </c>
      <c r="E1" s="172" t="s">
        <v>356</v>
      </c>
    </row>
    <row r="2" spans="1:10">
      <c r="A2" s="164" t="s">
        <v>204</v>
      </c>
      <c r="B2" s="163">
        <v>1</v>
      </c>
      <c r="C2" s="171">
        <v>295465200</v>
      </c>
      <c r="D2" s="169">
        <f t="shared" ref="D2:D33" si="0">C2*0.001</f>
        <v>295465.2</v>
      </c>
      <c r="E2" s="161">
        <f t="shared" ref="E2:E7" si="1">D2</f>
        <v>295465.2</v>
      </c>
      <c r="G2" s="157">
        <v>1</v>
      </c>
      <c r="H2" s="157" t="s">
        <v>205</v>
      </c>
      <c r="J2" s="170">
        <f>D2</f>
        <v>295465.2</v>
      </c>
    </row>
    <row r="3" spans="1:10">
      <c r="A3" s="164" t="s">
        <v>220</v>
      </c>
      <c r="B3" s="163">
        <v>2</v>
      </c>
      <c r="C3" s="171">
        <v>1179258000</v>
      </c>
      <c r="D3" s="169">
        <f t="shared" si="0"/>
        <v>1179258</v>
      </c>
      <c r="E3" s="161">
        <f t="shared" si="1"/>
        <v>1179258</v>
      </c>
      <c r="G3" s="157">
        <v>2</v>
      </c>
      <c r="H3" s="157" t="s">
        <v>995</v>
      </c>
      <c r="J3" s="170">
        <v>1420398</v>
      </c>
    </row>
    <row r="4" spans="1:10">
      <c r="A4" s="164" t="s">
        <v>224</v>
      </c>
      <c r="B4" s="163">
        <v>3</v>
      </c>
      <c r="C4" s="171">
        <v>255903800</v>
      </c>
      <c r="D4" s="169">
        <f t="shared" si="0"/>
        <v>255903.80000000002</v>
      </c>
      <c r="E4" s="161">
        <f t="shared" si="1"/>
        <v>255903.80000000002</v>
      </c>
      <c r="G4" s="157">
        <v>3</v>
      </c>
      <c r="H4" s="157" t="s">
        <v>299</v>
      </c>
      <c r="J4" s="170">
        <f t="shared" ref="J4:J44" si="2">D4</f>
        <v>255903.80000000002</v>
      </c>
    </row>
    <row r="5" spans="1:10">
      <c r="A5" s="164" t="s">
        <v>225</v>
      </c>
      <c r="B5" s="163">
        <v>4</v>
      </c>
      <c r="C5" s="171">
        <v>453731600</v>
      </c>
      <c r="D5" s="169">
        <f t="shared" si="0"/>
        <v>453731.60000000003</v>
      </c>
      <c r="E5" s="161">
        <f t="shared" si="1"/>
        <v>453731.60000000003</v>
      </c>
      <c r="G5" s="157">
        <v>4</v>
      </c>
      <c r="H5" s="157" t="s">
        <v>300</v>
      </c>
      <c r="J5" s="170">
        <f t="shared" si="2"/>
        <v>453731.60000000003</v>
      </c>
    </row>
    <row r="6" spans="1:10">
      <c r="A6" s="164" t="s">
        <v>226</v>
      </c>
      <c r="B6" s="163">
        <v>5</v>
      </c>
      <c r="C6" s="171">
        <v>334410300.00000006</v>
      </c>
      <c r="D6" s="169">
        <f t="shared" si="0"/>
        <v>334410.30000000005</v>
      </c>
      <c r="E6" s="161">
        <f t="shared" si="1"/>
        <v>334410.30000000005</v>
      </c>
      <c r="G6" s="157">
        <v>5</v>
      </c>
      <c r="H6" s="157" t="s">
        <v>206</v>
      </c>
      <c r="J6" s="170">
        <f t="shared" si="2"/>
        <v>334410.30000000005</v>
      </c>
    </row>
    <row r="7" spans="1:10">
      <c r="A7" s="164" t="s">
        <v>230</v>
      </c>
      <c r="B7" s="163">
        <v>6</v>
      </c>
      <c r="C7" s="171">
        <v>104451400</v>
      </c>
      <c r="D7" s="169">
        <f t="shared" si="0"/>
        <v>104451.40000000001</v>
      </c>
      <c r="E7" s="161">
        <f t="shared" si="1"/>
        <v>104451.40000000001</v>
      </c>
      <c r="G7" s="157">
        <v>6</v>
      </c>
      <c r="H7" s="157" t="s">
        <v>301</v>
      </c>
      <c r="J7" s="170">
        <f t="shared" si="2"/>
        <v>104451.40000000001</v>
      </c>
    </row>
    <row r="8" spans="1:10">
      <c r="A8" s="164" t="s">
        <v>231</v>
      </c>
      <c r="B8" s="163">
        <v>8</v>
      </c>
      <c r="C8" s="171">
        <v>459265699.99999994</v>
      </c>
      <c r="D8" s="169">
        <f t="shared" si="0"/>
        <v>459265.69999999995</v>
      </c>
      <c r="E8" s="161">
        <f>D44</f>
        <v>354785.60000000003</v>
      </c>
      <c r="G8" s="157">
        <v>8</v>
      </c>
      <c r="H8" s="157" t="s">
        <v>302</v>
      </c>
      <c r="J8" s="170">
        <f t="shared" si="2"/>
        <v>459265.69999999995</v>
      </c>
    </row>
    <row r="9" spans="1:10">
      <c r="A9" s="164" t="s">
        <v>232</v>
      </c>
      <c r="B9" s="163">
        <v>9</v>
      </c>
      <c r="C9" s="171">
        <v>1851351500</v>
      </c>
      <c r="D9" s="169">
        <f t="shared" si="0"/>
        <v>1851351.5</v>
      </c>
      <c r="E9" s="161">
        <f t="shared" ref="E9:E40" si="3">D8</f>
        <v>459265.69999999995</v>
      </c>
      <c r="G9" s="157">
        <v>9</v>
      </c>
      <c r="H9" s="157" t="s">
        <v>303</v>
      </c>
      <c r="J9" s="170">
        <f t="shared" si="2"/>
        <v>1851351.5</v>
      </c>
    </row>
    <row r="10" spans="1:10">
      <c r="A10" s="164" t="s">
        <v>355</v>
      </c>
      <c r="B10" s="163">
        <v>10</v>
      </c>
      <c r="C10" s="171">
        <v>59359900</v>
      </c>
      <c r="D10" s="169">
        <f t="shared" si="0"/>
        <v>59359.9</v>
      </c>
      <c r="E10" s="161">
        <f t="shared" si="3"/>
        <v>1851351.5</v>
      </c>
      <c r="G10" s="157">
        <v>10</v>
      </c>
      <c r="H10" s="157" t="s">
        <v>304</v>
      </c>
      <c r="J10" s="170">
        <f t="shared" si="2"/>
        <v>59359.9</v>
      </c>
    </row>
    <row r="11" spans="1:10">
      <c r="A11" s="164" t="s">
        <v>233</v>
      </c>
      <c r="B11" s="163">
        <v>11</v>
      </c>
      <c r="C11" s="171">
        <v>401564200</v>
      </c>
      <c r="D11" s="169">
        <f t="shared" si="0"/>
        <v>401564.2</v>
      </c>
      <c r="E11" s="161">
        <f t="shared" si="3"/>
        <v>59359.9</v>
      </c>
      <c r="G11" s="157">
        <v>11</v>
      </c>
      <c r="H11" s="157" t="s">
        <v>207</v>
      </c>
      <c r="J11" s="170">
        <f t="shared" si="2"/>
        <v>401564.2</v>
      </c>
    </row>
    <row r="12" spans="1:10">
      <c r="A12" s="164" t="s">
        <v>234</v>
      </c>
      <c r="B12" s="163">
        <v>12</v>
      </c>
      <c r="C12" s="171">
        <v>676602700.00000012</v>
      </c>
      <c r="D12" s="169">
        <f t="shared" si="0"/>
        <v>676602.70000000019</v>
      </c>
      <c r="E12" s="161">
        <f t="shared" si="3"/>
        <v>401564.2</v>
      </c>
      <c r="G12" s="157">
        <v>12</v>
      </c>
      <c r="H12" s="157" t="s">
        <v>305</v>
      </c>
      <c r="J12" s="170">
        <f t="shared" si="2"/>
        <v>676602.70000000019</v>
      </c>
    </row>
    <row r="13" spans="1:10">
      <c r="A13" s="164" t="s">
        <v>235</v>
      </c>
      <c r="B13" s="163">
        <v>13</v>
      </c>
      <c r="C13" s="171">
        <v>130651800</v>
      </c>
      <c r="D13" s="169">
        <f t="shared" si="0"/>
        <v>130651.8</v>
      </c>
      <c r="E13" s="161">
        <f t="shared" si="3"/>
        <v>676602.70000000019</v>
      </c>
      <c r="G13" s="157">
        <v>13</v>
      </c>
      <c r="H13" s="157" t="s">
        <v>208</v>
      </c>
      <c r="J13" s="170">
        <f t="shared" si="2"/>
        <v>130651.8</v>
      </c>
    </row>
    <row r="14" spans="1:10">
      <c r="A14" s="164" t="s">
        <v>354</v>
      </c>
      <c r="B14" s="163">
        <v>15</v>
      </c>
      <c r="C14" s="171">
        <v>477082000</v>
      </c>
      <c r="D14" s="169">
        <f t="shared" si="0"/>
        <v>477082</v>
      </c>
      <c r="E14" s="161">
        <f t="shared" si="3"/>
        <v>130651.8</v>
      </c>
      <c r="G14" s="157">
        <v>15</v>
      </c>
      <c r="H14" s="157" t="s">
        <v>306</v>
      </c>
      <c r="J14" s="170">
        <f t="shared" si="2"/>
        <v>477082</v>
      </c>
    </row>
    <row r="15" spans="1:10">
      <c r="A15" s="164" t="s">
        <v>236</v>
      </c>
      <c r="B15" s="163">
        <v>16</v>
      </c>
      <c r="C15" s="171">
        <v>260716099.99999997</v>
      </c>
      <c r="D15" s="169">
        <f t="shared" si="0"/>
        <v>260716.09999999998</v>
      </c>
      <c r="E15" s="161">
        <f t="shared" si="3"/>
        <v>477082</v>
      </c>
      <c r="G15" s="157">
        <v>16</v>
      </c>
      <c r="H15" s="157" t="s">
        <v>307</v>
      </c>
      <c r="J15" s="170">
        <f t="shared" si="2"/>
        <v>260716.09999999998</v>
      </c>
    </row>
    <row r="16" spans="1:10">
      <c r="A16" s="164" t="s">
        <v>237</v>
      </c>
      <c r="B16" s="163">
        <v>17</v>
      </c>
      <c r="C16" s="171">
        <v>42709900</v>
      </c>
      <c r="D16" s="169">
        <f t="shared" si="0"/>
        <v>42709.9</v>
      </c>
      <c r="E16" s="161">
        <f t="shared" si="3"/>
        <v>260716.09999999998</v>
      </c>
      <c r="G16" s="157">
        <v>17</v>
      </c>
      <c r="H16" s="157" t="s">
        <v>308</v>
      </c>
      <c r="J16" s="170">
        <f t="shared" si="2"/>
        <v>42709.9</v>
      </c>
    </row>
    <row r="17" spans="1:10">
      <c r="A17" s="164" t="s">
        <v>353</v>
      </c>
      <c r="B17" s="163">
        <v>18</v>
      </c>
      <c r="C17" s="171">
        <v>165915000</v>
      </c>
      <c r="D17" s="169">
        <f t="shared" si="0"/>
        <v>165915</v>
      </c>
      <c r="E17" s="161">
        <f t="shared" si="3"/>
        <v>42709.9</v>
      </c>
      <c r="G17" s="157">
        <v>18</v>
      </c>
      <c r="H17" s="157" t="s">
        <v>309</v>
      </c>
      <c r="J17" s="170">
        <f t="shared" si="2"/>
        <v>165915</v>
      </c>
    </row>
    <row r="18" spans="1:10">
      <c r="A18" s="164" t="s">
        <v>238</v>
      </c>
      <c r="B18" s="163">
        <v>19</v>
      </c>
      <c r="C18" s="171">
        <v>414765500</v>
      </c>
      <c r="D18" s="169">
        <f t="shared" si="0"/>
        <v>414765.5</v>
      </c>
      <c r="E18" s="161">
        <f t="shared" si="3"/>
        <v>165915</v>
      </c>
      <c r="G18" s="157">
        <v>19</v>
      </c>
      <c r="H18" s="157" t="s">
        <v>310</v>
      </c>
      <c r="J18" s="170">
        <f t="shared" si="2"/>
        <v>414765.5</v>
      </c>
    </row>
    <row r="19" spans="1:10">
      <c r="A19" s="164" t="s">
        <v>239</v>
      </c>
      <c r="B19" s="163">
        <v>22</v>
      </c>
      <c r="C19" s="171">
        <v>272892400</v>
      </c>
      <c r="D19" s="169">
        <f t="shared" si="0"/>
        <v>272892.40000000002</v>
      </c>
      <c r="E19" s="161">
        <f t="shared" si="3"/>
        <v>414765.5</v>
      </c>
      <c r="G19" s="157">
        <v>22</v>
      </c>
      <c r="H19" s="157" t="s">
        <v>311</v>
      </c>
      <c r="J19" s="170">
        <f t="shared" si="2"/>
        <v>272892.40000000002</v>
      </c>
    </row>
    <row r="20" spans="1:10">
      <c r="A20" s="164" t="s">
        <v>240</v>
      </c>
      <c r="B20" s="163">
        <v>23</v>
      </c>
      <c r="C20" s="171">
        <v>523717000</v>
      </c>
      <c r="D20" s="169">
        <f t="shared" si="0"/>
        <v>523717</v>
      </c>
      <c r="E20" s="161">
        <f t="shared" si="3"/>
        <v>272892.40000000002</v>
      </c>
      <c r="G20" s="157">
        <v>23</v>
      </c>
      <c r="H20" s="157" t="s">
        <v>312</v>
      </c>
      <c r="J20" s="170">
        <f t="shared" si="2"/>
        <v>523717</v>
      </c>
    </row>
    <row r="21" spans="1:10">
      <c r="A21" s="164" t="s">
        <v>352</v>
      </c>
      <c r="B21" s="163">
        <v>24</v>
      </c>
      <c r="C21" s="171">
        <v>422530700.00000006</v>
      </c>
      <c r="D21" s="169">
        <f t="shared" si="0"/>
        <v>422530.70000000007</v>
      </c>
      <c r="E21" s="161">
        <f t="shared" si="3"/>
        <v>523717</v>
      </c>
      <c r="G21" s="157">
        <v>24</v>
      </c>
      <c r="H21" s="157" t="s">
        <v>313</v>
      </c>
      <c r="J21" s="170">
        <f t="shared" si="2"/>
        <v>422530.70000000007</v>
      </c>
    </row>
    <row r="22" spans="1:10">
      <c r="A22" s="164" t="s">
        <v>241</v>
      </c>
      <c r="B22" s="163">
        <v>27</v>
      </c>
      <c r="C22" s="171">
        <v>308555800</v>
      </c>
      <c r="D22" s="169">
        <f t="shared" si="0"/>
        <v>308555.8</v>
      </c>
      <c r="E22" s="161">
        <f t="shared" si="3"/>
        <v>422530.70000000007</v>
      </c>
      <c r="G22" s="157">
        <v>27</v>
      </c>
      <c r="H22" s="157" t="s">
        <v>314</v>
      </c>
      <c r="J22" s="170">
        <f t="shared" si="2"/>
        <v>308555.8</v>
      </c>
    </row>
    <row r="23" spans="1:10">
      <c r="A23" s="164" t="s">
        <v>351</v>
      </c>
      <c r="B23" s="163">
        <v>28</v>
      </c>
      <c r="C23" s="171">
        <v>151897000</v>
      </c>
      <c r="D23" s="169">
        <f t="shared" si="0"/>
        <v>151897</v>
      </c>
      <c r="E23" s="161">
        <f t="shared" si="3"/>
        <v>308555.8</v>
      </c>
      <c r="G23" s="157">
        <v>28</v>
      </c>
      <c r="H23" s="157" t="s">
        <v>315</v>
      </c>
      <c r="J23" s="170">
        <f t="shared" si="2"/>
        <v>151897</v>
      </c>
    </row>
    <row r="24" spans="1:10">
      <c r="A24" s="164" t="s">
        <v>242</v>
      </c>
      <c r="B24" s="163">
        <v>29</v>
      </c>
      <c r="C24" s="171">
        <v>584860100</v>
      </c>
      <c r="D24" s="169">
        <f t="shared" si="0"/>
        <v>584860.1</v>
      </c>
      <c r="E24" s="161">
        <f t="shared" si="3"/>
        <v>151897</v>
      </c>
      <c r="G24" s="157">
        <v>29</v>
      </c>
      <c r="H24" s="157" t="s">
        <v>316</v>
      </c>
      <c r="J24" s="170">
        <f t="shared" si="2"/>
        <v>584860.1</v>
      </c>
    </row>
    <row r="25" spans="1:10">
      <c r="A25" s="164" t="s">
        <v>350</v>
      </c>
      <c r="B25" s="163">
        <v>30</v>
      </c>
      <c r="C25" s="171">
        <v>65051700</v>
      </c>
      <c r="D25" s="169">
        <f t="shared" si="0"/>
        <v>65051.700000000004</v>
      </c>
      <c r="E25" s="161">
        <f t="shared" si="3"/>
        <v>584860.1</v>
      </c>
      <c r="G25" s="157">
        <v>30</v>
      </c>
      <c r="H25" s="157" t="s">
        <v>317</v>
      </c>
      <c r="J25" s="170">
        <f t="shared" si="2"/>
        <v>65051.700000000004</v>
      </c>
    </row>
    <row r="26" spans="1:10">
      <c r="A26" s="164" t="s">
        <v>210</v>
      </c>
      <c r="B26" s="163">
        <v>32</v>
      </c>
      <c r="C26" s="171">
        <v>148428400.00000003</v>
      </c>
      <c r="D26" s="169">
        <f t="shared" si="0"/>
        <v>148428.40000000002</v>
      </c>
      <c r="E26" s="161">
        <f t="shared" si="3"/>
        <v>65051.700000000004</v>
      </c>
      <c r="G26" s="157">
        <v>32</v>
      </c>
      <c r="H26" s="157" t="s">
        <v>318</v>
      </c>
      <c r="J26" s="170">
        <f t="shared" si="2"/>
        <v>148428.40000000002</v>
      </c>
    </row>
    <row r="27" spans="1:10">
      <c r="A27" s="164" t="s">
        <v>211</v>
      </c>
      <c r="B27" s="163">
        <v>33</v>
      </c>
      <c r="C27" s="171">
        <v>243424400</v>
      </c>
      <c r="D27" s="169">
        <f t="shared" si="0"/>
        <v>243424.4</v>
      </c>
      <c r="E27" s="161">
        <f t="shared" si="3"/>
        <v>148428.40000000002</v>
      </c>
      <c r="G27" s="157">
        <v>33</v>
      </c>
      <c r="H27" s="157" t="s">
        <v>319</v>
      </c>
      <c r="J27" s="170">
        <f t="shared" si="2"/>
        <v>243424.4</v>
      </c>
    </row>
    <row r="28" spans="1:10">
      <c r="A28" s="164" t="s">
        <v>349</v>
      </c>
      <c r="B28" s="163">
        <v>34</v>
      </c>
      <c r="C28" s="171">
        <v>209694300.00000003</v>
      </c>
      <c r="D28" s="169">
        <f t="shared" si="0"/>
        <v>209694.30000000005</v>
      </c>
      <c r="E28" s="161">
        <f t="shared" si="3"/>
        <v>243424.4</v>
      </c>
      <c r="G28" s="157">
        <v>34</v>
      </c>
      <c r="H28" s="157" t="s">
        <v>320</v>
      </c>
      <c r="J28" s="170">
        <f t="shared" si="2"/>
        <v>209694.30000000005</v>
      </c>
    </row>
    <row r="29" spans="1:10">
      <c r="A29" s="164" t="s">
        <v>348</v>
      </c>
      <c r="B29" s="163">
        <v>35</v>
      </c>
      <c r="C29" s="171">
        <v>126393900</v>
      </c>
      <c r="D29" s="169">
        <f t="shared" si="0"/>
        <v>126393.90000000001</v>
      </c>
      <c r="E29" s="161">
        <f t="shared" si="3"/>
        <v>209694.30000000005</v>
      </c>
      <c r="G29" s="157">
        <v>35</v>
      </c>
      <c r="H29" s="157" t="s">
        <v>321</v>
      </c>
      <c r="J29" s="170">
        <f t="shared" si="2"/>
        <v>126393.90000000001</v>
      </c>
    </row>
    <row r="30" spans="1:10">
      <c r="A30" s="164" t="s">
        <v>347</v>
      </c>
      <c r="B30" s="163">
        <v>37</v>
      </c>
      <c r="C30" s="171">
        <v>184647500</v>
      </c>
      <c r="D30" s="169">
        <f t="shared" si="0"/>
        <v>184647.5</v>
      </c>
      <c r="E30" s="161">
        <f t="shared" si="3"/>
        <v>126393.90000000001</v>
      </c>
      <c r="G30" s="157">
        <v>37</v>
      </c>
      <c r="H30" s="157" t="s">
        <v>322</v>
      </c>
      <c r="J30" s="170">
        <f t="shared" si="2"/>
        <v>184647.5</v>
      </c>
    </row>
    <row r="31" spans="1:10">
      <c r="A31" s="164" t="s">
        <v>346</v>
      </c>
      <c r="B31" s="163">
        <v>38</v>
      </c>
      <c r="C31" s="171">
        <v>185438390</v>
      </c>
      <c r="D31" s="169">
        <f t="shared" si="0"/>
        <v>185438.39</v>
      </c>
      <c r="E31" s="161">
        <f t="shared" si="3"/>
        <v>184647.5</v>
      </c>
      <c r="G31" s="157">
        <v>38</v>
      </c>
      <c r="H31" s="157" t="s">
        <v>323</v>
      </c>
      <c r="J31" s="170">
        <f t="shared" si="2"/>
        <v>185438.39</v>
      </c>
    </row>
    <row r="32" spans="1:10">
      <c r="A32" s="164" t="s">
        <v>243</v>
      </c>
      <c r="B32" s="163">
        <v>39</v>
      </c>
      <c r="C32" s="171">
        <v>135740500</v>
      </c>
      <c r="D32" s="169">
        <f t="shared" si="0"/>
        <v>135740.5</v>
      </c>
      <c r="E32" s="161">
        <f t="shared" si="3"/>
        <v>185438.39</v>
      </c>
      <c r="G32" s="157">
        <v>39</v>
      </c>
      <c r="H32" s="157" t="s">
        <v>324</v>
      </c>
      <c r="J32" s="170">
        <f t="shared" si="2"/>
        <v>135740.5</v>
      </c>
    </row>
    <row r="33" spans="1:10">
      <c r="A33" s="164" t="s">
        <v>244</v>
      </c>
      <c r="B33" s="163">
        <v>40</v>
      </c>
      <c r="C33" s="171">
        <v>238730100.00000003</v>
      </c>
      <c r="D33" s="169">
        <f t="shared" si="0"/>
        <v>238730.10000000003</v>
      </c>
      <c r="E33" s="161">
        <f t="shared" si="3"/>
        <v>135740.5</v>
      </c>
      <c r="G33" s="157">
        <v>40</v>
      </c>
      <c r="H33" s="157" t="s">
        <v>325</v>
      </c>
      <c r="J33" s="170">
        <f t="shared" si="2"/>
        <v>238730.10000000003</v>
      </c>
    </row>
    <row r="34" spans="1:10">
      <c r="A34" s="164" t="s">
        <v>345</v>
      </c>
      <c r="B34" s="163">
        <v>43</v>
      </c>
      <c r="C34" s="171">
        <v>381065300</v>
      </c>
      <c r="D34" s="169">
        <f t="shared" ref="D34:D53" si="4">C34*0.001</f>
        <v>381065.3</v>
      </c>
      <c r="E34" s="161">
        <f t="shared" si="3"/>
        <v>238730.10000000003</v>
      </c>
      <c r="G34" s="157">
        <v>43</v>
      </c>
      <c r="H34" s="157" t="s">
        <v>326</v>
      </c>
      <c r="J34" s="170">
        <f t="shared" si="2"/>
        <v>381065.3</v>
      </c>
    </row>
    <row r="35" spans="1:10">
      <c r="A35" s="164" t="s">
        <v>245</v>
      </c>
      <c r="B35" s="163">
        <v>44</v>
      </c>
      <c r="C35" s="171">
        <v>426432400</v>
      </c>
      <c r="D35" s="169">
        <f t="shared" si="4"/>
        <v>426432.4</v>
      </c>
      <c r="E35" s="161">
        <f t="shared" si="3"/>
        <v>381065.3</v>
      </c>
      <c r="G35" s="157">
        <v>44</v>
      </c>
      <c r="H35" s="157" t="s">
        <v>212</v>
      </c>
      <c r="J35" s="170">
        <f t="shared" si="2"/>
        <v>426432.4</v>
      </c>
    </row>
    <row r="36" spans="1:10">
      <c r="A36" s="164" t="s">
        <v>246</v>
      </c>
      <c r="B36" s="163">
        <v>45</v>
      </c>
      <c r="C36" s="171">
        <v>17710400</v>
      </c>
      <c r="D36" s="169">
        <f t="shared" si="4"/>
        <v>17710.400000000001</v>
      </c>
      <c r="E36" s="161">
        <f t="shared" si="3"/>
        <v>426432.4</v>
      </c>
      <c r="G36" s="157">
        <v>45</v>
      </c>
      <c r="H36" s="157" t="s">
        <v>213</v>
      </c>
      <c r="J36" s="170">
        <f t="shared" si="2"/>
        <v>17710.400000000001</v>
      </c>
    </row>
    <row r="37" spans="1:10">
      <c r="A37" s="164" t="s">
        <v>247</v>
      </c>
      <c r="B37" s="163">
        <v>48</v>
      </c>
      <c r="C37" s="171">
        <v>275201899.99999994</v>
      </c>
      <c r="D37" s="169">
        <f t="shared" si="4"/>
        <v>275201.89999999997</v>
      </c>
      <c r="E37" s="161">
        <f t="shared" si="3"/>
        <v>17710.400000000001</v>
      </c>
      <c r="G37" s="157">
        <v>48</v>
      </c>
      <c r="H37" s="157" t="s">
        <v>327</v>
      </c>
      <c r="J37" s="170">
        <f t="shared" si="2"/>
        <v>275201.89999999997</v>
      </c>
    </row>
    <row r="38" spans="1:10">
      <c r="A38" s="164" t="s">
        <v>248</v>
      </c>
      <c r="B38" s="163">
        <v>49</v>
      </c>
      <c r="C38" s="171">
        <v>283588000</v>
      </c>
      <c r="D38" s="169">
        <f t="shared" si="4"/>
        <v>283588</v>
      </c>
      <c r="E38" s="161">
        <f t="shared" si="3"/>
        <v>275201.89999999997</v>
      </c>
      <c r="G38" s="157">
        <v>49</v>
      </c>
      <c r="H38" s="157" t="s">
        <v>328</v>
      </c>
      <c r="J38" s="170">
        <f t="shared" si="2"/>
        <v>283588</v>
      </c>
    </row>
    <row r="39" spans="1:10">
      <c r="A39" s="164" t="s">
        <v>249</v>
      </c>
      <c r="B39" s="163">
        <v>51</v>
      </c>
      <c r="C39" s="171">
        <v>214285300</v>
      </c>
      <c r="D39" s="169">
        <f t="shared" si="4"/>
        <v>214285.30000000002</v>
      </c>
      <c r="E39" s="161">
        <f t="shared" si="3"/>
        <v>283588</v>
      </c>
      <c r="G39" s="157">
        <v>51</v>
      </c>
      <c r="H39" s="157" t="s">
        <v>329</v>
      </c>
      <c r="J39" s="170">
        <f t="shared" si="2"/>
        <v>214285.30000000002</v>
      </c>
    </row>
    <row r="40" spans="1:10">
      <c r="A40" s="164" t="s">
        <v>251</v>
      </c>
      <c r="B40" s="163">
        <v>55</v>
      </c>
      <c r="C40" s="171">
        <v>118724400.00000001</v>
      </c>
      <c r="D40" s="169">
        <f t="shared" si="4"/>
        <v>118724.40000000002</v>
      </c>
      <c r="E40" s="161">
        <f t="shared" si="3"/>
        <v>214285.30000000002</v>
      </c>
      <c r="G40" s="157">
        <v>55</v>
      </c>
      <c r="H40" s="157" t="s">
        <v>330</v>
      </c>
      <c r="J40" s="170">
        <f t="shared" si="2"/>
        <v>118724.40000000002</v>
      </c>
    </row>
    <row r="41" spans="1:10">
      <c r="A41" s="164" t="s">
        <v>252</v>
      </c>
      <c r="B41" s="163">
        <v>60</v>
      </c>
      <c r="C41" s="171">
        <v>46176442</v>
      </c>
      <c r="D41" s="169">
        <f>C41*0.001</f>
        <v>46176.442000000003</v>
      </c>
      <c r="E41" s="161">
        <f>D39</f>
        <v>214285.30000000002</v>
      </c>
      <c r="G41" s="157">
        <v>60</v>
      </c>
      <c r="H41" s="157" t="s">
        <v>331</v>
      </c>
      <c r="J41" s="170">
        <f>D41</f>
        <v>46176.442000000003</v>
      </c>
    </row>
    <row r="42" spans="1:10">
      <c r="A42" s="164" t="s">
        <v>253</v>
      </c>
      <c r="B42" s="163">
        <v>61</v>
      </c>
      <c r="C42" s="171">
        <v>95474200</v>
      </c>
      <c r="D42" s="169">
        <f>C42*0.001</f>
        <v>95474.2</v>
      </c>
      <c r="E42" s="161">
        <f>D44</f>
        <v>354785.60000000003</v>
      </c>
      <c r="G42" s="157">
        <v>61</v>
      </c>
      <c r="H42" s="157" t="s">
        <v>214</v>
      </c>
      <c r="J42" s="170">
        <f>D42</f>
        <v>95474.2</v>
      </c>
    </row>
    <row r="43" spans="1:10">
      <c r="A43" s="164" t="s">
        <v>250</v>
      </c>
      <c r="B43" s="163">
        <v>54</v>
      </c>
      <c r="C43" s="171">
        <v>249258400</v>
      </c>
      <c r="D43" s="169">
        <f t="shared" si="4"/>
        <v>249258.4</v>
      </c>
      <c r="E43" s="161">
        <f>D45</f>
        <v>52498.9</v>
      </c>
      <c r="G43" s="157">
        <v>62</v>
      </c>
      <c r="H43" s="157" t="s">
        <v>332</v>
      </c>
      <c r="J43" s="170">
        <f t="shared" si="2"/>
        <v>249258.4</v>
      </c>
    </row>
    <row r="44" spans="1:10">
      <c r="A44" s="164" t="s">
        <v>344</v>
      </c>
      <c r="B44" s="163">
        <v>7</v>
      </c>
      <c r="C44" s="171">
        <v>354785600</v>
      </c>
      <c r="D44" s="169">
        <f t="shared" si="4"/>
        <v>354785.60000000003</v>
      </c>
      <c r="E44" s="161">
        <f>D42</f>
        <v>95474.2</v>
      </c>
      <c r="G44" s="157">
        <v>63</v>
      </c>
      <c r="H44" s="157" t="s">
        <v>333</v>
      </c>
      <c r="J44" s="170">
        <f t="shared" si="2"/>
        <v>354785.60000000003</v>
      </c>
    </row>
    <row r="45" spans="1:10">
      <c r="A45" s="164" t="s">
        <v>255</v>
      </c>
      <c r="B45" s="163"/>
      <c r="C45" s="171">
        <v>52498900</v>
      </c>
      <c r="D45" s="169">
        <f t="shared" si="4"/>
        <v>52498.9</v>
      </c>
      <c r="E45" s="161">
        <f>D41</f>
        <v>46176.442000000003</v>
      </c>
      <c r="G45" s="157">
        <v>2001</v>
      </c>
      <c r="H45" s="157" t="s">
        <v>335</v>
      </c>
      <c r="J45" s="170">
        <f>D46</f>
        <v>117995.40000000001</v>
      </c>
    </row>
    <row r="46" spans="1:10">
      <c r="A46" s="164" t="s">
        <v>343</v>
      </c>
      <c r="B46" s="163">
        <v>2001</v>
      </c>
      <c r="C46" s="171">
        <v>117995400</v>
      </c>
      <c r="D46" s="169">
        <f t="shared" si="4"/>
        <v>117995.40000000001</v>
      </c>
      <c r="E46" s="161">
        <f>D46</f>
        <v>117995.40000000001</v>
      </c>
      <c r="G46" s="157">
        <v>2004</v>
      </c>
      <c r="H46" s="157" t="s">
        <v>336</v>
      </c>
      <c r="J46" s="170">
        <f>D47</f>
        <v>311855.40000000002</v>
      </c>
    </row>
    <row r="47" spans="1:10">
      <c r="A47" s="164" t="s">
        <v>342</v>
      </c>
      <c r="B47" s="163">
        <v>2004</v>
      </c>
      <c r="C47" s="171">
        <v>311855400</v>
      </c>
      <c r="D47" s="169">
        <f t="shared" si="4"/>
        <v>311855.40000000002</v>
      </c>
      <c r="E47" s="161">
        <f>D47</f>
        <v>311855.40000000002</v>
      </c>
      <c r="G47" s="157">
        <v>64</v>
      </c>
      <c r="H47" s="157" t="s">
        <v>334</v>
      </c>
      <c r="J47" s="170">
        <f>D45</f>
        <v>52498.9</v>
      </c>
    </row>
    <row r="48" spans="1:10">
      <c r="A48" s="164" t="s">
        <v>256</v>
      </c>
      <c r="B48" s="163">
        <v>3029</v>
      </c>
      <c r="C48" s="162">
        <v>51233400</v>
      </c>
      <c r="D48" s="169">
        <f t="shared" si="4"/>
        <v>51233.4</v>
      </c>
      <c r="E48" s="161">
        <f>D51</f>
        <v>348706.2</v>
      </c>
      <c r="G48" s="157">
        <v>3029</v>
      </c>
      <c r="H48" s="157" t="s">
        <v>337</v>
      </c>
      <c r="J48" s="170">
        <f>D48</f>
        <v>51233.4</v>
      </c>
    </row>
    <row r="49" spans="1:10">
      <c r="A49" s="164" t="s">
        <v>258</v>
      </c>
      <c r="B49" s="163">
        <v>4000</v>
      </c>
      <c r="C49" s="162">
        <v>140136100</v>
      </c>
      <c r="D49" s="169">
        <f t="shared" si="4"/>
        <v>140136.1</v>
      </c>
      <c r="E49" s="161" t="e">
        <f>#REF!</f>
        <v>#REF!</v>
      </c>
      <c r="G49" s="157">
        <v>4000</v>
      </c>
      <c r="H49" s="157" t="s">
        <v>258</v>
      </c>
      <c r="J49" s="170">
        <f>D49</f>
        <v>140136.1</v>
      </c>
    </row>
    <row r="50" spans="1:10">
      <c r="A50" s="164" t="s">
        <v>257</v>
      </c>
      <c r="B50" s="163">
        <v>3300</v>
      </c>
      <c r="C50" s="162">
        <v>49446700</v>
      </c>
      <c r="D50" s="169">
        <f t="shared" si="4"/>
        <v>49446.700000000004</v>
      </c>
      <c r="E50" s="161">
        <f>D48</f>
        <v>51233.4</v>
      </c>
      <c r="G50" s="157">
        <v>5034</v>
      </c>
      <c r="H50" s="157" t="s">
        <v>339</v>
      </c>
      <c r="J50" s="170">
        <f>D50</f>
        <v>49446.700000000004</v>
      </c>
    </row>
    <row r="51" spans="1:10">
      <c r="A51" s="164" t="s">
        <v>254</v>
      </c>
      <c r="B51" s="163">
        <v>5050</v>
      </c>
      <c r="C51" s="171">
        <v>348706200</v>
      </c>
      <c r="D51" s="169">
        <f t="shared" si="4"/>
        <v>348706.2</v>
      </c>
      <c r="E51" s="161">
        <f>D50</f>
        <v>49446.700000000004</v>
      </c>
      <c r="G51" s="157">
        <v>5050</v>
      </c>
      <c r="H51" s="157" t="s">
        <v>340</v>
      </c>
      <c r="J51" s="170">
        <f>D51</f>
        <v>348706.2</v>
      </c>
    </row>
    <row r="52" spans="1:10">
      <c r="A52" s="164" t="s">
        <v>259</v>
      </c>
      <c r="B52" s="163">
        <v>8992</v>
      </c>
      <c r="C52" s="162">
        <v>181819200</v>
      </c>
      <c r="D52" s="169">
        <f t="shared" si="4"/>
        <v>181819.2</v>
      </c>
      <c r="E52" s="161">
        <f>D49</f>
        <v>140136.1</v>
      </c>
      <c r="H52" s="157"/>
      <c r="I52" s="157"/>
      <c r="J52" s="170">
        <f>SUM(J2:J51)</f>
        <v>15140921.232000003</v>
      </c>
    </row>
    <row r="53" spans="1:10">
      <c r="A53" s="168" t="s">
        <v>260</v>
      </c>
      <c r="B53" s="167">
        <v>8994</v>
      </c>
      <c r="C53" s="166">
        <v>59320800</v>
      </c>
      <c r="D53" s="165">
        <f t="shared" si="4"/>
        <v>59320.800000000003</v>
      </c>
      <c r="E53" s="161">
        <f>D52</f>
        <v>181819.2</v>
      </c>
      <c r="G53" s="580" t="s">
        <v>996</v>
      </c>
      <c r="H53" s="157"/>
      <c r="I53" s="157"/>
    </row>
    <row r="54" spans="1:10">
      <c r="A54" s="164"/>
      <c r="B54" s="163"/>
      <c r="C54" s="162">
        <f>SUM(C2:C53)</f>
        <v>15140921232</v>
      </c>
      <c r="D54" s="162">
        <f>SUM(D2:D53)</f>
        <v>15140921.232000005</v>
      </c>
      <c r="E54" s="161">
        <f>D53</f>
        <v>59320.800000000003</v>
      </c>
      <c r="H54" s="158" t="s">
        <v>215</v>
      </c>
      <c r="I54" s="160"/>
    </row>
    <row r="55" spans="1:10">
      <c r="A55" s="575" t="s">
        <v>341</v>
      </c>
      <c r="E55" s="159" t="e">
        <f>SUM(E2:E54)</f>
        <v>#REF!</v>
      </c>
      <c r="H55" s="158"/>
    </row>
    <row r="56" spans="1:10">
      <c r="G56" s="157">
        <v>3478</v>
      </c>
      <c r="H56" s="157" t="s">
        <v>338</v>
      </c>
    </row>
    <row r="57" spans="1:10">
      <c r="G57" s="157">
        <v>4013</v>
      </c>
      <c r="H57" s="157" t="s">
        <v>297</v>
      </c>
    </row>
  </sheetData>
  <sortState ref="A41:J42">
    <sortCondition ref="G41:G42"/>
  </sortState>
  <pageMargins left="0.7" right="0.7" top="0.75" bottom="0.75" header="0.3" footer="0.3"/>
  <pageSetup scale="80" orientation="portrait" r:id="rId1"/>
  <headerFooter>
    <oddHeader>&amp;C&amp;"-,Bold"NURSE SUPPORT I (NSPI) 
FY 2013-2014- Funding Cycle
Budget Request and Grant Recommendations
July 1, 2013 THROUGH June 30, 2014</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43" zoomScale="90" zoomScaleNormal="90" zoomScaleSheetLayoutView="80" zoomScalePageLayoutView="80" workbookViewId="0">
      <selection activeCell="H63" sqref="H63"/>
    </sheetView>
  </sheetViews>
  <sheetFormatPr defaultColWidth="9.140625" defaultRowHeight="18" customHeight="1"/>
  <cols>
    <col min="1" max="1" width="8.28515625" style="251" customWidth="1"/>
    <col min="2" max="2" width="55.42578125" style="252" bestFit="1" customWidth="1"/>
    <col min="3" max="3" width="9.5703125" style="252" customWidth="1"/>
    <col min="4" max="4" width="9.140625" style="252"/>
    <col min="5" max="5" width="12.42578125" style="252" customWidth="1"/>
    <col min="6" max="6" width="18.5703125" style="252" customWidth="1"/>
    <col min="7" max="7" width="23.5703125" style="252" customWidth="1"/>
    <col min="8" max="8" width="17.140625" style="252" customWidth="1"/>
    <col min="9" max="9" width="21.140625" style="252" customWidth="1"/>
    <col min="10" max="10" width="19.85546875" style="252" customWidth="1"/>
    <col min="11" max="11" width="17.5703125" style="252" customWidth="1"/>
    <col min="12" max="16384" width="9.140625" style="252"/>
  </cols>
  <sheetData>
    <row r="1" spans="1:11" ht="18" customHeight="1">
      <c r="C1" s="253"/>
      <c r="D1" s="254"/>
      <c r="E1" s="253"/>
      <c r="F1" s="253"/>
      <c r="G1" s="253"/>
      <c r="H1" s="253"/>
      <c r="I1" s="253"/>
      <c r="J1" s="253"/>
      <c r="K1" s="253"/>
    </row>
    <row r="2" spans="1:11" ht="18" customHeight="1">
      <c r="D2" s="255" t="s">
        <v>371</v>
      </c>
      <c r="E2" s="256"/>
      <c r="F2" s="256"/>
      <c r="G2" s="256"/>
      <c r="H2" s="256"/>
    </row>
    <row r="3" spans="1:11" ht="18" customHeight="1">
      <c r="B3" s="257" t="s">
        <v>0</v>
      </c>
    </row>
    <row r="5" spans="1:11" ht="18" customHeight="1">
      <c r="B5" s="258" t="s">
        <v>40</v>
      </c>
      <c r="C5" s="742" t="s">
        <v>312</v>
      </c>
      <c r="D5" s="743"/>
      <c r="E5" s="743"/>
      <c r="F5" s="743"/>
      <c r="G5" s="744"/>
    </row>
    <row r="6" spans="1:11" ht="18" customHeight="1">
      <c r="B6" s="258" t="s">
        <v>3</v>
      </c>
      <c r="C6" s="745">
        <v>23</v>
      </c>
      <c r="D6" s="746"/>
      <c r="E6" s="746"/>
      <c r="F6" s="746"/>
      <c r="G6" s="747"/>
    </row>
    <row r="7" spans="1:11" ht="18" customHeight="1">
      <c r="B7" s="258" t="s">
        <v>4</v>
      </c>
      <c r="C7" s="748">
        <v>4136</v>
      </c>
      <c r="D7" s="749"/>
      <c r="E7" s="749"/>
      <c r="F7" s="749"/>
      <c r="G7" s="750"/>
    </row>
    <row r="9" spans="1:11" ht="18" customHeight="1">
      <c r="B9" s="258" t="s">
        <v>1</v>
      </c>
      <c r="C9" s="742" t="s">
        <v>372</v>
      </c>
      <c r="D9" s="743"/>
      <c r="E9" s="743"/>
      <c r="F9" s="743"/>
      <c r="G9" s="744"/>
    </row>
    <row r="10" spans="1:11" ht="18" customHeight="1">
      <c r="B10" s="258" t="s">
        <v>2</v>
      </c>
      <c r="C10" s="751" t="s">
        <v>373</v>
      </c>
      <c r="D10" s="752"/>
      <c r="E10" s="752"/>
      <c r="F10" s="752"/>
      <c r="G10" s="753"/>
    </row>
    <row r="11" spans="1:11" ht="18" customHeight="1">
      <c r="B11" s="258" t="s">
        <v>32</v>
      </c>
      <c r="C11" s="754" t="s">
        <v>374</v>
      </c>
      <c r="D11" s="755"/>
      <c r="E11" s="755"/>
      <c r="F11" s="755"/>
      <c r="G11" s="755"/>
    </row>
    <row r="12" spans="1:11" ht="18" customHeight="1">
      <c r="B12" s="258"/>
      <c r="C12" s="258"/>
      <c r="D12" s="258"/>
      <c r="E12" s="258"/>
      <c r="F12" s="258"/>
      <c r="G12" s="258"/>
    </row>
    <row r="13" spans="1:11" ht="24.6" customHeight="1">
      <c r="B13" s="756"/>
      <c r="C13" s="757"/>
      <c r="D13" s="757"/>
      <c r="E13" s="757"/>
      <c r="F13" s="757"/>
      <c r="G13" s="757"/>
      <c r="H13" s="758"/>
      <c r="I13" s="253"/>
    </row>
    <row r="14" spans="1:11" ht="18" customHeight="1">
      <c r="B14" s="259"/>
    </row>
    <row r="15" spans="1:11" ht="18" customHeight="1">
      <c r="B15" s="259"/>
    </row>
    <row r="16" spans="1:11" ht="45" customHeight="1">
      <c r="A16" s="254" t="s">
        <v>181</v>
      </c>
      <c r="B16" s="253"/>
      <c r="C16" s="253"/>
      <c r="D16" s="253"/>
      <c r="E16" s="253"/>
      <c r="F16" s="260" t="s">
        <v>9</v>
      </c>
      <c r="G16" s="260" t="s">
        <v>37</v>
      </c>
      <c r="H16" s="260" t="s">
        <v>29</v>
      </c>
      <c r="I16" s="260" t="s">
        <v>30</v>
      </c>
      <c r="J16" s="260" t="s">
        <v>33</v>
      </c>
      <c r="K16" s="260" t="s">
        <v>34</v>
      </c>
    </row>
    <row r="17" spans="1:11" ht="18" customHeight="1">
      <c r="A17" s="261" t="s">
        <v>184</v>
      </c>
      <c r="B17" s="257" t="s">
        <v>182</v>
      </c>
    </row>
    <row r="18" spans="1:11" ht="18" customHeight="1">
      <c r="A18" s="258" t="s">
        <v>185</v>
      </c>
      <c r="B18" s="252" t="s">
        <v>183</v>
      </c>
      <c r="F18" s="262" t="s">
        <v>73</v>
      </c>
      <c r="G18" s="262" t="s">
        <v>73</v>
      </c>
      <c r="H18" s="263">
        <v>13677679</v>
      </c>
      <c r="I18" s="264">
        <v>0</v>
      </c>
      <c r="J18" s="263">
        <v>11696126</v>
      </c>
      <c r="K18" s="265">
        <f>(H18+I18)-J18</f>
        <v>1981553</v>
      </c>
    </row>
    <row r="19" spans="1:11" ht="45" customHeight="1">
      <c r="A19" s="254" t="s">
        <v>8</v>
      </c>
      <c r="B19" s="253"/>
      <c r="C19" s="253"/>
      <c r="D19" s="253"/>
      <c r="E19" s="253"/>
      <c r="F19" s="260" t="s">
        <v>9</v>
      </c>
      <c r="G19" s="260" t="s">
        <v>37</v>
      </c>
      <c r="H19" s="266" t="s">
        <v>29</v>
      </c>
      <c r="I19" s="260" t="s">
        <v>30</v>
      </c>
      <c r="J19" s="260" t="s">
        <v>33</v>
      </c>
      <c r="K19" s="260" t="s">
        <v>34</v>
      </c>
    </row>
    <row r="20" spans="1:11" ht="18" customHeight="1">
      <c r="A20" s="261" t="s">
        <v>74</v>
      </c>
      <c r="B20" s="257" t="s">
        <v>41</v>
      </c>
      <c r="H20" s="267"/>
    </row>
    <row r="21" spans="1:11" ht="18" customHeight="1">
      <c r="A21" s="258" t="s">
        <v>75</v>
      </c>
      <c r="B21" s="252" t="s">
        <v>42</v>
      </c>
      <c r="F21" s="262">
        <v>5364</v>
      </c>
      <c r="G21" s="262">
        <v>18255</v>
      </c>
      <c r="H21" s="263">
        <v>907525</v>
      </c>
      <c r="I21" s="268">
        <f t="shared" ref="I21:I30" si="0">H21*F$114</f>
        <v>483983.08250000002</v>
      </c>
      <c r="J21" s="263"/>
      <c r="K21" s="265">
        <f t="shared" ref="K21:K30" si="1">(H21+I21)-J21</f>
        <v>1391508.0825</v>
      </c>
    </row>
    <row r="22" spans="1:11" ht="18" customHeight="1">
      <c r="A22" s="258" t="s">
        <v>76</v>
      </c>
      <c r="B22" s="252" t="s">
        <v>6</v>
      </c>
      <c r="F22" s="262">
        <v>1856</v>
      </c>
      <c r="G22" s="262">
        <v>3618</v>
      </c>
      <c r="H22" s="263">
        <v>81710</v>
      </c>
      <c r="I22" s="268">
        <f t="shared" si="0"/>
        <v>43575.942999999999</v>
      </c>
      <c r="J22" s="263"/>
      <c r="K22" s="265">
        <f t="shared" si="1"/>
        <v>125285.943</v>
      </c>
    </row>
    <row r="23" spans="1:11" ht="18" customHeight="1">
      <c r="A23" s="258" t="s">
        <v>77</v>
      </c>
      <c r="B23" s="252" t="s">
        <v>43</v>
      </c>
      <c r="F23" s="262">
        <v>3421</v>
      </c>
      <c r="G23" s="262">
        <v>5623</v>
      </c>
      <c r="H23" s="263">
        <v>222466.5</v>
      </c>
      <c r="I23" s="268">
        <f t="shared" si="0"/>
        <v>118641.38445</v>
      </c>
      <c r="J23" s="263">
        <v>59108</v>
      </c>
      <c r="K23" s="265">
        <f t="shared" si="1"/>
        <v>281999.88445000001</v>
      </c>
    </row>
    <row r="24" spans="1:11" ht="18" customHeight="1">
      <c r="A24" s="258" t="s">
        <v>78</v>
      </c>
      <c r="B24" s="252" t="s">
        <v>44</v>
      </c>
      <c r="F24" s="262">
        <v>563</v>
      </c>
      <c r="G24" s="262">
        <v>4491</v>
      </c>
      <c r="H24" s="263">
        <v>58765.5</v>
      </c>
      <c r="I24" s="268">
        <f t="shared" si="0"/>
        <v>31339.641149999999</v>
      </c>
      <c r="J24" s="263"/>
      <c r="K24" s="265">
        <f t="shared" si="1"/>
        <v>90105.141149999996</v>
      </c>
    </row>
    <row r="25" spans="1:11" ht="18" customHeight="1">
      <c r="A25" s="258" t="s">
        <v>79</v>
      </c>
      <c r="B25" s="252" t="s">
        <v>5</v>
      </c>
      <c r="F25" s="262">
        <v>9113</v>
      </c>
      <c r="G25" s="262">
        <v>10065</v>
      </c>
      <c r="H25" s="263">
        <v>236683.5</v>
      </c>
      <c r="I25" s="268">
        <f t="shared" si="0"/>
        <v>126223.31054999999</v>
      </c>
      <c r="J25" s="263"/>
      <c r="K25" s="265">
        <f t="shared" si="1"/>
        <v>362906.81054999999</v>
      </c>
    </row>
    <row r="26" spans="1:11" ht="18" customHeight="1">
      <c r="A26" s="258" t="s">
        <v>80</v>
      </c>
      <c r="B26" s="252" t="s">
        <v>45</v>
      </c>
      <c r="F26" s="262">
        <v>384</v>
      </c>
      <c r="G26" s="262">
        <v>1500</v>
      </c>
      <c r="H26" s="263">
        <v>14592</v>
      </c>
      <c r="I26" s="268">
        <f t="shared" si="0"/>
        <v>7781.9135999999999</v>
      </c>
      <c r="J26" s="263"/>
      <c r="K26" s="265">
        <f t="shared" si="1"/>
        <v>22373.9136</v>
      </c>
    </row>
    <row r="27" spans="1:11" ht="18" customHeight="1">
      <c r="A27" s="258" t="s">
        <v>83</v>
      </c>
      <c r="B27" s="252" t="s">
        <v>48</v>
      </c>
      <c r="F27" s="262">
        <v>22526</v>
      </c>
      <c r="G27" s="262">
        <v>46200</v>
      </c>
      <c r="H27" s="263">
        <v>1816454.86</v>
      </c>
      <c r="I27" s="268">
        <f t="shared" si="0"/>
        <v>968715.37683800003</v>
      </c>
      <c r="J27" s="263"/>
      <c r="K27" s="265">
        <f t="shared" si="1"/>
        <v>2785170.2368379999</v>
      </c>
    </row>
    <row r="28" spans="1:11" ht="18" customHeight="1">
      <c r="A28" s="258" t="s">
        <v>84</v>
      </c>
      <c r="B28" s="739" t="s">
        <v>375</v>
      </c>
      <c r="C28" s="740"/>
      <c r="D28" s="741"/>
      <c r="F28" s="262"/>
      <c r="G28" s="262"/>
      <c r="H28" s="263">
        <v>36738</v>
      </c>
      <c r="I28" s="268">
        <f t="shared" si="0"/>
        <v>19592.375400000001</v>
      </c>
      <c r="J28" s="263"/>
      <c r="K28" s="265">
        <f t="shared" si="1"/>
        <v>56330.375400000004</v>
      </c>
    </row>
    <row r="29" spans="1:11" ht="18" customHeight="1">
      <c r="A29" s="258" t="s">
        <v>133</v>
      </c>
      <c r="B29" s="739" t="s">
        <v>376</v>
      </c>
      <c r="C29" s="740"/>
      <c r="D29" s="741"/>
      <c r="F29" s="262"/>
      <c r="G29" s="262"/>
      <c r="H29" s="263">
        <v>17048</v>
      </c>
      <c r="I29" s="268">
        <f t="shared" si="0"/>
        <v>9091.6983999999993</v>
      </c>
      <c r="J29" s="263"/>
      <c r="K29" s="265">
        <f t="shared" si="1"/>
        <v>26139.698400000001</v>
      </c>
    </row>
    <row r="30" spans="1:11" ht="18" customHeight="1">
      <c r="A30" s="258" t="s">
        <v>134</v>
      </c>
      <c r="B30" s="739" t="s">
        <v>377</v>
      </c>
      <c r="C30" s="740"/>
      <c r="D30" s="741"/>
      <c r="F30" s="262"/>
      <c r="G30" s="262" t="s">
        <v>85</v>
      </c>
      <c r="H30" s="263">
        <v>332834</v>
      </c>
      <c r="I30" s="268">
        <f t="shared" si="0"/>
        <v>177500.37220000001</v>
      </c>
      <c r="J30" s="263"/>
      <c r="K30" s="265">
        <f t="shared" si="1"/>
        <v>510334.37219999998</v>
      </c>
    </row>
    <row r="31" spans="1:11" ht="18" customHeight="1">
      <c r="A31" s="258"/>
      <c r="B31" s="394"/>
      <c r="C31" s="394"/>
      <c r="D31" s="394"/>
      <c r="F31" s="395"/>
      <c r="G31" s="395"/>
      <c r="H31" s="396"/>
      <c r="I31" s="396"/>
      <c r="J31" s="396"/>
      <c r="K31" s="265"/>
    </row>
    <row r="32" spans="1:11" ht="18" customHeight="1">
      <c r="A32" s="258"/>
      <c r="B32" s="394"/>
      <c r="C32" s="394"/>
      <c r="D32" s="394"/>
      <c r="F32" s="395"/>
      <c r="G32" s="395"/>
      <c r="H32" s="396"/>
      <c r="I32" s="396"/>
      <c r="J32" s="396"/>
      <c r="K32" s="265"/>
    </row>
    <row r="33" spans="1:11" ht="18" customHeight="1">
      <c r="A33" s="258"/>
      <c r="B33" s="394"/>
      <c r="C33" s="394"/>
      <c r="D33" s="394"/>
      <c r="F33" s="395"/>
      <c r="G33" s="395"/>
      <c r="H33" s="396"/>
      <c r="I33" s="396"/>
      <c r="J33" s="396"/>
      <c r="K33" s="265"/>
    </row>
    <row r="34" spans="1:11" ht="18" customHeight="1">
      <c r="A34" s="258"/>
      <c r="B34" s="394"/>
      <c r="C34" s="394"/>
      <c r="D34" s="394"/>
      <c r="F34" s="395"/>
      <c r="G34" s="395"/>
      <c r="H34" s="396"/>
      <c r="I34" s="396"/>
      <c r="J34" s="396"/>
      <c r="K34" s="265"/>
    </row>
    <row r="35" spans="1:11" ht="18" customHeight="1">
      <c r="I35" s="267"/>
      <c r="J35" s="267"/>
      <c r="K35" s="269"/>
    </row>
    <row r="36" spans="1:11" ht="18" customHeight="1">
      <c r="A36" s="261" t="s">
        <v>137</v>
      </c>
      <c r="B36" s="257" t="s">
        <v>138</v>
      </c>
      <c r="E36" s="257" t="s">
        <v>7</v>
      </c>
      <c r="F36" s="270">
        <f t="shared" ref="F36:K36" si="2">SUM(F21:F30)</f>
        <v>43227</v>
      </c>
      <c r="G36" s="270">
        <f t="shared" si="2"/>
        <v>89752</v>
      </c>
      <c r="H36" s="263">
        <f t="shared" si="2"/>
        <v>3724817.3600000003</v>
      </c>
      <c r="I36" s="265">
        <f t="shared" si="2"/>
        <v>1986445.0980880002</v>
      </c>
      <c r="J36" s="265">
        <f t="shared" si="2"/>
        <v>59108</v>
      </c>
      <c r="K36" s="265">
        <f t="shared" si="2"/>
        <v>5652154.4580880003</v>
      </c>
    </row>
    <row r="37" spans="1:11" ht="18" customHeight="1" thickBot="1">
      <c r="B37" s="257"/>
      <c r="F37" s="271"/>
      <c r="G37" s="271"/>
      <c r="H37" s="272"/>
      <c r="I37" s="272"/>
      <c r="J37" s="272"/>
      <c r="K37" s="273"/>
    </row>
    <row r="38" spans="1:11" ht="42.75" customHeight="1">
      <c r="F38" s="260" t="s">
        <v>9</v>
      </c>
      <c r="G38" s="260" t="s">
        <v>37</v>
      </c>
      <c r="H38" s="260" t="s">
        <v>29</v>
      </c>
      <c r="I38" s="260" t="s">
        <v>30</v>
      </c>
      <c r="J38" s="260" t="s">
        <v>33</v>
      </c>
      <c r="K38" s="260" t="s">
        <v>34</v>
      </c>
    </row>
    <row r="39" spans="1:11" ht="18.75" customHeight="1">
      <c r="A39" s="261" t="s">
        <v>86</v>
      </c>
      <c r="B39" s="257" t="s">
        <v>49</v>
      </c>
    </row>
    <row r="40" spans="1:11" ht="18" customHeight="1">
      <c r="A40" s="258" t="s">
        <v>87</v>
      </c>
      <c r="B40" s="252" t="s">
        <v>31</v>
      </c>
      <c r="F40" s="262">
        <v>20611</v>
      </c>
      <c r="G40" s="262">
        <v>5162</v>
      </c>
      <c r="H40" s="263">
        <v>1647801</v>
      </c>
      <c r="I40" s="264">
        <v>0</v>
      </c>
      <c r="J40" s="274"/>
      <c r="K40" s="265">
        <f t="shared" ref="K40:K47" si="3">(H40+I40)-J40</f>
        <v>1647801</v>
      </c>
    </row>
    <row r="41" spans="1:11" ht="18" customHeight="1">
      <c r="A41" s="258" t="s">
        <v>88</v>
      </c>
      <c r="B41" s="758" t="s">
        <v>50</v>
      </c>
      <c r="C41" s="758"/>
      <c r="F41" s="262">
        <v>106876</v>
      </c>
      <c r="G41" s="262">
        <v>806</v>
      </c>
      <c r="H41" s="263">
        <v>3740660</v>
      </c>
      <c r="I41" s="264">
        <v>0</v>
      </c>
      <c r="J41" s="274"/>
      <c r="K41" s="265">
        <f t="shared" si="3"/>
        <v>3740660</v>
      </c>
    </row>
    <row r="42" spans="1:11" ht="18" customHeight="1">
      <c r="A42" s="258" t="s">
        <v>89</v>
      </c>
      <c r="B42" s="252" t="s">
        <v>11</v>
      </c>
      <c r="F42" s="262">
        <v>1425</v>
      </c>
      <c r="G42" s="262">
        <v>160</v>
      </c>
      <c r="H42" s="263">
        <v>488875</v>
      </c>
      <c r="I42" s="264">
        <v>0</v>
      </c>
      <c r="J42" s="274"/>
      <c r="K42" s="265">
        <f t="shared" si="3"/>
        <v>488875</v>
      </c>
    </row>
    <row r="43" spans="1:11" ht="18" customHeight="1">
      <c r="A43" s="258" t="s">
        <v>90</v>
      </c>
      <c r="B43" s="275" t="s">
        <v>10</v>
      </c>
      <c r="C43" s="275"/>
      <c r="D43" s="275"/>
      <c r="F43" s="262">
        <v>128</v>
      </c>
      <c r="G43" s="262"/>
      <c r="H43" s="263">
        <v>5580</v>
      </c>
      <c r="I43" s="264">
        <v>0</v>
      </c>
      <c r="J43" s="274"/>
      <c r="K43" s="265">
        <f t="shared" si="3"/>
        <v>5580</v>
      </c>
    </row>
    <row r="44" spans="1:11" ht="18" customHeight="1">
      <c r="A44" s="258" t="s">
        <v>91</v>
      </c>
      <c r="B44" s="739"/>
      <c r="C44" s="740"/>
      <c r="D44" s="741"/>
      <c r="F44" s="276"/>
      <c r="G44" s="276"/>
      <c r="H44" s="277"/>
      <c r="I44" s="278">
        <v>0</v>
      </c>
      <c r="J44" s="276"/>
      <c r="K44" s="279">
        <f t="shared" si="3"/>
        <v>0</v>
      </c>
    </row>
    <row r="45" spans="1:11" ht="18" customHeight="1">
      <c r="A45" s="258" t="s">
        <v>139</v>
      </c>
      <c r="B45" s="739"/>
      <c r="C45" s="740"/>
      <c r="D45" s="741"/>
      <c r="F45" s="262"/>
      <c r="G45" s="262"/>
      <c r="H45" s="263"/>
      <c r="I45" s="264">
        <v>0</v>
      </c>
      <c r="J45" s="274"/>
      <c r="K45" s="265">
        <f t="shared" si="3"/>
        <v>0</v>
      </c>
    </row>
    <row r="46" spans="1:11" ht="18" customHeight="1">
      <c r="A46" s="258" t="s">
        <v>140</v>
      </c>
      <c r="B46" s="739"/>
      <c r="C46" s="740"/>
      <c r="D46" s="741"/>
      <c r="F46" s="262"/>
      <c r="G46" s="262"/>
      <c r="H46" s="263"/>
      <c r="I46" s="264">
        <v>0</v>
      </c>
      <c r="J46" s="274"/>
      <c r="K46" s="265">
        <f t="shared" si="3"/>
        <v>0</v>
      </c>
    </row>
    <row r="47" spans="1:11" ht="18" customHeight="1">
      <c r="A47" s="258" t="s">
        <v>141</v>
      </c>
      <c r="B47" s="739"/>
      <c r="C47" s="740"/>
      <c r="D47" s="741"/>
      <c r="F47" s="262"/>
      <c r="G47" s="262"/>
      <c r="H47" s="263"/>
      <c r="I47" s="264">
        <v>0</v>
      </c>
      <c r="J47" s="274"/>
      <c r="K47" s="265">
        <f t="shared" si="3"/>
        <v>0</v>
      </c>
    </row>
    <row r="48" spans="1:11" ht="18" customHeight="1">
      <c r="H48" s="267"/>
      <c r="K48" s="267"/>
    </row>
    <row r="49" spans="1:11" ht="18" customHeight="1">
      <c r="A49" s="261" t="s">
        <v>142</v>
      </c>
      <c r="B49" s="257" t="s">
        <v>143</v>
      </c>
      <c r="E49" s="257" t="s">
        <v>7</v>
      </c>
      <c r="F49" s="280">
        <f t="shared" ref="F49:K49" si="4">SUM(F40:F47)</f>
        <v>129040</v>
      </c>
      <c r="G49" s="280">
        <f t="shared" si="4"/>
        <v>6128</v>
      </c>
      <c r="H49" s="265">
        <f t="shared" si="4"/>
        <v>5882916</v>
      </c>
      <c r="I49" s="281">
        <f t="shared" si="4"/>
        <v>0</v>
      </c>
      <c r="J49" s="265">
        <f t="shared" si="4"/>
        <v>0</v>
      </c>
      <c r="K49" s="265">
        <f t="shared" si="4"/>
        <v>5882916</v>
      </c>
    </row>
    <row r="50" spans="1:11" ht="18" customHeight="1" thickBot="1">
      <c r="G50" s="282"/>
      <c r="H50" s="282"/>
      <c r="I50" s="282"/>
      <c r="J50" s="282"/>
      <c r="K50" s="282"/>
    </row>
    <row r="51" spans="1:11" ht="42.75" customHeight="1">
      <c r="F51" s="260" t="s">
        <v>9</v>
      </c>
      <c r="G51" s="260" t="s">
        <v>37</v>
      </c>
      <c r="H51" s="260" t="s">
        <v>29</v>
      </c>
      <c r="I51" s="260" t="s">
        <v>30</v>
      </c>
      <c r="J51" s="260" t="s">
        <v>33</v>
      </c>
      <c r="K51" s="260" t="s">
        <v>34</v>
      </c>
    </row>
    <row r="52" spans="1:11" ht="18" customHeight="1">
      <c r="A52" s="261" t="s">
        <v>92</v>
      </c>
      <c r="B52" s="759" t="s">
        <v>38</v>
      </c>
      <c r="C52" s="760"/>
    </row>
    <row r="53" spans="1:11" ht="18" customHeight="1">
      <c r="A53" s="258" t="s">
        <v>51</v>
      </c>
      <c r="B53" s="739" t="s">
        <v>378</v>
      </c>
      <c r="C53" s="740"/>
      <c r="D53" s="741"/>
      <c r="F53" s="262">
        <v>460</v>
      </c>
      <c r="G53" s="262">
        <v>1600</v>
      </c>
      <c r="H53" s="263">
        <v>62000</v>
      </c>
      <c r="I53" s="268">
        <v>0</v>
      </c>
      <c r="J53" s="263">
        <v>27000</v>
      </c>
      <c r="K53" s="265">
        <f t="shared" ref="K53:K62" si="5">(H53+I53)-J53</f>
        <v>35000</v>
      </c>
    </row>
    <row r="54" spans="1:11" ht="18" customHeight="1">
      <c r="A54" s="258" t="s">
        <v>93</v>
      </c>
      <c r="B54" s="283" t="s">
        <v>379</v>
      </c>
      <c r="C54" s="284"/>
      <c r="D54" s="285"/>
      <c r="F54" s="262"/>
      <c r="G54" s="262">
        <v>2365</v>
      </c>
      <c r="H54" s="263">
        <v>254861</v>
      </c>
      <c r="I54" s="268">
        <v>0</v>
      </c>
      <c r="J54" s="263"/>
      <c r="K54" s="265">
        <f t="shared" si="5"/>
        <v>254861</v>
      </c>
    </row>
    <row r="55" spans="1:11" ht="18" customHeight="1">
      <c r="A55" s="258" t="s">
        <v>94</v>
      </c>
      <c r="B55" s="739" t="s">
        <v>380</v>
      </c>
      <c r="C55" s="740"/>
      <c r="D55" s="741"/>
      <c r="F55" s="262"/>
      <c r="G55" s="262">
        <v>7873</v>
      </c>
      <c r="H55" s="263">
        <v>536246</v>
      </c>
      <c r="I55" s="268">
        <v>0</v>
      </c>
      <c r="J55" s="263"/>
      <c r="K55" s="265">
        <f t="shared" si="5"/>
        <v>536246</v>
      </c>
    </row>
    <row r="56" spans="1:11" ht="18" customHeight="1">
      <c r="A56" s="258" t="s">
        <v>95</v>
      </c>
      <c r="B56" s="739" t="s">
        <v>381</v>
      </c>
      <c r="C56" s="740"/>
      <c r="D56" s="741"/>
      <c r="F56" s="262"/>
      <c r="G56" s="262"/>
      <c r="H56" s="263">
        <v>50000</v>
      </c>
      <c r="I56" s="268">
        <v>0</v>
      </c>
      <c r="J56" s="263"/>
      <c r="K56" s="265">
        <f t="shared" si="5"/>
        <v>50000</v>
      </c>
    </row>
    <row r="57" spans="1:11" ht="18" customHeight="1">
      <c r="A57" s="258" t="s">
        <v>96</v>
      </c>
      <c r="B57" s="739" t="s">
        <v>382</v>
      </c>
      <c r="C57" s="740"/>
      <c r="D57" s="741"/>
      <c r="F57" s="262">
        <v>1621</v>
      </c>
      <c r="G57" s="262">
        <v>176</v>
      </c>
      <c r="H57" s="263">
        <v>151011</v>
      </c>
      <c r="I57" s="268">
        <v>0</v>
      </c>
      <c r="J57" s="263"/>
      <c r="K57" s="265">
        <f t="shared" si="5"/>
        <v>151011</v>
      </c>
    </row>
    <row r="58" spans="1:11" ht="18" customHeight="1">
      <c r="A58" s="258" t="s">
        <v>97</v>
      </c>
      <c r="B58" s="283" t="s">
        <v>383</v>
      </c>
      <c r="C58" s="284"/>
      <c r="D58" s="285"/>
      <c r="F58" s="262">
        <v>1790</v>
      </c>
      <c r="G58" s="262">
        <v>3300</v>
      </c>
      <c r="H58" s="263">
        <v>99569</v>
      </c>
      <c r="I58" s="268">
        <f>H58*F$114</f>
        <v>53100.147700000001</v>
      </c>
      <c r="J58" s="263"/>
      <c r="K58" s="265">
        <f t="shared" si="5"/>
        <v>152669.1477</v>
      </c>
    </row>
    <row r="59" spans="1:11" ht="18" customHeight="1">
      <c r="A59" s="258" t="s">
        <v>98</v>
      </c>
      <c r="B59" s="739" t="s">
        <v>384</v>
      </c>
      <c r="C59" s="740"/>
      <c r="D59" s="741"/>
      <c r="F59" s="262"/>
      <c r="G59" s="262">
        <v>2294</v>
      </c>
      <c r="H59" s="263">
        <v>966525</v>
      </c>
      <c r="I59" s="268">
        <v>0</v>
      </c>
      <c r="J59" s="263"/>
      <c r="K59" s="265">
        <f t="shared" si="5"/>
        <v>966525</v>
      </c>
    </row>
    <row r="60" spans="1:11" ht="18" customHeight="1">
      <c r="A60" s="258" t="s">
        <v>99</v>
      </c>
      <c r="B60" s="283" t="s">
        <v>385</v>
      </c>
      <c r="C60" s="284"/>
      <c r="D60" s="285"/>
      <c r="F60" s="262">
        <v>2420</v>
      </c>
      <c r="G60" s="262">
        <v>700</v>
      </c>
      <c r="H60" s="263">
        <v>496313</v>
      </c>
      <c r="I60" s="268">
        <v>0</v>
      </c>
      <c r="J60" s="263"/>
      <c r="K60" s="265">
        <f t="shared" si="5"/>
        <v>496313</v>
      </c>
    </row>
    <row r="61" spans="1:11" ht="18" customHeight="1">
      <c r="A61" s="258" t="s">
        <v>100</v>
      </c>
      <c r="B61" s="283" t="s">
        <v>386</v>
      </c>
      <c r="C61" s="284"/>
      <c r="D61" s="285"/>
      <c r="F61" s="262"/>
      <c r="G61" s="262"/>
      <c r="H61" s="263">
        <v>131176</v>
      </c>
      <c r="I61" s="268">
        <v>0</v>
      </c>
      <c r="J61" s="263"/>
      <c r="K61" s="265">
        <f t="shared" si="5"/>
        <v>131176</v>
      </c>
    </row>
    <row r="62" spans="1:11" ht="18" customHeight="1">
      <c r="A62" s="258" t="s">
        <v>101</v>
      </c>
      <c r="B62" s="739" t="s">
        <v>387</v>
      </c>
      <c r="C62" s="740"/>
      <c r="D62" s="741"/>
      <c r="F62" s="262"/>
      <c r="G62" s="262"/>
      <c r="H62" s="263">
        <v>433484.86</v>
      </c>
      <c r="I62" s="268">
        <v>0</v>
      </c>
      <c r="J62" s="263"/>
      <c r="K62" s="265">
        <f t="shared" si="5"/>
        <v>433484.86</v>
      </c>
    </row>
    <row r="63" spans="1:11" ht="18" customHeight="1">
      <c r="A63" s="258" t="s">
        <v>388</v>
      </c>
      <c r="B63" s="286" t="s">
        <v>389</v>
      </c>
      <c r="C63" s="287"/>
      <c r="D63" s="288"/>
      <c r="F63" s="289"/>
      <c r="G63" s="289"/>
      <c r="H63" s="290">
        <v>10914157</v>
      </c>
      <c r="I63" s="279">
        <v>0</v>
      </c>
      <c r="J63" s="290"/>
      <c r="K63" s="290">
        <f>(H63+I63)-J63</f>
        <v>10914157</v>
      </c>
    </row>
    <row r="64" spans="1:11" ht="18" customHeight="1">
      <c r="A64" s="258" t="s">
        <v>144</v>
      </c>
      <c r="B64" s="257" t="s">
        <v>145</v>
      </c>
      <c r="E64" s="257" t="s">
        <v>7</v>
      </c>
      <c r="F64" s="270">
        <f t="shared" ref="F64:K64" si="6">SUM(F53:F63)</f>
        <v>6291</v>
      </c>
      <c r="G64" s="270">
        <f t="shared" si="6"/>
        <v>18308</v>
      </c>
      <c r="H64" s="265">
        <f t="shared" si="6"/>
        <v>14095342.859999999</v>
      </c>
      <c r="I64" s="265">
        <f t="shared" si="6"/>
        <v>53100.147700000001</v>
      </c>
      <c r="J64" s="265">
        <f t="shared" si="6"/>
        <v>27000</v>
      </c>
      <c r="K64" s="265">
        <f t="shared" si="6"/>
        <v>14121443.0077</v>
      </c>
    </row>
    <row r="65" spans="1:11" ht="18" customHeight="1">
      <c r="F65" s="292"/>
      <c r="G65" s="292"/>
      <c r="H65" s="292"/>
      <c r="I65" s="292"/>
      <c r="J65" s="292"/>
      <c r="K65" s="292"/>
    </row>
    <row r="66" spans="1:11" ht="42.75" customHeight="1">
      <c r="F66" s="293" t="s">
        <v>9</v>
      </c>
      <c r="G66" s="293" t="s">
        <v>37</v>
      </c>
      <c r="H66" s="293" t="s">
        <v>29</v>
      </c>
      <c r="I66" s="293" t="s">
        <v>30</v>
      </c>
      <c r="J66" s="293" t="s">
        <v>33</v>
      </c>
      <c r="K66" s="293" t="s">
        <v>34</v>
      </c>
    </row>
    <row r="67" spans="1:11" ht="18" customHeight="1">
      <c r="A67" s="261" t="s">
        <v>102</v>
      </c>
      <c r="B67" s="257" t="s">
        <v>12</v>
      </c>
      <c r="F67" s="294"/>
      <c r="G67" s="294"/>
      <c r="H67" s="294"/>
      <c r="I67" s="291"/>
      <c r="J67" s="294"/>
      <c r="K67" s="295"/>
    </row>
    <row r="68" spans="1:11" ht="18" customHeight="1">
      <c r="A68" s="258" t="s">
        <v>103</v>
      </c>
      <c r="B68" s="252" t="s">
        <v>52</v>
      </c>
      <c r="F68" s="262">
        <v>32494</v>
      </c>
      <c r="G68" s="296"/>
      <c r="H68" s="265">
        <v>1299761</v>
      </c>
      <c r="I68" s="268">
        <v>459241</v>
      </c>
      <c r="J68" s="263">
        <v>953784</v>
      </c>
      <c r="K68" s="265">
        <f>(H68+I68)-J68</f>
        <v>805218</v>
      </c>
    </row>
    <row r="69" spans="1:11" ht="18" customHeight="1">
      <c r="A69" s="258" t="s">
        <v>104</v>
      </c>
      <c r="B69" s="252" t="s">
        <v>53</v>
      </c>
      <c r="F69" s="296">
        <v>510</v>
      </c>
      <c r="G69" s="296"/>
      <c r="H69" s="265">
        <v>19287.5</v>
      </c>
      <c r="I69" s="268">
        <v>0</v>
      </c>
      <c r="J69" s="263"/>
      <c r="K69" s="265">
        <f>(H69+I69)-J69</f>
        <v>19287.5</v>
      </c>
    </row>
    <row r="70" spans="1:11" ht="18" customHeight="1">
      <c r="A70" s="258" t="s">
        <v>178</v>
      </c>
      <c r="B70" s="283"/>
      <c r="C70" s="284"/>
      <c r="D70" s="285"/>
      <c r="E70" s="257"/>
      <c r="F70" s="297"/>
      <c r="G70" s="297"/>
      <c r="H70" s="265"/>
      <c r="I70" s="268">
        <v>0</v>
      </c>
      <c r="J70" s="298"/>
      <c r="K70" s="265">
        <f>(H70+I70)-J70</f>
        <v>0</v>
      </c>
    </row>
    <row r="71" spans="1:11" ht="18" customHeight="1">
      <c r="A71" s="258" t="s">
        <v>179</v>
      </c>
      <c r="B71" s="283"/>
      <c r="C71" s="284"/>
      <c r="D71" s="285"/>
      <c r="E71" s="257"/>
      <c r="F71" s="297"/>
      <c r="G71" s="297"/>
      <c r="H71" s="265"/>
      <c r="I71" s="268">
        <v>0</v>
      </c>
      <c r="J71" s="298"/>
      <c r="K71" s="265">
        <f>(H71+I71)-J71</f>
        <v>0</v>
      </c>
    </row>
    <row r="72" spans="1:11" ht="18" customHeight="1">
      <c r="A72" s="258" t="s">
        <v>180</v>
      </c>
      <c r="B72" s="299"/>
      <c r="C72" s="300"/>
      <c r="D72" s="301"/>
      <c r="E72" s="257"/>
      <c r="F72" s="262"/>
      <c r="G72" s="262"/>
      <c r="H72" s="265"/>
      <c r="I72" s="268">
        <v>0</v>
      </c>
      <c r="J72" s="263"/>
      <c r="K72" s="265">
        <f>(H72+I72)-J72</f>
        <v>0</v>
      </c>
    </row>
    <row r="73" spans="1:11" ht="18" customHeight="1">
      <c r="A73" s="258"/>
      <c r="E73" s="257"/>
      <c r="F73" s="302"/>
      <c r="G73" s="302"/>
      <c r="H73" s="303"/>
      <c r="I73" s="291"/>
      <c r="J73" s="304"/>
      <c r="K73" s="295"/>
    </row>
    <row r="74" spans="1:11" ht="18" customHeight="1">
      <c r="A74" s="261" t="s">
        <v>146</v>
      </c>
      <c r="B74" s="257" t="s">
        <v>147</v>
      </c>
      <c r="E74" s="257" t="s">
        <v>7</v>
      </c>
      <c r="F74" s="305">
        <f t="shared" ref="F74:K74" si="7">SUM(F68:F72)</f>
        <v>33004</v>
      </c>
      <c r="G74" s="305">
        <f t="shared" si="7"/>
        <v>0</v>
      </c>
      <c r="H74" s="265">
        <f t="shared" si="7"/>
        <v>1319048.5</v>
      </c>
      <c r="I74" s="306">
        <f t="shared" si="7"/>
        <v>459241</v>
      </c>
      <c r="J74" s="263">
        <f t="shared" si="7"/>
        <v>953784</v>
      </c>
      <c r="K74" s="307">
        <f t="shared" si="7"/>
        <v>824505.5</v>
      </c>
    </row>
    <row r="75" spans="1:11" ht="42.75" customHeight="1">
      <c r="F75" s="260" t="s">
        <v>9</v>
      </c>
      <c r="G75" s="260" t="s">
        <v>37</v>
      </c>
      <c r="H75" s="260" t="s">
        <v>29</v>
      </c>
      <c r="I75" s="260" t="s">
        <v>30</v>
      </c>
      <c r="J75" s="260" t="s">
        <v>33</v>
      </c>
      <c r="K75" s="260" t="s">
        <v>34</v>
      </c>
    </row>
    <row r="76" spans="1:11" ht="18" customHeight="1">
      <c r="A76" s="261" t="s">
        <v>105</v>
      </c>
      <c r="B76" s="257" t="s">
        <v>106</v>
      </c>
    </row>
    <row r="77" spans="1:11" ht="18" customHeight="1">
      <c r="A77" s="258" t="s">
        <v>107</v>
      </c>
      <c r="B77" s="252" t="s">
        <v>54</v>
      </c>
      <c r="F77" s="262"/>
      <c r="G77" s="262"/>
      <c r="H77" s="263">
        <v>66800</v>
      </c>
      <c r="I77" s="264">
        <v>0</v>
      </c>
      <c r="J77" s="274"/>
      <c r="K77" s="265">
        <f>(H77+I77)-J77</f>
        <v>66800</v>
      </c>
    </row>
    <row r="78" spans="1:11" ht="18" customHeight="1">
      <c r="A78" s="258" t="s">
        <v>108</v>
      </c>
      <c r="B78" s="252" t="s">
        <v>55</v>
      </c>
      <c r="F78" s="262"/>
      <c r="G78" s="262"/>
      <c r="H78" s="263"/>
      <c r="I78" s="264">
        <v>0</v>
      </c>
      <c r="J78" s="274"/>
      <c r="K78" s="265">
        <f>(H78+I78)-J78</f>
        <v>0</v>
      </c>
    </row>
    <row r="79" spans="1:11" ht="18" customHeight="1">
      <c r="A79" s="258" t="s">
        <v>109</v>
      </c>
      <c r="B79" s="252" t="s">
        <v>13</v>
      </c>
      <c r="F79" s="262">
        <v>762</v>
      </c>
      <c r="G79" s="262">
        <v>1235</v>
      </c>
      <c r="H79" s="263">
        <v>691362</v>
      </c>
      <c r="I79" s="264">
        <v>0</v>
      </c>
      <c r="J79" s="274"/>
      <c r="K79" s="265">
        <f>(H79+I79)-J79</f>
        <v>691362</v>
      </c>
    </row>
    <row r="80" spans="1:11" ht="18" customHeight="1">
      <c r="A80" s="258" t="s">
        <v>110</v>
      </c>
      <c r="B80" s="252" t="s">
        <v>56</v>
      </c>
      <c r="F80" s="262">
        <v>1339</v>
      </c>
      <c r="G80" s="262">
        <v>1200</v>
      </c>
      <c r="H80" s="263">
        <v>104695</v>
      </c>
      <c r="I80" s="264">
        <v>0</v>
      </c>
      <c r="J80" s="274"/>
      <c r="K80" s="265">
        <f>(H80+I80)-J80</f>
        <v>104695</v>
      </c>
    </row>
    <row r="81" spans="1:11" ht="18" customHeight="1">
      <c r="A81" s="258"/>
      <c r="H81" s="267"/>
      <c r="K81" s="308"/>
    </row>
    <row r="82" spans="1:11" ht="18" customHeight="1">
      <c r="A82" s="258" t="s">
        <v>148</v>
      </c>
      <c r="B82" s="257" t="s">
        <v>149</v>
      </c>
      <c r="E82" s="257" t="s">
        <v>7</v>
      </c>
      <c r="F82" s="305">
        <f t="shared" ref="F82:K82" si="8">SUM(F77:F80)</f>
        <v>2101</v>
      </c>
      <c r="G82" s="305">
        <f t="shared" si="8"/>
        <v>2435</v>
      </c>
      <c r="H82" s="309">
        <f t="shared" si="8"/>
        <v>862857</v>
      </c>
      <c r="I82" s="307">
        <f t="shared" si="8"/>
        <v>0</v>
      </c>
      <c r="J82" s="309">
        <f t="shared" si="8"/>
        <v>0</v>
      </c>
      <c r="K82" s="309">
        <f t="shared" si="8"/>
        <v>862857</v>
      </c>
    </row>
    <row r="83" spans="1:11" ht="18" customHeight="1" thickBot="1">
      <c r="A83" s="258"/>
      <c r="F83" s="282"/>
      <c r="G83" s="282"/>
      <c r="H83" s="282"/>
      <c r="I83" s="282"/>
      <c r="J83" s="282"/>
      <c r="K83" s="282"/>
    </row>
    <row r="84" spans="1:11" ht="42.75" customHeight="1">
      <c r="F84" s="260" t="s">
        <v>9</v>
      </c>
      <c r="G84" s="260" t="s">
        <v>37</v>
      </c>
      <c r="H84" s="260" t="s">
        <v>29</v>
      </c>
      <c r="I84" s="260" t="s">
        <v>30</v>
      </c>
      <c r="J84" s="260" t="s">
        <v>33</v>
      </c>
      <c r="K84" s="260" t="s">
        <v>34</v>
      </c>
    </row>
    <row r="85" spans="1:11" ht="18" customHeight="1">
      <c r="A85" s="261" t="s">
        <v>111</v>
      </c>
      <c r="B85" s="257" t="s">
        <v>57</v>
      </c>
    </row>
    <row r="86" spans="1:11" ht="18" customHeight="1">
      <c r="A86" s="258" t="s">
        <v>112</v>
      </c>
      <c r="B86" s="252" t="s">
        <v>113</v>
      </c>
      <c r="F86" s="262">
        <v>36</v>
      </c>
      <c r="G86" s="262">
        <v>50</v>
      </c>
      <c r="H86" s="263">
        <v>5400</v>
      </c>
      <c r="I86" s="268">
        <f t="shared" ref="I86:I96" si="9">H86*F$114</f>
        <v>2879.82</v>
      </c>
      <c r="J86" s="274"/>
      <c r="K86" s="265">
        <f t="shared" ref="K86:K96" si="10">(H86+I86)-J86</f>
        <v>8279.82</v>
      </c>
    </row>
    <row r="87" spans="1:11" ht="18" customHeight="1">
      <c r="A87" s="258" t="s">
        <v>114</v>
      </c>
      <c r="B87" s="252" t="s">
        <v>14</v>
      </c>
      <c r="F87" s="262">
        <v>230</v>
      </c>
      <c r="G87" s="262">
        <v>547</v>
      </c>
      <c r="H87" s="263">
        <v>20320</v>
      </c>
      <c r="I87" s="268">
        <f t="shared" si="9"/>
        <v>10836.655999999999</v>
      </c>
      <c r="J87" s="274"/>
      <c r="K87" s="265">
        <f t="shared" si="10"/>
        <v>31156.655999999999</v>
      </c>
    </row>
    <row r="88" spans="1:11" ht="18" customHeight="1">
      <c r="A88" s="258" t="s">
        <v>115</v>
      </c>
      <c r="B88" s="252" t="s">
        <v>116</v>
      </c>
      <c r="F88" s="262">
        <v>2540</v>
      </c>
      <c r="G88" s="262">
        <v>520</v>
      </c>
      <c r="H88" s="263">
        <v>115800</v>
      </c>
      <c r="I88" s="268">
        <f t="shared" si="9"/>
        <v>61756.14</v>
      </c>
      <c r="J88" s="274"/>
      <c r="K88" s="265">
        <f t="shared" si="10"/>
        <v>177556.14</v>
      </c>
    </row>
    <row r="89" spans="1:11" ht="18" customHeight="1">
      <c r="A89" s="258" t="s">
        <v>117</v>
      </c>
      <c r="B89" s="252" t="s">
        <v>58</v>
      </c>
      <c r="F89" s="262">
        <v>331</v>
      </c>
      <c r="G89" s="262">
        <v>503</v>
      </c>
      <c r="H89" s="263">
        <v>48014</v>
      </c>
      <c r="I89" s="268">
        <f t="shared" si="9"/>
        <v>25605.8662</v>
      </c>
      <c r="J89" s="274"/>
      <c r="K89" s="265">
        <f t="shared" si="10"/>
        <v>73619.866200000004</v>
      </c>
    </row>
    <row r="90" spans="1:11" ht="18" customHeight="1">
      <c r="A90" s="258" t="s">
        <v>118</v>
      </c>
      <c r="B90" s="758" t="s">
        <v>59</v>
      </c>
      <c r="C90" s="758"/>
      <c r="F90" s="262">
        <v>3532</v>
      </c>
      <c r="G90" s="262">
        <v>1549</v>
      </c>
      <c r="H90" s="263">
        <v>135607</v>
      </c>
      <c r="I90" s="268">
        <f t="shared" si="9"/>
        <v>72319.213099999994</v>
      </c>
      <c r="J90" s="274"/>
      <c r="K90" s="265">
        <f t="shared" si="10"/>
        <v>207926.21309999999</v>
      </c>
    </row>
    <row r="91" spans="1:11" ht="18" customHeight="1">
      <c r="A91" s="258" t="s">
        <v>119</v>
      </c>
      <c r="B91" s="252" t="s">
        <v>60</v>
      </c>
      <c r="F91" s="262">
        <v>1802</v>
      </c>
      <c r="G91" s="262">
        <v>812</v>
      </c>
      <c r="H91" s="263">
        <v>116509</v>
      </c>
      <c r="I91" s="268">
        <f t="shared" si="9"/>
        <v>62134.2497</v>
      </c>
      <c r="J91" s="274"/>
      <c r="K91" s="265">
        <f t="shared" si="10"/>
        <v>178643.24969999999</v>
      </c>
    </row>
    <row r="92" spans="1:11" ht="18" customHeight="1">
      <c r="A92" s="258" t="s">
        <v>120</v>
      </c>
      <c r="B92" s="252" t="s">
        <v>121</v>
      </c>
      <c r="F92" s="310">
        <v>496</v>
      </c>
      <c r="G92" s="310">
        <v>467</v>
      </c>
      <c r="H92" s="311">
        <v>39348</v>
      </c>
      <c r="I92" s="268">
        <f t="shared" si="9"/>
        <v>20984.288400000001</v>
      </c>
      <c r="J92" s="312"/>
      <c r="K92" s="265">
        <f t="shared" si="10"/>
        <v>60332.288400000005</v>
      </c>
    </row>
    <row r="93" spans="1:11" ht="18" customHeight="1">
      <c r="A93" s="258" t="s">
        <v>122</v>
      </c>
      <c r="B93" s="252" t="s">
        <v>123</v>
      </c>
      <c r="F93" s="262">
        <v>135</v>
      </c>
      <c r="G93" s="262">
        <v>320</v>
      </c>
      <c r="H93" s="263">
        <v>5510</v>
      </c>
      <c r="I93" s="268">
        <f t="shared" si="9"/>
        <v>2938.4830000000002</v>
      </c>
      <c r="J93" s="274"/>
      <c r="K93" s="265">
        <f t="shared" si="10"/>
        <v>8448.4830000000002</v>
      </c>
    </row>
    <row r="94" spans="1:11" ht="18" customHeight="1">
      <c r="A94" s="258" t="s">
        <v>124</v>
      </c>
      <c r="B94" s="739" t="s">
        <v>390</v>
      </c>
      <c r="C94" s="740"/>
      <c r="D94" s="741"/>
      <c r="F94" s="262">
        <v>624</v>
      </c>
      <c r="G94" s="262">
        <v>131256</v>
      </c>
      <c r="H94" s="263">
        <v>95212.6</v>
      </c>
      <c r="I94" s="268">
        <f t="shared" si="9"/>
        <v>50776.879580000001</v>
      </c>
      <c r="J94" s="274"/>
      <c r="K94" s="265">
        <f t="shared" si="10"/>
        <v>145989.47958000001</v>
      </c>
    </row>
    <row r="95" spans="1:11" ht="18" customHeight="1">
      <c r="A95" s="258" t="s">
        <v>125</v>
      </c>
      <c r="B95" s="739" t="s">
        <v>391</v>
      </c>
      <c r="C95" s="740"/>
      <c r="D95" s="741"/>
      <c r="F95" s="262">
        <v>1200</v>
      </c>
      <c r="G95" s="262">
        <v>48</v>
      </c>
      <c r="H95" s="263">
        <v>54000</v>
      </c>
      <c r="I95" s="268">
        <f t="shared" si="9"/>
        <v>28798.2</v>
      </c>
      <c r="J95" s="274"/>
      <c r="K95" s="265">
        <f t="shared" si="10"/>
        <v>82798.2</v>
      </c>
    </row>
    <row r="96" spans="1:11" ht="18" customHeight="1">
      <c r="A96" s="258" t="s">
        <v>126</v>
      </c>
      <c r="B96" s="739"/>
      <c r="C96" s="740"/>
      <c r="D96" s="741"/>
      <c r="F96" s="262"/>
      <c r="G96" s="262"/>
      <c r="H96" s="263"/>
      <c r="I96" s="268">
        <f t="shared" si="9"/>
        <v>0</v>
      </c>
      <c r="J96" s="274"/>
      <c r="K96" s="265">
        <f t="shared" si="10"/>
        <v>0</v>
      </c>
    </row>
    <row r="97" spans="1:11" ht="18" customHeight="1">
      <c r="A97" s="258"/>
      <c r="I97" s="267"/>
      <c r="K97" s="267"/>
    </row>
    <row r="98" spans="1:11" ht="18" customHeight="1">
      <c r="A98" s="261" t="s">
        <v>150</v>
      </c>
      <c r="B98" s="257" t="s">
        <v>151</v>
      </c>
      <c r="E98" s="257" t="s">
        <v>7</v>
      </c>
      <c r="F98" s="270">
        <f t="shared" ref="F98:K98" si="11">SUM(F86:F96)</f>
        <v>10926</v>
      </c>
      <c r="G98" s="270">
        <f t="shared" si="11"/>
        <v>136072</v>
      </c>
      <c r="H98" s="263">
        <f t="shared" si="11"/>
        <v>635720.6</v>
      </c>
      <c r="I98" s="268">
        <f t="shared" si="11"/>
        <v>339029.79598</v>
      </c>
      <c r="J98" s="268">
        <f t="shared" si="11"/>
        <v>0</v>
      </c>
      <c r="K98" s="265">
        <f t="shared" si="11"/>
        <v>974750.39598000003</v>
      </c>
    </row>
    <row r="99" spans="1:11" ht="18" customHeight="1" thickBot="1">
      <c r="B99" s="257"/>
      <c r="F99" s="282"/>
      <c r="G99" s="282"/>
      <c r="H99" s="282"/>
      <c r="I99" s="282"/>
      <c r="J99" s="282"/>
      <c r="K99" s="282"/>
    </row>
    <row r="100" spans="1:11" ht="42.75" customHeight="1">
      <c r="F100" s="260" t="s">
        <v>9</v>
      </c>
      <c r="G100" s="260" t="s">
        <v>37</v>
      </c>
      <c r="H100" s="260" t="s">
        <v>29</v>
      </c>
      <c r="I100" s="260" t="s">
        <v>30</v>
      </c>
      <c r="J100" s="260" t="s">
        <v>33</v>
      </c>
      <c r="K100" s="260" t="s">
        <v>34</v>
      </c>
    </row>
    <row r="101" spans="1:11" ht="18" customHeight="1">
      <c r="A101" s="261" t="s">
        <v>130</v>
      </c>
      <c r="B101" s="257" t="s">
        <v>63</v>
      </c>
    </row>
    <row r="102" spans="1:11" ht="18" customHeight="1">
      <c r="A102" s="258" t="s">
        <v>131</v>
      </c>
      <c r="B102" s="252" t="s">
        <v>152</v>
      </c>
      <c r="F102" s="262">
        <v>1440</v>
      </c>
      <c r="G102" s="262">
        <v>150</v>
      </c>
      <c r="H102" s="263">
        <v>40000</v>
      </c>
      <c r="I102" s="268">
        <f>H102*F$114</f>
        <v>21332</v>
      </c>
      <c r="J102" s="274"/>
      <c r="K102" s="265">
        <f>(H102+I102)-J102</f>
        <v>61332</v>
      </c>
    </row>
    <row r="103" spans="1:11" ht="18" customHeight="1">
      <c r="A103" s="258" t="s">
        <v>132</v>
      </c>
      <c r="B103" s="758" t="s">
        <v>62</v>
      </c>
      <c r="C103" s="758"/>
      <c r="F103" s="262"/>
      <c r="G103" s="262"/>
      <c r="H103" s="263"/>
      <c r="I103" s="268">
        <f>H103*F$114</f>
        <v>0</v>
      </c>
      <c r="J103" s="274"/>
      <c r="K103" s="265">
        <f>(H103+I103)-J103</f>
        <v>0</v>
      </c>
    </row>
    <row r="104" spans="1:11" ht="18" customHeight="1">
      <c r="A104" s="258" t="s">
        <v>128</v>
      </c>
      <c r="B104" s="739" t="s">
        <v>392</v>
      </c>
      <c r="C104" s="740"/>
      <c r="D104" s="741"/>
      <c r="F104" s="262"/>
      <c r="G104" s="262"/>
      <c r="H104" s="263">
        <v>900</v>
      </c>
      <c r="I104" s="268">
        <f>H104*F$114</f>
        <v>479.96999999999997</v>
      </c>
      <c r="J104" s="274"/>
      <c r="K104" s="265">
        <f>(H104+I104)-J104</f>
        <v>1379.97</v>
      </c>
    </row>
    <row r="105" spans="1:11" ht="18" customHeight="1">
      <c r="A105" s="258" t="s">
        <v>127</v>
      </c>
      <c r="B105" s="739"/>
      <c r="C105" s="740"/>
      <c r="D105" s="741"/>
      <c r="F105" s="262"/>
      <c r="G105" s="262"/>
      <c r="H105" s="263"/>
      <c r="I105" s="268">
        <f>H105*F$114</f>
        <v>0</v>
      </c>
      <c r="J105" s="274"/>
      <c r="K105" s="265">
        <f>(H105+I105)-J105</f>
        <v>0</v>
      </c>
    </row>
    <row r="106" spans="1:11" ht="18" customHeight="1">
      <c r="A106" s="258" t="s">
        <v>129</v>
      </c>
      <c r="B106" s="739"/>
      <c r="C106" s="740"/>
      <c r="D106" s="741"/>
      <c r="F106" s="262"/>
      <c r="G106" s="262"/>
      <c r="H106" s="263"/>
      <c r="I106" s="268">
        <f>H106*F$114</f>
        <v>0</v>
      </c>
      <c r="J106" s="274"/>
      <c r="K106" s="265">
        <f>(H106+I106)-J106</f>
        <v>0</v>
      </c>
    </row>
    <row r="107" spans="1:11" ht="18" customHeight="1">
      <c r="B107" s="257"/>
      <c r="H107" s="267"/>
      <c r="I107" s="267"/>
      <c r="K107" s="267"/>
    </row>
    <row r="108" spans="1:11" s="275" customFormat="1" ht="18" customHeight="1">
      <c r="A108" s="261" t="s">
        <v>153</v>
      </c>
      <c r="B108" s="313" t="s">
        <v>154</v>
      </c>
      <c r="C108" s="252"/>
      <c r="D108" s="252"/>
      <c r="E108" s="257" t="s">
        <v>7</v>
      </c>
      <c r="F108" s="270">
        <f t="shared" ref="F108:K108" si="12">SUM(F102:F106)</f>
        <v>1440</v>
      </c>
      <c r="G108" s="270">
        <f t="shared" si="12"/>
        <v>150</v>
      </c>
      <c r="H108" s="265">
        <f t="shared" si="12"/>
        <v>40900</v>
      </c>
      <c r="I108" s="265">
        <f t="shared" si="12"/>
        <v>21811.97</v>
      </c>
      <c r="J108" s="265">
        <f t="shared" si="12"/>
        <v>0</v>
      </c>
      <c r="K108" s="265">
        <f t="shared" si="12"/>
        <v>62711.97</v>
      </c>
    </row>
    <row r="109" spans="1:11" s="275" customFormat="1" ht="18" customHeight="1" thickBot="1">
      <c r="A109" s="314"/>
      <c r="B109" s="315"/>
      <c r="C109" s="316"/>
      <c r="D109" s="316"/>
      <c r="E109" s="316"/>
      <c r="F109" s="282"/>
      <c r="G109" s="282"/>
      <c r="H109" s="282"/>
      <c r="I109" s="282"/>
      <c r="J109" s="282"/>
      <c r="K109" s="317"/>
    </row>
    <row r="110" spans="1:11" s="275" customFormat="1" ht="18" customHeight="1">
      <c r="A110" s="261" t="s">
        <v>156</v>
      </c>
      <c r="B110" s="257" t="s">
        <v>39</v>
      </c>
      <c r="C110" s="252"/>
      <c r="D110" s="252"/>
      <c r="E110" s="252"/>
      <c r="F110" s="252"/>
      <c r="G110" s="252"/>
      <c r="H110" s="252"/>
      <c r="I110" s="252"/>
      <c r="J110" s="252"/>
      <c r="K110" s="252"/>
    </row>
    <row r="111" spans="1:11" ht="18" customHeight="1">
      <c r="A111" s="261" t="s">
        <v>155</v>
      </c>
      <c r="B111" s="257" t="s">
        <v>164</v>
      </c>
      <c r="E111" s="257" t="s">
        <v>7</v>
      </c>
      <c r="F111" s="263">
        <v>5688100</v>
      </c>
    </row>
    <row r="112" spans="1:11" ht="18" customHeight="1">
      <c r="B112" s="257"/>
      <c r="E112" s="257"/>
      <c r="F112" s="318"/>
    </row>
    <row r="113" spans="1:6" ht="18" customHeight="1">
      <c r="A113" s="261"/>
      <c r="B113" s="257" t="s">
        <v>15</v>
      </c>
    </row>
    <row r="114" spans="1:6" ht="18" customHeight="1">
      <c r="A114" s="258" t="s">
        <v>171</v>
      </c>
      <c r="B114" s="252" t="s">
        <v>35</v>
      </c>
      <c r="F114" s="319">
        <v>0.5333</v>
      </c>
    </row>
    <row r="115" spans="1:6" ht="18" customHeight="1">
      <c r="A115" s="258"/>
      <c r="B115" s="257"/>
    </row>
    <row r="116" spans="1:6" ht="18" customHeight="1">
      <c r="A116" s="258" t="s">
        <v>170</v>
      </c>
      <c r="B116" s="257" t="s">
        <v>16</v>
      </c>
    </row>
    <row r="117" spans="1:6" ht="18" customHeight="1">
      <c r="A117" s="258" t="s">
        <v>172</v>
      </c>
      <c r="B117" s="252" t="s">
        <v>17</v>
      </c>
      <c r="F117" s="263">
        <v>517904000</v>
      </c>
    </row>
    <row r="118" spans="1:6" ht="18" customHeight="1">
      <c r="A118" s="258" t="s">
        <v>173</v>
      </c>
      <c r="B118" s="252" t="s">
        <v>18</v>
      </c>
      <c r="F118" s="263">
        <v>15439000</v>
      </c>
    </row>
    <row r="119" spans="1:6" ht="18" customHeight="1">
      <c r="A119" s="258" t="s">
        <v>174</v>
      </c>
      <c r="B119" s="257" t="s">
        <v>19</v>
      </c>
      <c r="F119" s="309">
        <f>SUM(F117:F118)</f>
        <v>533343000</v>
      </c>
    </row>
    <row r="120" spans="1:6" ht="18" customHeight="1">
      <c r="A120" s="258"/>
      <c r="B120" s="257"/>
      <c r="F120" s="267"/>
    </row>
    <row r="121" spans="1:6" ht="18" customHeight="1">
      <c r="A121" s="258" t="s">
        <v>167</v>
      </c>
      <c r="B121" s="257" t="s">
        <v>36</v>
      </c>
      <c r="F121" s="263">
        <v>514545000</v>
      </c>
    </row>
    <row r="122" spans="1:6" ht="18" customHeight="1">
      <c r="A122" s="258"/>
      <c r="F122" s="267"/>
    </row>
    <row r="123" spans="1:6" ht="18" customHeight="1">
      <c r="A123" s="258" t="s">
        <v>175</v>
      </c>
      <c r="B123" s="257" t="s">
        <v>20</v>
      </c>
      <c r="F123" s="263">
        <v>18798000</v>
      </c>
    </row>
    <row r="124" spans="1:6" ht="18" customHeight="1">
      <c r="A124" s="258"/>
      <c r="F124" s="267"/>
    </row>
    <row r="125" spans="1:6" ht="18" customHeight="1">
      <c r="A125" s="258" t="s">
        <v>176</v>
      </c>
      <c r="B125" s="257" t="s">
        <v>21</v>
      </c>
      <c r="F125" s="263">
        <v>20406000</v>
      </c>
    </row>
    <row r="126" spans="1:6" ht="18" customHeight="1">
      <c r="A126" s="258"/>
      <c r="F126" s="267"/>
    </row>
    <row r="127" spans="1:6" ht="18" customHeight="1">
      <c r="A127" s="258" t="s">
        <v>177</v>
      </c>
      <c r="B127" s="257" t="s">
        <v>22</v>
      </c>
      <c r="F127" s="263">
        <v>39204000</v>
      </c>
    </row>
    <row r="128" spans="1:6" ht="18" customHeight="1">
      <c r="A128" s="258"/>
    </row>
    <row r="129" spans="1:11" ht="42.75" customHeight="1">
      <c r="F129" s="260" t="s">
        <v>9</v>
      </c>
      <c r="G129" s="260" t="s">
        <v>37</v>
      </c>
      <c r="H129" s="260" t="s">
        <v>29</v>
      </c>
      <c r="I129" s="260" t="s">
        <v>30</v>
      </c>
      <c r="J129" s="260" t="s">
        <v>33</v>
      </c>
      <c r="K129" s="260" t="s">
        <v>34</v>
      </c>
    </row>
    <row r="130" spans="1:11" ht="18" customHeight="1">
      <c r="A130" s="261" t="s">
        <v>157</v>
      </c>
      <c r="B130" s="257" t="s">
        <v>23</v>
      </c>
    </row>
    <row r="131" spans="1:11" ht="18" customHeight="1">
      <c r="A131" s="258" t="s">
        <v>158</v>
      </c>
      <c r="B131" s="252" t="s">
        <v>24</v>
      </c>
      <c r="F131" s="262"/>
      <c r="G131" s="262"/>
      <c r="H131" s="274"/>
      <c r="I131" s="264">
        <v>0</v>
      </c>
      <c r="J131" s="274"/>
      <c r="K131" s="281">
        <f>(H131+I131)-J131</f>
        <v>0</v>
      </c>
    </row>
    <row r="132" spans="1:11" ht="18" customHeight="1">
      <c r="A132" s="258" t="s">
        <v>159</v>
      </c>
      <c r="B132" s="252" t="s">
        <v>25</v>
      </c>
      <c r="F132" s="262"/>
      <c r="G132" s="262"/>
      <c r="H132" s="274"/>
      <c r="I132" s="264">
        <v>0</v>
      </c>
      <c r="J132" s="274"/>
      <c r="K132" s="281">
        <f>(H132+I132)-J132</f>
        <v>0</v>
      </c>
    </row>
    <row r="133" spans="1:11" ht="18" customHeight="1">
      <c r="A133" s="258" t="s">
        <v>160</v>
      </c>
      <c r="B133" s="739"/>
      <c r="C133" s="740"/>
      <c r="D133" s="741"/>
      <c r="F133" s="262"/>
      <c r="G133" s="262"/>
      <c r="H133" s="274"/>
      <c r="I133" s="264">
        <v>0</v>
      </c>
      <c r="J133" s="274"/>
      <c r="K133" s="281">
        <f>(H133+I133)-J133</f>
        <v>0</v>
      </c>
    </row>
    <row r="134" spans="1:11" ht="18" customHeight="1">
      <c r="A134" s="258" t="s">
        <v>161</v>
      </c>
      <c r="B134" s="739"/>
      <c r="C134" s="740"/>
      <c r="D134" s="741"/>
      <c r="F134" s="262"/>
      <c r="G134" s="262"/>
      <c r="H134" s="274"/>
      <c r="I134" s="264">
        <v>0</v>
      </c>
      <c r="J134" s="274"/>
      <c r="K134" s="281">
        <f>(H134+I134)-J134</f>
        <v>0</v>
      </c>
    </row>
    <row r="135" spans="1:11" ht="18" customHeight="1">
      <c r="A135" s="258" t="s">
        <v>162</v>
      </c>
      <c r="B135" s="739"/>
      <c r="C135" s="740"/>
      <c r="D135" s="741"/>
      <c r="F135" s="262"/>
      <c r="G135" s="262"/>
      <c r="H135" s="274"/>
      <c r="I135" s="264">
        <v>0</v>
      </c>
      <c r="J135" s="274"/>
      <c r="K135" s="281">
        <f>(H135+I135)-J135</f>
        <v>0</v>
      </c>
    </row>
    <row r="136" spans="1:11" ht="18" customHeight="1">
      <c r="A136" s="261"/>
    </row>
    <row r="137" spans="1:11" ht="18" customHeight="1">
      <c r="A137" s="261" t="s">
        <v>163</v>
      </c>
      <c r="B137" s="257" t="s">
        <v>27</v>
      </c>
      <c r="F137" s="270">
        <f t="shared" ref="F137:K137" si="13">SUM(F131:F135)</f>
        <v>0</v>
      </c>
      <c r="G137" s="270">
        <f t="shared" si="13"/>
        <v>0</v>
      </c>
      <c r="H137" s="281">
        <f t="shared" si="13"/>
        <v>0</v>
      </c>
      <c r="I137" s="281">
        <f t="shared" si="13"/>
        <v>0</v>
      </c>
      <c r="J137" s="281">
        <f t="shared" si="13"/>
        <v>0</v>
      </c>
      <c r="K137" s="281">
        <f t="shared" si="13"/>
        <v>0</v>
      </c>
    </row>
    <row r="138" spans="1:11" ht="18" customHeight="1">
      <c r="A138" s="252"/>
    </row>
    <row r="139" spans="1:11" ht="52.5" customHeight="1">
      <c r="F139" s="260" t="s">
        <v>9</v>
      </c>
      <c r="G139" s="260" t="s">
        <v>37</v>
      </c>
      <c r="H139" s="260" t="s">
        <v>29</v>
      </c>
      <c r="I139" s="260" t="s">
        <v>30</v>
      </c>
      <c r="J139" s="260" t="s">
        <v>33</v>
      </c>
      <c r="K139" s="260" t="s">
        <v>34</v>
      </c>
    </row>
    <row r="140" spans="1:11" ht="18" customHeight="1">
      <c r="A140" s="261" t="s">
        <v>166</v>
      </c>
      <c r="B140" s="257" t="s">
        <v>26</v>
      </c>
    </row>
    <row r="141" spans="1:11" ht="18" customHeight="1">
      <c r="A141" s="258" t="s">
        <v>137</v>
      </c>
      <c r="B141" s="257" t="s">
        <v>64</v>
      </c>
      <c r="F141" s="320">
        <f t="shared" ref="F141:K141" si="14">F36</f>
        <v>43227</v>
      </c>
      <c r="G141" s="320">
        <f t="shared" si="14"/>
        <v>89752</v>
      </c>
      <c r="H141" s="265">
        <f t="shared" si="14"/>
        <v>3724817.3600000003</v>
      </c>
      <c r="I141" s="265">
        <f t="shared" si="14"/>
        <v>1986445.0980880002</v>
      </c>
      <c r="J141" s="265">
        <f t="shared" si="14"/>
        <v>59108</v>
      </c>
      <c r="K141" s="265">
        <f t="shared" si="14"/>
        <v>5652154.4580880003</v>
      </c>
    </row>
    <row r="142" spans="1:11" ht="18" customHeight="1">
      <c r="A142" s="258" t="s">
        <v>142</v>
      </c>
      <c r="B142" s="257" t="s">
        <v>65</v>
      </c>
      <c r="F142" s="320">
        <f t="shared" ref="F142:K142" si="15">F49</f>
        <v>129040</v>
      </c>
      <c r="G142" s="320">
        <f t="shared" si="15"/>
        <v>6128</v>
      </c>
      <c r="H142" s="265">
        <f t="shared" si="15"/>
        <v>5882916</v>
      </c>
      <c r="I142" s="265">
        <f t="shared" si="15"/>
        <v>0</v>
      </c>
      <c r="J142" s="265">
        <f t="shared" si="15"/>
        <v>0</v>
      </c>
      <c r="K142" s="265">
        <f t="shared" si="15"/>
        <v>5882916</v>
      </c>
    </row>
    <row r="143" spans="1:11" ht="18" customHeight="1">
      <c r="A143" s="258" t="s">
        <v>144</v>
      </c>
      <c r="B143" s="257" t="s">
        <v>66</v>
      </c>
      <c r="F143" s="320">
        <f t="shared" ref="F143:K143" si="16">F64</f>
        <v>6291</v>
      </c>
      <c r="G143" s="320">
        <f t="shared" si="16"/>
        <v>18308</v>
      </c>
      <c r="H143" s="265">
        <f t="shared" si="16"/>
        <v>14095342.859999999</v>
      </c>
      <c r="I143" s="265">
        <f t="shared" si="16"/>
        <v>53100.147700000001</v>
      </c>
      <c r="J143" s="265">
        <f t="shared" si="16"/>
        <v>27000</v>
      </c>
      <c r="K143" s="265">
        <f t="shared" si="16"/>
        <v>14121443.0077</v>
      </c>
    </row>
    <row r="144" spans="1:11" ht="18" customHeight="1">
      <c r="A144" s="258" t="s">
        <v>146</v>
      </c>
      <c r="B144" s="257" t="s">
        <v>67</v>
      </c>
      <c r="F144" s="320">
        <f t="shared" ref="F144:K144" si="17">F74</f>
        <v>33004</v>
      </c>
      <c r="G144" s="320">
        <f t="shared" si="17"/>
        <v>0</v>
      </c>
      <c r="H144" s="265">
        <f t="shared" si="17"/>
        <v>1319048.5</v>
      </c>
      <c r="I144" s="265">
        <f t="shared" si="17"/>
        <v>459241</v>
      </c>
      <c r="J144" s="265">
        <f t="shared" si="17"/>
        <v>953784</v>
      </c>
      <c r="K144" s="265">
        <f t="shared" si="17"/>
        <v>824505.5</v>
      </c>
    </row>
    <row r="145" spans="1:11" ht="18" customHeight="1">
      <c r="A145" s="258" t="s">
        <v>148</v>
      </c>
      <c r="B145" s="257" t="s">
        <v>68</v>
      </c>
      <c r="F145" s="320">
        <f t="shared" ref="F145:K145" si="18">F82</f>
        <v>2101</v>
      </c>
      <c r="G145" s="320">
        <f t="shared" si="18"/>
        <v>2435</v>
      </c>
      <c r="H145" s="265">
        <f t="shared" si="18"/>
        <v>862857</v>
      </c>
      <c r="I145" s="265">
        <f t="shared" si="18"/>
        <v>0</v>
      </c>
      <c r="J145" s="265">
        <f t="shared" si="18"/>
        <v>0</v>
      </c>
      <c r="K145" s="265">
        <f t="shared" si="18"/>
        <v>862857</v>
      </c>
    </row>
    <row r="146" spans="1:11" ht="18" customHeight="1">
      <c r="A146" s="258" t="s">
        <v>150</v>
      </c>
      <c r="B146" s="257" t="s">
        <v>69</v>
      </c>
      <c r="F146" s="320">
        <f t="shared" ref="F146:K146" si="19">F98</f>
        <v>10926</v>
      </c>
      <c r="G146" s="320">
        <f t="shared" si="19"/>
        <v>136072</v>
      </c>
      <c r="H146" s="265">
        <f t="shared" si="19"/>
        <v>635720.6</v>
      </c>
      <c r="I146" s="265">
        <f t="shared" si="19"/>
        <v>339029.79598</v>
      </c>
      <c r="J146" s="265">
        <f t="shared" si="19"/>
        <v>0</v>
      </c>
      <c r="K146" s="265">
        <f t="shared" si="19"/>
        <v>974750.39598000003</v>
      </c>
    </row>
    <row r="147" spans="1:11" ht="18" customHeight="1">
      <c r="A147" s="258" t="s">
        <v>153</v>
      </c>
      <c r="B147" s="257" t="s">
        <v>61</v>
      </c>
      <c r="F147" s="270">
        <f t="shared" ref="F147:K147" si="20">F108</f>
        <v>1440</v>
      </c>
      <c r="G147" s="270">
        <f t="shared" si="20"/>
        <v>150</v>
      </c>
      <c r="H147" s="265">
        <f t="shared" si="20"/>
        <v>40900</v>
      </c>
      <c r="I147" s="265">
        <f t="shared" si="20"/>
        <v>21811.97</v>
      </c>
      <c r="J147" s="265">
        <f t="shared" si="20"/>
        <v>0</v>
      </c>
      <c r="K147" s="265">
        <f t="shared" si="20"/>
        <v>62711.97</v>
      </c>
    </row>
    <row r="148" spans="1:11" ht="18" customHeight="1">
      <c r="A148" s="258" t="s">
        <v>155</v>
      </c>
      <c r="B148" s="257" t="s">
        <v>70</v>
      </c>
      <c r="F148" s="321" t="s">
        <v>73</v>
      </c>
      <c r="G148" s="321" t="s">
        <v>73</v>
      </c>
      <c r="H148" s="322" t="s">
        <v>73</v>
      </c>
      <c r="I148" s="322" t="s">
        <v>73</v>
      </c>
      <c r="J148" s="322" t="s">
        <v>73</v>
      </c>
      <c r="K148" s="323">
        <f>F111</f>
        <v>5688100</v>
      </c>
    </row>
    <row r="149" spans="1:11" ht="18" customHeight="1">
      <c r="A149" s="258" t="s">
        <v>163</v>
      </c>
      <c r="B149" s="257" t="s">
        <v>71</v>
      </c>
      <c r="F149" s="270">
        <f t="shared" ref="F149:K149" si="21">F137</f>
        <v>0</v>
      </c>
      <c r="G149" s="270">
        <f t="shared" si="21"/>
        <v>0</v>
      </c>
      <c r="H149" s="270">
        <f t="shared" si="21"/>
        <v>0</v>
      </c>
      <c r="I149" s="270">
        <f t="shared" si="21"/>
        <v>0</v>
      </c>
      <c r="J149" s="270">
        <f t="shared" si="21"/>
        <v>0</v>
      </c>
      <c r="K149" s="270">
        <f t="shared" si="21"/>
        <v>0</v>
      </c>
    </row>
    <row r="150" spans="1:11" ht="18" customHeight="1">
      <c r="A150" s="258" t="s">
        <v>185</v>
      </c>
      <c r="B150" s="257" t="s">
        <v>186</v>
      </c>
      <c r="F150" s="321" t="s">
        <v>73</v>
      </c>
      <c r="G150" s="321" t="s">
        <v>73</v>
      </c>
      <c r="H150" s="265">
        <f>H18</f>
        <v>13677679</v>
      </c>
      <c r="I150" s="265">
        <f>I18</f>
        <v>0</v>
      </c>
      <c r="J150" s="265">
        <f>J18</f>
        <v>11696126</v>
      </c>
      <c r="K150" s="265">
        <f>K18</f>
        <v>1981553</v>
      </c>
    </row>
    <row r="151" spans="1:11" ht="18" customHeight="1">
      <c r="B151" s="257"/>
      <c r="F151" s="292"/>
      <c r="G151" s="292"/>
      <c r="H151" s="292"/>
      <c r="I151" s="292"/>
      <c r="J151" s="292"/>
      <c r="K151" s="292"/>
    </row>
    <row r="152" spans="1:11" ht="18" customHeight="1">
      <c r="A152" s="261" t="s">
        <v>165</v>
      </c>
      <c r="B152" s="257" t="s">
        <v>26</v>
      </c>
      <c r="F152" s="324">
        <f t="shared" ref="F152:K152" si="22">SUM(F141:F150)</f>
        <v>226029</v>
      </c>
      <c r="G152" s="324">
        <f t="shared" si="22"/>
        <v>252845</v>
      </c>
      <c r="H152" s="265">
        <f t="shared" si="22"/>
        <v>40239281.32</v>
      </c>
      <c r="I152" s="265">
        <f t="shared" si="22"/>
        <v>2859628.0117680007</v>
      </c>
      <c r="J152" s="265">
        <f t="shared" si="22"/>
        <v>12736018</v>
      </c>
      <c r="K152" s="265">
        <f t="shared" si="22"/>
        <v>36050991.331767999</v>
      </c>
    </row>
    <row r="154" spans="1:11" ht="18" customHeight="1">
      <c r="A154" s="261" t="s">
        <v>168</v>
      </c>
      <c r="B154" s="257" t="s">
        <v>28</v>
      </c>
      <c r="F154" s="325">
        <f>K152/F121</f>
        <v>7.0063825966179827E-2</v>
      </c>
    </row>
    <row r="155" spans="1:11" ht="18" customHeight="1">
      <c r="A155" s="261" t="s">
        <v>169</v>
      </c>
      <c r="B155" s="257" t="s">
        <v>72</v>
      </c>
      <c r="F155" s="325">
        <f>K152/F127</f>
        <v>0.91957431210509133</v>
      </c>
      <c r="G155" s="257"/>
    </row>
    <row r="156" spans="1:11" ht="18" customHeight="1">
      <c r="G156" s="257"/>
    </row>
  </sheetData>
  <mergeCells count="33">
    <mergeCell ref="B133:D133"/>
    <mergeCell ref="B134:D134"/>
    <mergeCell ref="B135:D135"/>
    <mergeCell ref="B95:D95"/>
    <mergeCell ref="B96:D96"/>
    <mergeCell ref="B103:C103"/>
    <mergeCell ref="B104:D104"/>
    <mergeCell ref="B105:D105"/>
    <mergeCell ref="B106:D106"/>
    <mergeCell ref="B94:D94"/>
    <mergeCell ref="B45:D45"/>
    <mergeCell ref="B46:D46"/>
    <mergeCell ref="B47:D47"/>
    <mergeCell ref="B52:C52"/>
    <mergeCell ref="B53:D53"/>
    <mergeCell ref="B55:D55"/>
    <mergeCell ref="B56:D56"/>
    <mergeCell ref="B57:D57"/>
    <mergeCell ref="B59:D59"/>
    <mergeCell ref="B62:D62"/>
    <mergeCell ref="B90:C90"/>
    <mergeCell ref="B44:D44"/>
    <mergeCell ref="C5:G5"/>
    <mergeCell ref="C6:G6"/>
    <mergeCell ref="C7:G7"/>
    <mergeCell ref="C9:G9"/>
    <mergeCell ref="C10:G10"/>
    <mergeCell ref="C11:G11"/>
    <mergeCell ref="B13:H13"/>
    <mergeCell ref="B28:D28"/>
    <mergeCell ref="B29:D29"/>
    <mergeCell ref="B30:D30"/>
    <mergeCell ref="B41:C41"/>
  </mergeCells>
  <hyperlinks>
    <hyperlink ref="C11" r:id="rId1"/>
  </hyperlinks>
  <pageMargins left="0.25" right="0.25" top="0.75" bottom="0.75" header="0.3" footer="0.3"/>
  <pageSetup scale="59" fitToHeight="3" orientation="landscape" r:id="rId2"/>
  <headerFooter alignWithMargins="0">
    <oddHeader>&amp;RPage &amp;P</oddHeader>
    <oddFooter>&amp;L&amp;Z&amp;F&amp;C&amp;P of &amp;N&amp;R&amp;D</oddFooter>
  </headerFooter>
  <rowBreaks count="4" manualBreakCount="4">
    <brk id="37" max="16383" man="1"/>
    <brk id="74" max="16383" man="1"/>
    <brk id="109" max="16383" man="1"/>
    <brk id="138"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topLeftCell="A124" workbookViewId="0">
      <selection activeCell="I4" sqref="I4"/>
    </sheetView>
  </sheetViews>
  <sheetFormatPr defaultRowHeight="15"/>
  <cols>
    <col min="1" max="1" width="7.5703125" style="411" bestFit="1" customWidth="1"/>
    <col min="2" max="2" width="55.5703125" style="411" bestFit="1" customWidth="1"/>
    <col min="3" max="5" width="9.140625" style="411"/>
    <col min="6" max="7" width="17.5703125" style="411" bestFit="1" customWidth="1"/>
    <col min="8" max="8" width="15" style="411" bestFit="1" customWidth="1"/>
    <col min="9" max="9" width="16.7109375" style="411" bestFit="1" customWidth="1"/>
    <col min="10" max="10" width="23.42578125" style="411" bestFit="1" customWidth="1"/>
    <col min="11" max="11" width="24.7109375" style="411" bestFit="1" customWidth="1"/>
    <col min="12" max="16384" width="9.140625" style="411"/>
  </cols>
  <sheetData>
    <row r="1" spans="1:11">
      <c r="A1" s="410"/>
    </row>
    <row r="2" spans="1:11" ht="15.75">
      <c r="D2" s="733" t="s">
        <v>371</v>
      </c>
      <c r="E2" s="733"/>
      <c r="F2" s="733"/>
      <c r="G2" s="733"/>
      <c r="H2" s="733"/>
    </row>
    <row r="3" spans="1:11">
      <c r="B3" s="412" t="s">
        <v>0</v>
      </c>
    </row>
    <row r="5" spans="1:11">
      <c r="B5" s="413" t="s">
        <v>40</v>
      </c>
      <c r="C5" s="732" t="s">
        <v>684</v>
      </c>
      <c r="D5" s="732"/>
      <c r="E5" s="732"/>
      <c r="F5" s="732"/>
      <c r="G5" s="732"/>
    </row>
    <row r="6" spans="1:11">
      <c r="B6" s="413" t="s">
        <v>3</v>
      </c>
      <c r="C6" s="732">
        <v>24</v>
      </c>
      <c r="D6" s="732"/>
      <c r="E6" s="732"/>
      <c r="F6" s="732"/>
      <c r="G6" s="732"/>
    </row>
    <row r="7" spans="1:11">
      <c r="B7" s="413" t="s">
        <v>4</v>
      </c>
      <c r="C7" s="732">
        <v>2256</v>
      </c>
      <c r="D7" s="732"/>
      <c r="E7" s="732"/>
      <c r="F7" s="732"/>
      <c r="G7" s="732"/>
    </row>
    <row r="8" spans="1:11">
      <c r="B8" s="413"/>
    </row>
    <row r="9" spans="1:11">
      <c r="B9" s="413" t="s">
        <v>1</v>
      </c>
      <c r="C9" s="732" t="s">
        <v>645</v>
      </c>
      <c r="D9" s="732"/>
      <c r="E9" s="732"/>
      <c r="F9" s="732"/>
      <c r="G9" s="732"/>
    </row>
    <row r="10" spans="1:11">
      <c r="B10" s="413" t="s">
        <v>2</v>
      </c>
      <c r="C10" s="732" t="s">
        <v>685</v>
      </c>
      <c r="D10" s="732"/>
      <c r="E10" s="732"/>
      <c r="F10" s="732"/>
      <c r="G10" s="732"/>
    </row>
    <row r="11" spans="1:11">
      <c r="B11" s="413" t="s">
        <v>32</v>
      </c>
      <c r="C11" s="732" t="s">
        <v>624</v>
      </c>
      <c r="D11" s="732"/>
      <c r="E11" s="732"/>
      <c r="F11" s="732"/>
      <c r="G11" s="732"/>
    </row>
    <row r="16" spans="1:11">
      <c r="B16" s="412" t="s">
        <v>181</v>
      </c>
      <c r="F16" s="414" t="s">
        <v>9</v>
      </c>
      <c r="G16" s="414" t="s">
        <v>37</v>
      </c>
      <c r="H16" s="414" t="s">
        <v>29</v>
      </c>
      <c r="I16" s="414" t="s">
        <v>30</v>
      </c>
      <c r="J16" s="414" t="s">
        <v>33</v>
      </c>
      <c r="K16" s="414" t="s">
        <v>34</v>
      </c>
    </row>
    <row r="17" spans="1:11">
      <c r="A17" s="415" t="s">
        <v>184</v>
      </c>
      <c r="B17" s="414" t="s">
        <v>182</v>
      </c>
    </row>
    <row r="18" spans="1:11">
      <c r="A18" s="413" t="s">
        <v>408</v>
      </c>
      <c r="B18" s="413" t="s">
        <v>183</v>
      </c>
      <c r="F18" s="416" t="s">
        <v>73</v>
      </c>
      <c r="G18" s="416" t="s">
        <v>73</v>
      </c>
      <c r="H18" s="417">
        <v>10482012</v>
      </c>
      <c r="I18" s="417">
        <v>0</v>
      </c>
      <c r="J18" s="417">
        <v>8963431</v>
      </c>
      <c r="K18" s="417">
        <v>1518581</v>
      </c>
    </row>
    <row r="19" spans="1:11">
      <c r="B19" s="412" t="s">
        <v>8</v>
      </c>
      <c r="F19" s="414" t="s">
        <v>9</v>
      </c>
      <c r="G19" s="414" t="s">
        <v>37</v>
      </c>
      <c r="H19" s="414" t="s">
        <v>29</v>
      </c>
      <c r="I19" s="414" t="s">
        <v>30</v>
      </c>
      <c r="J19" s="414" t="s">
        <v>33</v>
      </c>
      <c r="K19" s="414" t="s">
        <v>34</v>
      </c>
    </row>
    <row r="20" spans="1:11">
      <c r="A20" s="415" t="s">
        <v>409</v>
      </c>
      <c r="B20" s="414" t="s">
        <v>41</v>
      </c>
    </row>
    <row r="21" spans="1:11">
      <c r="A21" s="413" t="s">
        <v>410</v>
      </c>
      <c r="B21" s="413" t="s">
        <v>42</v>
      </c>
      <c r="F21" s="416">
        <v>4545</v>
      </c>
      <c r="G21" s="416">
        <v>2544</v>
      </c>
      <c r="H21" s="417">
        <v>165528</v>
      </c>
      <c r="I21" s="417">
        <v>10916</v>
      </c>
      <c r="J21" s="417">
        <v>0</v>
      </c>
      <c r="K21" s="417">
        <v>176444</v>
      </c>
    </row>
    <row r="22" spans="1:11">
      <c r="A22" s="413" t="s">
        <v>411</v>
      </c>
      <c r="B22" s="413" t="s">
        <v>6</v>
      </c>
      <c r="F22" s="416">
        <v>0</v>
      </c>
      <c r="G22" s="416">
        <v>0</v>
      </c>
      <c r="H22" s="417">
        <v>0</v>
      </c>
      <c r="I22" s="417">
        <v>0</v>
      </c>
      <c r="J22" s="417">
        <v>0</v>
      </c>
      <c r="K22" s="417">
        <v>0</v>
      </c>
    </row>
    <row r="23" spans="1:11">
      <c r="A23" s="413" t="s">
        <v>412</v>
      </c>
      <c r="B23" s="413" t="s">
        <v>43</v>
      </c>
      <c r="F23" s="416">
        <v>0</v>
      </c>
      <c r="G23" s="416">
        <v>0</v>
      </c>
      <c r="H23" s="417">
        <v>11544</v>
      </c>
      <c r="I23" s="417">
        <v>6811</v>
      </c>
      <c r="J23" s="417">
        <v>0</v>
      </c>
      <c r="K23" s="417">
        <v>18355</v>
      </c>
    </row>
    <row r="24" spans="1:11">
      <c r="A24" s="413" t="s">
        <v>413</v>
      </c>
      <c r="B24" s="413" t="s">
        <v>44</v>
      </c>
      <c r="F24" s="416">
        <v>614</v>
      </c>
      <c r="G24" s="416">
        <v>25621</v>
      </c>
      <c r="H24" s="417">
        <v>623733</v>
      </c>
      <c r="I24" s="417">
        <v>338931</v>
      </c>
      <c r="J24" s="417">
        <v>529334</v>
      </c>
      <c r="K24" s="417">
        <v>433330</v>
      </c>
    </row>
    <row r="25" spans="1:11">
      <c r="A25" s="413" t="s">
        <v>414</v>
      </c>
      <c r="B25" s="413" t="s">
        <v>5</v>
      </c>
      <c r="F25" s="416">
        <v>4</v>
      </c>
      <c r="G25" s="416">
        <v>0</v>
      </c>
      <c r="H25" s="417">
        <v>216</v>
      </c>
      <c r="I25" s="417">
        <v>127</v>
      </c>
      <c r="J25" s="417">
        <v>0</v>
      </c>
      <c r="K25" s="417">
        <v>343</v>
      </c>
    </row>
    <row r="26" spans="1:11">
      <c r="A26" s="413" t="s">
        <v>415</v>
      </c>
      <c r="B26" s="413" t="s">
        <v>45</v>
      </c>
      <c r="F26" s="416">
        <v>0</v>
      </c>
      <c r="G26" s="416">
        <v>0</v>
      </c>
      <c r="H26" s="417">
        <v>0</v>
      </c>
      <c r="I26" s="417">
        <v>0</v>
      </c>
      <c r="J26" s="417">
        <v>0</v>
      </c>
      <c r="K26" s="417">
        <v>0</v>
      </c>
    </row>
    <row r="27" spans="1:11">
      <c r="A27" s="413" t="s">
        <v>416</v>
      </c>
      <c r="B27" s="413" t="s">
        <v>46</v>
      </c>
      <c r="F27" s="416">
        <v>2696</v>
      </c>
      <c r="G27" s="416">
        <v>0</v>
      </c>
      <c r="H27" s="417">
        <v>244834</v>
      </c>
      <c r="I27" s="417">
        <v>0</v>
      </c>
      <c r="J27" s="417">
        <v>0</v>
      </c>
      <c r="K27" s="417">
        <v>244834</v>
      </c>
    </row>
    <row r="28" spans="1:11">
      <c r="A28" s="413" t="s">
        <v>417</v>
      </c>
      <c r="B28" s="413" t="s">
        <v>47</v>
      </c>
      <c r="F28" s="416">
        <v>0</v>
      </c>
      <c r="G28" s="416">
        <v>0</v>
      </c>
      <c r="H28" s="417">
        <v>0</v>
      </c>
      <c r="I28" s="417">
        <v>0</v>
      </c>
      <c r="J28" s="417">
        <v>0</v>
      </c>
      <c r="K28" s="417">
        <v>0</v>
      </c>
    </row>
    <row r="29" spans="1:11">
      <c r="A29" s="413" t="s">
        <v>75</v>
      </c>
      <c r="B29" s="413" t="s">
        <v>48</v>
      </c>
      <c r="F29" s="416">
        <v>0</v>
      </c>
      <c r="G29" s="416">
        <v>0</v>
      </c>
      <c r="H29" s="417">
        <v>173072</v>
      </c>
      <c r="I29" s="417">
        <v>37556</v>
      </c>
      <c r="J29" s="417">
        <v>0</v>
      </c>
      <c r="K29" s="417">
        <v>210628</v>
      </c>
    </row>
    <row r="30" spans="1:11">
      <c r="A30" s="413"/>
      <c r="B30" s="413"/>
      <c r="F30" s="416"/>
      <c r="G30" s="416"/>
      <c r="H30" s="417"/>
      <c r="I30" s="417"/>
      <c r="J30" s="417"/>
      <c r="K30" s="417"/>
    </row>
    <row r="31" spans="1:11">
      <c r="A31" s="413"/>
      <c r="B31" s="413"/>
      <c r="F31" s="416"/>
      <c r="G31" s="416"/>
      <c r="H31" s="417"/>
      <c r="I31" s="417"/>
      <c r="J31" s="417"/>
      <c r="K31" s="417"/>
    </row>
    <row r="32" spans="1:11">
      <c r="A32" s="413"/>
      <c r="B32" s="413"/>
      <c r="F32" s="416"/>
      <c r="G32" s="416"/>
      <c r="H32" s="417"/>
      <c r="I32" s="417"/>
      <c r="J32" s="417"/>
      <c r="K32" s="417"/>
    </row>
    <row r="33" spans="1:11">
      <c r="A33" s="413"/>
      <c r="B33" s="413"/>
      <c r="F33" s="416"/>
      <c r="G33" s="416"/>
      <c r="H33" s="417"/>
      <c r="I33" s="417"/>
      <c r="J33" s="417"/>
      <c r="K33" s="417"/>
    </row>
    <row r="34" spans="1:11">
      <c r="A34" s="413"/>
      <c r="B34" s="413"/>
      <c r="F34" s="416"/>
      <c r="G34" s="416"/>
      <c r="H34" s="417"/>
      <c r="I34" s="417"/>
      <c r="J34" s="417"/>
      <c r="K34" s="417"/>
    </row>
    <row r="35" spans="1:11">
      <c r="A35" s="413"/>
      <c r="B35" s="413"/>
      <c r="F35" s="416"/>
      <c r="G35" s="416"/>
      <c r="H35" s="417"/>
      <c r="I35" s="417"/>
      <c r="J35" s="417"/>
      <c r="K35" s="417"/>
    </row>
    <row r="36" spans="1:11">
      <c r="A36" s="415" t="s">
        <v>420</v>
      </c>
      <c r="B36" s="413" t="s">
        <v>138</v>
      </c>
      <c r="F36" s="416">
        <v>7859</v>
      </c>
      <c r="G36" s="416">
        <v>28165</v>
      </c>
      <c r="H36" s="417">
        <v>1218927</v>
      </c>
      <c r="I36" s="417">
        <v>394341</v>
      </c>
      <c r="J36" s="417">
        <v>529334</v>
      </c>
      <c r="K36" s="417">
        <v>1083934</v>
      </c>
    </row>
    <row r="39" spans="1:11">
      <c r="A39" s="415" t="s">
        <v>86</v>
      </c>
      <c r="B39" s="414" t="s">
        <v>49</v>
      </c>
    </row>
    <row r="40" spans="1:11">
      <c r="A40" s="413" t="s">
        <v>421</v>
      </c>
      <c r="B40" s="413" t="s">
        <v>31</v>
      </c>
      <c r="F40" s="416">
        <v>201327</v>
      </c>
      <c r="G40" s="416">
        <v>0</v>
      </c>
      <c r="H40" s="417">
        <v>11524342</v>
      </c>
      <c r="I40" s="417">
        <v>6799362</v>
      </c>
      <c r="J40" s="417">
        <v>0</v>
      </c>
      <c r="K40" s="417">
        <v>18323704</v>
      </c>
    </row>
    <row r="41" spans="1:11">
      <c r="A41" s="413" t="s">
        <v>422</v>
      </c>
      <c r="B41" s="413" t="s">
        <v>50</v>
      </c>
      <c r="F41" s="416">
        <v>995</v>
      </c>
      <c r="G41" s="416">
        <v>726</v>
      </c>
      <c r="H41" s="417">
        <v>1173438</v>
      </c>
      <c r="I41" s="417">
        <v>182053</v>
      </c>
      <c r="J41" s="417">
        <v>0</v>
      </c>
      <c r="K41" s="417">
        <v>1355491</v>
      </c>
    </row>
    <row r="42" spans="1:11">
      <c r="A42" s="413" t="s">
        <v>423</v>
      </c>
      <c r="B42" s="413" t="s">
        <v>11</v>
      </c>
      <c r="F42" s="416">
        <v>4.5</v>
      </c>
      <c r="G42" s="416">
        <v>40</v>
      </c>
      <c r="H42" s="417">
        <v>11151</v>
      </c>
      <c r="I42" s="417">
        <v>6578</v>
      </c>
      <c r="J42" s="417">
        <v>0</v>
      </c>
      <c r="K42" s="417">
        <v>17729</v>
      </c>
    </row>
    <row r="43" spans="1:11" ht="15.75" customHeight="1">
      <c r="A43" s="413" t="s">
        <v>424</v>
      </c>
      <c r="B43" s="413" t="s">
        <v>10</v>
      </c>
      <c r="F43" s="416">
        <v>0</v>
      </c>
      <c r="G43" s="416">
        <v>0</v>
      </c>
      <c r="H43" s="417">
        <v>0</v>
      </c>
      <c r="I43" s="417">
        <v>0</v>
      </c>
      <c r="J43" s="417">
        <v>0</v>
      </c>
      <c r="K43" s="417">
        <v>0</v>
      </c>
    </row>
    <row r="44" spans="1:11" ht="15.75" customHeight="1">
      <c r="A44" s="413"/>
      <c r="B44" s="413"/>
      <c r="F44" s="416"/>
      <c r="G44" s="416"/>
      <c r="H44" s="417"/>
      <c r="I44" s="417"/>
      <c r="J44" s="417"/>
      <c r="K44" s="417"/>
    </row>
    <row r="45" spans="1:11" ht="15.75" customHeight="1">
      <c r="A45" s="413"/>
      <c r="B45" s="413"/>
      <c r="F45" s="416"/>
      <c r="G45" s="416"/>
      <c r="H45" s="417"/>
      <c r="I45" s="417"/>
      <c r="J45" s="417"/>
      <c r="K45" s="417"/>
    </row>
    <row r="46" spans="1:11" ht="15.75" customHeight="1">
      <c r="A46" s="413"/>
      <c r="B46" s="413"/>
      <c r="F46" s="416"/>
      <c r="G46" s="416"/>
      <c r="H46" s="417"/>
      <c r="I46" s="417"/>
      <c r="J46" s="417"/>
      <c r="K46" s="417"/>
    </row>
    <row r="47" spans="1:11" ht="15.75" customHeight="1">
      <c r="A47" s="413"/>
      <c r="B47" s="413"/>
      <c r="F47" s="416"/>
      <c r="G47" s="416"/>
      <c r="H47" s="417"/>
      <c r="I47" s="417"/>
      <c r="J47" s="417"/>
      <c r="K47" s="417"/>
    </row>
    <row r="48" spans="1:11" ht="15.75" customHeight="1">
      <c r="A48" s="413"/>
      <c r="B48" s="413"/>
      <c r="F48" s="416"/>
      <c r="G48" s="416"/>
      <c r="H48" s="417"/>
      <c r="I48" s="417"/>
      <c r="J48" s="417"/>
      <c r="K48" s="417"/>
    </row>
    <row r="49" spans="1:11">
      <c r="A49" s="415" t="s">
        <v>425</v>
      </c>
      <c r="B49" s="413" t="s">
        <v>143</v>
      </c>
      <c r="F49" s="416">
        <v>202326.5</v>
      </c>
      <c r="G49" s="416">
        <v>766</v>
      </c>
      <c r="H49" s="417">
        <v>12708931</v>
      </c>
      <c r="I49" s="417">
        <v>6987993</v>
      </c>
      <c r="J49" s="417">
        <v>0</v>
      </c>
      <c r="K49" s="417">
        <v>19696924</v>
      </c>
    </row>
    <row r="52" spans="1:11">
      <c r="A52" s="415" t="s">
        <v>92</v>
      </c>
      <c r="B52" s="414" t="s">
        <v>38</v>
      </c>
    </row>
    <row r="53" spans="1:11">
      <c r="A53" s="413" t="s">
        <v>426</v>
      </c>
      <c r="B53" s="413" t="s">
        <v>625</v>
      </c>
      <c r="F53" s="416">
        <v>0</v>
      </c>
      <c r="G53" s="416">
        <v>0</v>
      </c>
      <c r="H53" s="417">
        <v>7705499</v>
      </c>
      <c r="I53" s="417">
        <v>0</v>
      </c>
      <c r="J53" s="417">
        <v>7310593</v>
      </c>
      <c r="K53" s="417">
        <v>394906</v>
      </c>
    </row>
    <row r="54" spans="1:11">
      <c r="A54" s="413" t="s">
        <v>635</v>
      </c>
      <c r="B54" s="413" t="s">
        <v>686</v>
      </c>
      <c r="F54" s="416">
        <v>0</v>
      </c>
      <c r="G54" s="416">
        <v>0</v>
      </c>
      <c r="H54" s="417">
        <v>4072159</v>
      </c>
      <c r="I54" s="417">
        <v>0</v>
      </c>
      <c r="J54" s="417">
        <v>1547139</v>
      </c>
      <c r="K54" s="417">
        <v>2525020</v>
      </c>
    </row>
    <row r="55" spans="1:11">
      <c r="A55" s="413" t="s">
        <v>636</v>
      </c>
      <c r="B55" s="413" t="s">
        <v>687</v>
      </c>
      <c r="F55" s="416">
        <v>0</v>
      </c>
      <c r="G55" s="416">
        <v>0</v>
      </c>
      <c r="H55" s="417">
        <v>751253</v>
      </c>
      <c r="I55" s="417">
        <v>0</v>
      </c>
      <c r="J55" s="417">
        <v>554</v>
      </c>
      <c r="K55" s="417">
        <v>750699</v>
      </c>
    </row>
    <row r="56" spans="1:11">
      <c r="A56" s="413" t="s">
        <v>638</v>
      </c>
      <c r="B56" s="413" t="s">
        <v>688</v>
      </c>
      <c r="F56" s="416">
        <v>0</v>
      </c>
      <c r="G56" s="416">
        <v>0</v>
      </c>
      <c r="H56" s="417">
        <v>5030182</v>
      </c>
      <c r="I56" s="417">
        <v>0</v>
      </c>
      <c r="J56" s="417">
        <v>4073247</v>
      </c>
      <c r="K56" s="417">
        <v>956935</v>
      </c>
    </row>
    <row r="57" spans="1:11">
      <c r="A57" s="413" t="s">
        <v>640</v>
      </c>
      <c r="B57" s="413" t="s">
        <v>651</v>
      </c>
      <c r="F57" s="416">
        <v>0</v>
      </c>
      <c r="G57" s="416">
        <v>0</v>
      </c>
      <c r="H57" s="417">
        <v>200000</v>
      </c>
      <c r="I57" s="417">
        <v>0</v>
      </c>
      <c r="J57" s="417">
        <v>0</v>
      </c>
      <c r="K57" s="417">
        <v>200000</v>
      </c>
    </row>
    <row r="58" spans="1:11">
      <c r="A58" s="413"/>
      <c r="B58" s="413"/>
      <c r="F58" s="416"/>
      <c r="G58" s="416"/>
      <c r="H58" s="417"/>
      <c r="I58" s="417"/>
      <c r="J58" s="417"/>
      <c r="K58" s="417"/>
    </row>
    <row r="59" spans="1:11">
      <c r="A59" s="413"/>
      <c r="B59" s="413"/>
      <c r="F59" s="416"/>
      <c r="G59" s="416"/>
      <c r="H59" s="417"/>
      <c r="I59" s="417"/>
      <c r="J59" s="417"/>
      <c r="K59" s="417"/>
    </row>
    <row r="60" spans="1:11">
      <c r="A60" s="413"/>
      <c r="B60" s="413"/>
      <c r="F60" s="416"/>
      <c r="G60" s="416"/>
      <c r="H60" s="417"/>
      <c r="I60" s="417"/>
      <c r="J60" s="417"/>
      <c r="K60" s="417"/>
    </row>
    <row r="61" spans="1:11">
      <c r="A61" s="413"/>
      <c r="B61" s="413"/>
      <c r="F61" s="416"/>
      <c r="G61" s="416"/>
      <c r="H61" s="417"/>
      <c r="I61" s="417"/>
      <c r="J61" s="417"/>
      <c r="K61" s="417"/>
    </row>
    <row r="62" spans="1:11">
      <c r="A62" s="413"/>
      <c r="B62" s="413"/>
      <c r="F62" s="416"/>
      <c r="G62" s="416"/>
      <c r="H62" s="417"/>
      <c r="I62" s="417"/>
      <c r="J62" s="417"/>
      <c r="K62" s="417"/>
    </row>
    <row r="63" spans="1:11">
      <c r="A63" s="413"/>
      <c r="B63" s="413"/>
      <c r="F63" s="416"/>
      <c r="G63" s="416"/>
      <c r="H63" s="417"/>
      <c r="I63" s="417"/>
      <c r="J63" s="417"/>
      <c r="K63" s="417"/>
    </row>
    <row r="64" spans="1:11">
      <c r="A64" s="415" t="s">
        <v>428</v>
      </c>
      <c r="B64" s="413" t="s">
        <v>145</v>
      </c>
      <c r="F64" s="416">
        <v>0</v>
      </c>
      <c r="G64" s="416">
        <v>0</v>
      </c>
      <c r="H64" s="417">
        <v>17759093</v>
      </c>
      <c r="I64" s="417">
        <v>0</v>
      </c>
      <c r="J64" s="417">
        <v>12931533</v>
      </c>
      <c r="K64" s="417">
        <v>4827560</v>
      </c>
    </row>
    <row r="67" spans="1:11">
      <c r="A67" s="415" t="s">
        <v>102</v>
      </c>
      <c r="B67" s="414" t="s">
        <v>12</v>
      </c>
    </row>
    <row r="68" spans="1:11">
      <c r="A68" s="413" t="s">
        <v>429</v>
      </c>
      <c r="B68" s="413" t="s">
        <v>52</v>
      </c>
      <c r="F68" s="416">
        <v>0</v>
      </c>
      <c r="G68" s="416">
        <v>0</v>
      </c>
      <c r="H68" s="417">
        <v>875747</v>
      </c>
      <c r="I68" s="417">
        <v>516691</v>
      </c>
      <c r="J68" s="417">
        <v>0</v>
      </c>
      <c r="K68" s="417">
        <v>1392438</v>
      </c>
    </row>
    <row r="69" spans="1:11">
      <c r="A69" s="413" t="s">
        <v>430</v>
      </c>
      <c r="B69" s="413" t="s">
        <v>53</v>
      </c>
      <c r="F69" s="416">
        <v>0</v>
      </c>
      <c r="G69" s="416">
        <v>0</v>
      </c>
      <c r="H69" s="417">
        <v>159538</v>
      </c>
      <c r="I69" s="417">
        <v>94127</v>
      </c>
      <c r="J69" s="417">
        <v>0</v>
      </c>
      <c r="K69" s="417">
        <v>253665</v>
      </c>
    </row>
    <row r="70" spans="1:11">
      <c r="A70" s="413"/>
      <c r="B70" s="413"/>
      <c r="F70" s="416"/>
      <c r="G70" s="416"/>
      <c r="H70" s="417"/>
      <c r="I70" s="417"/>
      <c r="J70" s="417"/>
      <c r="K70" s="417"/>
    </row>
    <row r="71" spans="1:11">
      <c r="A71" s="413"/>
      <c r="B71" s="413"/>
      <c r="F71" s="416"/>
      <c r="G71" s="416"/>
      <c r="H71" s="417"/>
      <c r="I71" s="417"/>
      <c r="J71" s="417"/>
      <c r="K71" s="417"/>
    </row>
    <row r="72" spans="1:11">
      <c r="A72" s="413"/>
      <c r="B72" s="413"/>
      <c r="F72" s="416"/>
      <c r="G72" s="416"/>
      <c r="H72" s="417"/>
      <c r="I72" s="417"/>
      <c r="J72" s="417"/>
      <c r="K72" s="417"/>
    </row>
    <row r="73" spans="1:11">
      <c r="A73" s="413"/>
      <c r="B73" s="413"/>
      <c r="F73" s="416"/>
      <c r="G73" s="416"/>
      <c r="H73" s="417"/>
      <c r="I73" s="417"/>
      <c r="J73" s="417"/>
      <c r="K73" s="417"/>
    </row>
    <row r="74" spans="1:11">
      <c r="A74" s="415" t="s">
        <v>431</v>
      </c>
      <c r="B74" s="413" t="s">
        <v>147</v>
      </c>
      <c r="F74" s="416">
        <v>0</v>
      </c>
      <c r="G74" s="416">
        <v>0</v>
      </c>
      <c r="H74" s="417">
        <v>1035285</v>
      </c>
      <c r="I74" s="417">
        <v>610818</v>
      </c>
      <c r="J74" s="417">
        <v>0</v>
      </c>
      <c r="K74" s="417">
        <v>1646103</v>
      </c>
    </row>
    <row r="77" spans="1:11">
      <c r="A77" s="415" t="s">
        <v>105</v>
      </c>
      <c r="B77" s="414" t="s">
        <v>106</v>
      </c>
    </row>
    <row r="78" spans="1:11">
      <c r="A78" s="413" t="s">
        <v>432</v>
      </c>
      <c r="B78" s="413" t="s">
        <v>54</v>
      </c>
      <c r="F78" s="416">
        <v>0</v>
      </c>
      <c r="G78" s="416">
        <v>0</v>
      </c>
      <c r="H78" s="417">
        <v>22450</v>
      </c>
      <c r="I78" s="417">
        <v>0</v>
      </c>
      <c r="J78" s="417">
        <v>0</v>
      </c>
      <c r="K78" s="417">
        <v>22450</v>
      </c>
    </row>
    <row r="79" spans="1:11">
      <c r="A79" s="413" t="s">
        <v>433</v>
      </c>
      <c r="B79" s="413" t="s">
        <v>55</v>
      </c>
      <c r="F79" s="416">
        <v>0</v>
      </c>
      <c r="G79" s="416">
        <v>0</v>
      </c>
      <c r="H79" s="417">
        <v>0</v>
      </c>
      <c r="I79" s="417">
        <v>0</v>
      </c>
      <c r="J79" s="417">
        <v>0</v>
      </c>
      <c r="K79" s="417">
        <v>0</v>
      </c>
    </row>
    <row r="80" spans="1:11">
      <c r="A80" s="413" t="s">
        <v>434</v>
      </c>
      <c r="B80" s="413" t="s">
        <v>13</v>
      </c>
      <c r="F80" s="416">
        <v>0</v>
      </c>
      <c r="G80" s="416">
        <v>0</v>
      </c>
      <c r="H80" s="417">
        <v>17532</v>
      </c>
      <c r="I80" s="417">
        <v>1423</v>
      </c>
      <c r="J80" s="417">
        <v>0</v>
      </c>
      <c r="K80" s="417">
        <v>18955</v>
      </c>
    </row>
    <row r="81" spans="1:11">
      <c r="A81" s="413" t="s">
        <v>435</v>
      </c>
      <c r="B81" s="413" t="s">
        <v>436</v>
      </c>
      <c r="F81" s="416">
        <v>0</v>
      </c>
      <c r="G81" s="416">
        <v>0</v>
      </c>
      <c r="H81" s="417">
        <v>0</v>
      </c>
      <c r="I81" s="417">
        <v>0</v>
      </c>
      <c r="J81" s="417">
        <v>0</v>
      </c>
      <c r="K81" s="417">
        <v>0</v>
      </c>
    </row>
    <row r="82" spans="1:11">
      <c r="A82" s="415" t="s">
        <v>437</v>
      </c>
      <c r="B82" s="413" t="s">
        <v>54</v>
      </c>
      <c r="F82" s="416">
        <v>0</v>
      </c>
      <c r="G82" s="416">
        <v>0</v>
      </c>
      <c r="H82" s="417">
        <v>39982</v>
      </c>
      <c r="I82" s="417">
        <v>1423</v>
      </c>
      <c r="J82" s="417">
        <v>0</v>
      </c>
      <c r="K82" s="417">
        <v>41405</v>
      </c>
    </row>
    <row r="85" spans="1:11">
      <c r="A85" s="415" t="s">
        <v>111</v>
      </c>
      <c r="B85" s="414" t="s">
        <v>57</v>
      </c>
    </row>
    <row r="86" spans="1:11">
      <c r="A86" s="413" t="s">
        <v>438</v>
      </c>
      <c r="B86" s="413" t="s">
        <v>113</v>
      </c>
      <c r="F86" s="416">
        <v>0</v>
      </c>
      <c r="G86" s="416">
        <v>0</v>
      </c>
      <c r="H86" s="417">
        <v>114174</v>
      </c>
      <c r="I86" s="417">
        <v>67363</v>
      </c>
      <c r="J86" s="417">
        <v>79754</v>
      </c>
      <c r="K86" s="417">
        <v>101783</v>
      </c>
    </row>
    <row r="87" spans="1:11">
      <c r="A87" s="413" t="s">
        <v>439</v>
      </c>
      <c r="B87" s="413" t="s">
        <v>14</v>
      </c>
      <c r="F87" s="416">
        <v>0</v>
      </c>
      <c r="G87" s="416">
        <v>0</v>
      </c>
      <c r="H87" s="417">
        <v>0</v>
      </c>
      <c r="I87" s="417">
        <v>0</v>
      </c>
      <c r="J87" s="417">
        <v>0</v>
      </c>
      <c r="K87" s="417">
        <v>0</v>
      </c>
    </row>
    <row r="88" spans="1:11">
      <c r="A88" s="413" t="s">
        <v>440</v>
      </c>
      <c r="B88" s="413" t="s">
        <v>116</v>
      </c>
      <c r="F88" s="416">
        <v>0</v>
      </c>
      <c r="G88" s="416">
        <v>0</v>
      </c>
      <c r="H88" s="417">
        <v>0</v>
      </c>
      <c r="I88" s="417">
        <v>0</v>
      </c>
      <c r="J88" s="417">
        <v>0</v>
      </c>
      <c r="K88" s="417">
        <v>0</v>
      </c>
    </row>
    <row r="89" spans="1:11">
      <c r="A89" s="413" t="s">
        <v>441</v>
      </c>
      <c r="B89" s="413" t="s">
        <v>58</v>
      </c>
      <c r="F89" s="416">
        <v>0</v>
      </c>
      <c r="G89" s="416">
        <v>0</v>
      </c>
      <c r="H89" s="417">
        <v>0</v>
      </c>
      <c r="I89" s="417">
        <v>0</v>
      </c>
      <c r="J89" s="417">
        <v>0</v>
      </c>
      <c r="K89" s="417">
        <v>0</v>
      </c>
    </row>
    <row r="90" spans="1:11">
      <c r="A90" s="413" t="s">
        <v>442</v>
      </c>
      <c r="B90" s="413" t="s">
        <v>59</v>
      </c>
      <c r="F90" s="416">
        <v>0</v>
      </c>
      <c r="G90" s="416">
        <v>0</v>
      </c>
      <c r="H90" s="417">
        <v>0</v>
      </c>
      <c r="I90" s="417">
        <v>0</v>
      </c>
      <c r="J90" s="417">
        <v>0</v>
      </c>
      <c r="K90" s="417">
        <v>0</v>
      </c>
    </row>
    <row r="91" spans="1:11">
      <c r="A91" s="413" t="s">
        <v>443</v>
      </c>
      <c r="B91" s="413" t="s">
        <v>60</v>
      </c>
      <c r="F91" s="416">
        <v>0</v>
      </c>
      <c r="G91" s="416">
        <v>0</v>
      </c>
      <c r="H91" s="417">
        <v>0</v>
      </c>
      <c r="I91" s="417">
        <v>0</v>
      </c>
      <c r="J91" s="417">
        <v>0</v>
      </c>
      <c r="K91" s="417">
        <v>0</v>
      </c>
    </row>
    <row r="92" spans="1:11">
      <c r="A92" s="413" t="s">
        <v>444</v>
      </c>
      <c r="B92" s="413" t="s">
        <v>121</v>
      </c>
      <c r="F92" s="416">
        <v>0</v>
      </c>
      <c r="G92" s="416">
        <v>0</v>
      </c>
      <c r="H92" s="417">
        <v>26385</v>
      </c>
      <c r="I92" s="417">
        <v>0</v>
      </c>
      <c r="J92" s="417">
        <v>0</v>
      </c>
      <c r="K92" s="417">
        <v>26385</v>
      </c>
    </row>
    <row r="93" spans="1:11">
      <c r="A93" s="413" t="s">
        <v>445</v>
      </c>
      <c r="B93" s="413" t="s">
        <v>123</v>
      </c>
      <c r="F93" s="416">
        <v>0</v>
      </c>
      <c r="G93" s="416">
        <v>0</v>
      </c>
      <c r="H93" s="417">
        <v>7789</v>
      </c>
      <c r="I93" s="417">
        <v>0</v>
      </c>
      <c r="J93" s="417">
        <v>0</v>
      </c>
      <c r="K93" s="417">
        <v>7789</v>
      </c>
    </row>
    <row r="94" spans="1:11">
      <c r="A94" s="413"/>
      <c r="B94" s="413"/>
      <c r="F94" s="416"/>
      <c r="G94" s="416"/>
      <c r="H94" s="417"/>
      <c r="I94" s="417"/>
      <c r="J94" s="417"/>
      <c r="K94" s="417"/>
    </row>
    <row r="95" spans="1:11">
      <c r="A95" s="413"/>
      <c r="B95" s="413"/>
      <c r="F95" s="416"/>
      <c r="G95" s="416"/>
      <c r="H95" s="417"/>
      <c r="I95" s="417"/>
      <c r="J95" s="417"/>
      <c r="K95" s="417"/>
    </row>
    <row r="96" spans="1:11">
      <c r="A96" s="413"/>
      <c r="B96" s="413"/>
      <c r="F96" s="416"/>
      <c r="G96" s="416"/>
      <c r="H96" s="417"/>
      <c r="I96" s="417"/>
      <c r="J96" s="417"/>
      <c r="K96" s="417"/>
    </row>
    <row r="97" spans="1:11">
      <c r="A97" s="413"/>
      <c r="B97" s="413"/>
      <c r="F97" s="416"/>
      <c r="G97" s="416"/>
      <c r="H97" s="417"/>
      <c r="I97" s="417"/>
      <c r="J97" s="417"/>
      <c r="K97" s="417"/>
    </row>
    <row r="98" spans="1:11">
      <c r="A98" s="415" t="s">
        <v>446</v>
      </c>
      <c r="B98" s="413" t="s">
        <v>151</v>
      </c>
      <c r="F98" s="416">
        <v>0</v>
      </c>
      <c r="G98" s="416">
        <v>0</v>
      </c>
      <c r="H98" s="417">
        <v>148348</v>
      </c>
      <c r="I98" s="417">
        <v>67363</v>
      </c>
      <c r="J98" s="417">
        <v>79754</v>
      </c>
      <c r="K98" s="417">
        <v>135957</v>
      </c>
    </row>
    <row r="101" spans="1:11">
      <c r="A101" s="415" t="s">
        <v>130</v>
      </c>
      <c r="B101" s="414" t="s">
        <v>63</v>
      </c>
    </row>
    <row r="102" spans="1:11">
      <c r="A102" s="413" t="s">
        <v>447</v>
      </c>
      <c r="B102" s="413" t="s">
        <v>152</v>
      </c>
      <c r="F102" s="416">
        <v>0</v>
      </c>
      <c r="G102" s="416">
        <v>0</v>
      </c>
      <c r="H102" s="417">
        <v>40000</v>
      </c>
      <c r="I102" s="417">
        <v>1276</v>
      </c>
      <c r="J102" s="417">
        <v>0</v>
      </c>
      <c r="K102" s="417">
        <v>41276</v>
      </c>
    </row>
    <row r="103" spans="1:11">
      <c r="A103" s="413" t="s">
        <v>448</v>
      </c>
      <c r="B103" s="413" t="s">
        <v>62</v>
      </c>
      <c r="F103" s="416">
        <v>0</v>
      </c>
      <c r="G103" s="416">
        <v>0</v>
      </c>
      <c r="H103" s="417">
        <v>30034</v>
      </c>
      <c r="I103" s="417">
        <v>0</v>
      </c>
      <c r="J103" s="417">
        <v>0</v>
      </c>
      <c r="K103" s="417">
        <v>30034</v>
      </c>
    </row>
    <row r="104" spans="1:11">
      <c r="A104" s="413"/>
      <c r="B104" s="413"/>
      <c r="F104" s="416"/>
      <c r="G104" s="416"/>
      <c r="H104" s="417"/>
      <c r="I104" s="417"/>
      <c r="J104" s="417"/>
      <c r="K104" s="417"/>
    </row>
    <row r="105" spans="1:11">
      <c r="A105" s="413"/>
      <c r="B105" s="413"/>
      <c r="F105" s="416"/>
      <c r="G105" s="416"/>
      <c r="H105" s="417"/>
      <c r="I105" s="417"/>
      <c r="J105" s="417"/>
      <c r="K105" s="417"/>
    </row>
    <row r="106" spans="1:11">
      <c r="A106" s="413"/>
      <c r="B106" s="413"/>
      <c r="F106" s="416"/>
      <c r="G106" s="416"/>
      <c r="H106" s="417"/>
      <c r="I106" s="417"/>
      <c r="J106" s="417"/>
      <c r="K106" s="417"/>
    </row>
    <row r="107" spans="1:11">
      <c r="A107" s="413"/>
      <c r="B107" s="413"/>
      <c r="F107" s="416"/>
      <c r="G107" s="416"/>
      <c r="H107" s="417"/>
      <c r="I107" s="417"/>
      <c r="J107" s="417"/>
      <c r="K107" s="417"/>
    </row>
    <row r="108" spans="1:11">
      <c r="A108" s="415" t="s">
        <v>449</v>
      </c>
      <c r="B108" s="413" t="s">
        <v>154</v>
      </c>
      <c r="F108" s="416">
        <v>0</v>
      </c>
      <c r="G108" s="416">
        <v>0</v>
      </c>
      <c r="H108" s="417">
        <v>70034</v>
      </c>
      <c r="I108" s="417">
        <v>1276</v>
      </c>
      <c r="J108" s="417">
        <v>0</v>
      </c>
      <c r="K108" s="417">
        <v>71310</v>
      </c>
    </row>
    <row r="110" spans="1:11">
      <c r="A110" s="414" t="s">
        <v>156</v>
      </c>
      <c r="B110" s="414" t="s">
        <v>39</v>
      </c>
    </row>
    <row r="111" spans="1:11">
      <c r="A111" s="413" t="s">
        <v>450</v>
      </c>
      <c r="B111" s="411" t="s">
        <v>164</v>
      </c>
      <c r="F111" s="417">
        <v>13169128</v>
      </c>
    </row>
    <row r="113" spans="1:6">
      <c r="A113" s="414"/>
      <c r="B113" s="414" t="s">
        <v>15</v>
      </c>
    </row>
    <row r="114" spans="1:6">
      <c r="A114" s="413" t="s">
        <v>451</v>
      </c>
      <c r="B114" s="411" t="s">
        <v>452</v>
      </c>
      <c r="F114" s="418">
        <v>0.59</v>
      </c>
    </row>
    <row r="116" spans="1:6">
      <c r="A116" s="414" t="s">
        <v>170</v>
      </c>
      <c r="B116" s="414" t="s">
        <v>16</v>
      </c>
    </row>
    <row r="117" spans="1:6">
      <c r="A117" s="413" t="s">
        <v>453</v>
      </c>
      <c r="B117" s="411" t="s">
        <v>17</v>
      </c>
      <c r="F117" s="417">
        <v>395467034</v>
      </c>
    </row>
    <row r="118" spans="1:6">
      <c r="A118" s="413" t="s">
        <v>454</v>
      </c>
      <c r="B118" s="411" t="s">
        <v>18</v>
      </c>
      <c r="F118" s="417">
        <v>13739443</v>
      </c>
    </row>
    <row r="119" spans="1:6">
      <c r="A119" s="413" t="s">
        <v>455</v>
      </c>
      <c r="B119" s="414" t="s">
        <v>19</v>
      </c>
      <c r="F119" s="416">
        <v>409206477</v>
      </c>
    </row>
    <row r="121" spans="1:6">
      <c r="A121" s="413" t="s">
        <v>456</v>
      </c>
      <c r="B121" s="411" t="s">
        <v>282</v>
      </c>
      <c r="F121" s="417">
        <v>394669299</v>
      </c>
    </row>
    <row r="123" spans="1:6">
      <c r="A123" s="413" t="s">
        <v>457</v>
      </c>
      <c r="B123" s="411" t="s">
        <v>458</v>
      </c>
      <c r="F123" s="417">
        <v>14537178</v>
      </c>
    </row>
    <row r="125" spans="1:6">
      <c r="A125" s="413" t="s">
        <v>459</v>
      </c>
      <c r="B125" s="411" t="s">
        <v>460</v>
      </c>
      <c r="F125" s="417">
        <v>5852484</v>
      </c>
    </row>
    <row r="127" spans="1:6">
      <c r="A127" s="413" t="s">
        <v>461</v>
      </c>
      <c r="B127" s="411" t="s">
        <v>462</v>
      </c>
      <c r="F127" s="417">
        <v>20389661</v>
      </c>
    </row>
    <row r="130" spans="1:11">
      <c r="A130" s="415" t="s">
        <v>157</v>
      </c>
      <c r="B130" s="414" t="s">
        <v>23</v>
      </c>
    </row>
    <row r="131" spans="1:11">
      <c r="A131" s="413" t="s">
        <v>463</v>
      </c>
      <c r="B131" s="413" t="s">
        <v>24</v>
      </c>
      <c r="F131" s="416">
        <v>0</v>
      </c>
      <c r="G131" s="416">
        <v>0</v>
      </c>
      <c r="H131" s="417">
        <v>0</v>
      </c>
      <c r="I131" s="417">
        <v>0</v>
      </c>
      <c r="J131" s="417">
        <v>0</v>
      </c>
      <c r="K131" s="417">
        <v>0</v>
      </c>
    </row>
    <row r="132" spans="1:11">
      <c r="A132" s="413" t="s">
        <v>464</v>
      </c>
      <c r="B132" s="413" t="s">
        <v>25</v>
      </c>
      <c r="F132" s="416">
        <v>0</v>
      </c>
      <c r="G132" s="416">
        <v>0</v>
      </c>
      <c r="H132" s="417">
        <v>0</v>
      </c>
      <c r="I132" s="417">
        <v>0</v>
      </c>
      <c r="J132" s="417">
        <v>0</v>
      </c>
      <c r="K132" s="417">
        <v>0</v>
      </c>
    </row>
    <row r="133" spans="1:11">
      <c r="A133" s="413"/>
      <c r="B133" s="413"/>
      <c r="F133" s="416"/>
      <c r="G133" s="416"/>
      <c r="H133" s="417"/>
      <c r="I133" s="417"/>
      <c r="J133" s="417"/>
      <c r="K133" s="417"/>
    </row>
    <row r="134" spans="1:11">
      <c r="A134" s="413"/>
      <c r="B134" s="413"/>
      <c r="F134" s="416"/>
      <c r="G134" s="416"/>
      <c r="H134" s="417"/>
      <c r="I134" s="417"/>
      <c r="J134" s="417"/>
      <c r="K134" s="417"/>
    </row>
    <row r="135" spans="1:11">
      <c r="A135" s="413"/>
      <c r="B135" s="413"/>
      <c r="F135" s="416"/>
      <c r="G135" s="416"/>
      <c r="H135" s="417"/>
      <c r="I135" s="417"/>
      <c r="J135" s="417"/>
      <c r="K135" s="417"/>
    </row>
    <row r="136" spans="1:11">
      <c r="A136" s="413"/>
      <c r="B136" s="413"/>
      <c r="F136" s="416"/>
      <c r="G136" s="416"/>
      <c r="H136" s="417"/>
      <c r="I136" s="417"/>
      <c r="J136" s="417"/>
      <c r="K136" s="417"/>
    </row>
    <row r="137" spans="1:11">
      <c r="A137" s="415" t="s">
        <v>465</v>
      </c>
      <c r="B137" s="413" t="s">
        <v>466</v>
      </c>
      <c r="F137" s="416">
        <v>0</v>
      </c>
      <c r="G137" s="416">
        <v>0</v>
      </c>
      <c r="H137" s="417">
        <v>0</v>
      </c>
      <c r="I137" s="417">
        <v>0</v>
      </c>
      <c r="J137" s="417">
        <v>0</v>
      </c>
      <c r="K137" s="417">
        <v>0</v>
      </c>
    </row>
    <row r="140" spans="1:11">
      <c r="A140" s="415" t="s">
        <v>166</v>
      </c>
      <c r="B140" s="414" t="s">
        <v>26</v>
      </c>
    </row>
    <row r="141" spans="1:11">
      <c r="A141" s="413" t="s">
        <v>420</v>
      </c>
      <c r="B141" s="413" t="s">
        <v>64</v>
      </c>
      <c r="F141" s="416">
        <v>7859</v>
      </c>
      <c r="G141" s="416">
        <v>28165</v>
      </c>
      <c r="H141" s="417">
        <v>1218927</v>
      </c>
      <c r="I141" s="417">
        <v>394341</v>
      </c>
      <c r="J141" s="417">
        <v>529334</v>
      </c>
      <c r="K141" s="417">
        <v>1083934</v>
      </c>
    </row>
    <row r="142" spans="1:11">
      <c r="A142" s="413" t="s">
        <v>425</v>
      </c>
      <c r="B142" s="413" t="s">
        <v>65</v>
      </c>
      <c r="F142" s="416">
        <v>202326.5</v>
      </c>
      <c r="G142" s="416">
        <v>766</v>
      </c>
      <c r="H142" s="417">
        <v>12708931</v>
      </c>
      <c r="I142" s="417">
        <v>6987993</v>
      </c>
      <c r="J142" s="417">
        <v>0</v>
      </c>
      <c r="K142" s="417">
        <v>19696924</v>
      </c>
    </row>
    <row r="143" spans="1:11">
      <c r="A143" s="413" t="s">
        <v>428</v>
      </c>
      <c r="B143" s="413" t="s">
        <v>66</v>
      </c>
      <c r="F143" s="416">
        <v>0</v>
      </c>
      <c r="G143" s="416">
        <v>0</v>
      </c>
      <c r="H143" s="417">
        <v>17759093</v>
      </c>
      <c r="I143" s="417">
        <v>0</v>
      </c>
      <c r="J143" s="417">
        <v>12931533</v>
      </c>
      <c r="K143" s="417">
        <v>4827560</v>
      </c>
    </row>
    <row r="144" spans="1:11">
      <c r="A144" s="413" t="s">
        <v>431</v>
      </c>
      <c r="B144" s="413" t="s">
        <v>67</v>
      </c>
      <c r="F144" s="416">
        <v>0</v>
      </c>
      <c r="G144" s="416">
        <v>0</v>
      </c>
      <c r="H144" s="417">
        <v>1035285</v>
      </c>
      <c r="I144" s="417">
        <v>610818</v>
      </c>
      <c r="J144" s="417">
        <v>0</v>
      </c>
      <c r="K144" s="417">
        <v>1646103</v>
      </c>
    </row>
    <row r="145" spans="1:11">
      <c r="A145" s="413" t="s">
        <v>437</v>
      </c>
      <c r="B145" s="413" t="s">
        <v>68</v>
      </c>
      <c r="F145" s="416">
        <v>0</v>
      </c>
      <c r="G145" s="416">
        <v>0</v>
      </c>
      <c r="H145" s="417">
        <v>39982</v>
      </c>
      <c r="I145" s="417">
        <v>1423</v>
      </c>
      <c r="J145" s="417">
        <v>0</v>
      </c>
      <c r="K145" s="417">
        <v>41405</v>
      </c>
    </row>
    <row r="146" spans="1:11">
      <c r="A146" s="413" t="s">
        <v>446</v>
      </c>
      <c r="B146" s="413" t="s">
        <v>69</v>
      </c>
      <c r="F146" s="416">
        <v>0</v>
      </c>
      <c r="G146" s="416">
        <v>0</v>
      </c>
      <c r="H146" s="417">
        <v>148348</v>
      </c>
      <c r="I146" s="417">
        <v>67363</v>
      </c>
      <c r="J146" s="417">
        <v>79754</v>
      </c>
      <c r="K146" s="417">
        <v>135957</v>
      </c>
    </row>
    <row r="147" spans="1:11">
      <c r="A147" s="413" t="s">
        <v>449</v>
      </c>
      <c r="B147" s="413" t="s">
        <v>61</v>
      </c>
      <c r="F147" s="416">
        <v>0</v>
      </c>
      <c r="G147" s="416">
        <v>0</v>
      </c>
      <c r="H147" s="417">
        <v>70034</v>
      </c>
      <c r="I147" s="417">
        <v>1276</v>
      </c>
      <c r="J147" s="417">
        <v>0</v>
      </c>
      <c r="K147" s="417">
        <v>71310</v>
      </c>
    </row>
    <row r="148" spans="1:11">
      <c r="A148" s="413" t="s">
        <v>450</v>
      </c>
      <c r="B148" s="413" t="s">
        <v>70</v>
      </c>
      <c r="F148" s="411" t="s">
        <v>73</v>
      </c>
      <c r="G148" s="411" t="s">
        <v>73</v>
      </c>
      <c r="H148" s="411" t="s">
        <v>73</v>
      </c>
      <c r="I148" s="411" t="s">
        <v>73</v>
      </c>
      <c r="J148" s="411" t="s">
        <v>73</v>
      </c>
      <c r="K148" s="417">
        <v>13169128</v>
      </c>
    </row>
    <row r="149" spans="1:11">
      <c r="A149" s="413" t="s">
        <v>465</v>
      </c>
      <c r="B149" s="413" t="s">
        <v>71</v>
      </c>
      <c r="F149" s="416">
        <v>0</v>
      </c>
      <c r="G149" s="416">
        <v>0</v>
      </c>
      <c r="H149" s="417">
        <v>0</v>
      </c>
      <c r="I149" s="417">
        <v>0</v>
      </c>
      <c r="J149" s="417">
        <v>0</v>
      </c>
      <c r="K149" s="417">
        <v>0</v>
      </c>
    </row>
    <row r="150" spans="1:11">
      <c r="A150" s="413" t="s">
        <v>408</v>
      </c>
      <c r="B150" s="413" t="s">
        <v>186</v>
      </c>
      <c r="F150" s="411" t="s">
        <v>73</v>
      </c>
      <c r="G150" s="411" t="s">
        <v>73</v>
      </c>
      <c r="H150" s="417">
        <v>10482012</v>
      </c>
      <c r="I150" s="417">
        <v>0</v>
      </c>
      <c r="J150" s="417">
        <v>8963431</v>
      </c>
      <c r="K150" s="417">
        <v>1518581</v>
      </c>
    </row>
    <row r="151" spans="1:11" s="422" customFormat="1">
      <c r="A151" s="421"/>
      <c r="B151" s="421"/>
      <c r="H151" s="419"/>
      <c r="I151" s="419"/>
      <c r="J151" s="419"/>
      <c r="K151" s="419"/>
    </row>
    <row r="152" spans="1:11">
      <c r="A152" s="415" t="s">
        <v>467</v>
      </c>
      <c r="B152" s="413" t="s">
        <v>26</v>
      </c>
      <c r="F152" s="416">
        <v>210185.5</v>
      </c>
      <c r="G152" s="416">
        <v>28931</v>
      </c>
      <c r="H152" s="417">
        <v>43462612</v>
      </c>
      <c r="I152" s="417">
        <v>8063214</v>
      </c>
      <c r="J152" s="417">
        <v>22504052</v>
      </c>
      <c r="K152" s="417">
        <v>42190902</v>
      </c>
    </row>
    <row r="154" spans="1:11">
      <c r="A154" s="413" t="s">
        <v>468</v>
      </c>
      <c r="B154" s="414" t="s">
        <v>28</v>
      </c>
      <c r="F154" s="416">
        <v>10.69</v>
      </c>
    </row>
    <row r="155" spans="1:11">
      <c r="A155" s="413" t="s">
        <v>469</v>
      </c>
      <c r="B155" s="414" t="s">
        <v>72</v>
      </c>
      <c r="F155" s="416">
        <v>206.92</v>
      </c>
    </row>
  </sheetData>
  <mergeCells count="7">
    <mergeCell ref="C11:G11"/>
    <mergeCell ref="D2:H2"/>
    <mergeCell ref="C5:G5"/>
    <mergeCell ref="C6:G6"/>
    <mergeCell ref="C7:G7"/>
    <mergeCell ref="C9:G9"/>
    <mergeCell ref="C10:G10"/>
  </mergeCells>
  <pageMargins left="0.7" right="0.7" top="0.75" bottom="0.75" header="0.3" footer="0.3"/>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127" zoomScaleNormal="100" zoomScaleSheetLayoutView="70" workbookViewId="0">
      <selection activeCell="D161" sqref="D161"/>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209</v>
      </c>
      <c r="D5" s="654"/>
      <c r="E5" s="654"/>
      <c r="F5" s="654"/>
      <c r="G5" s="655"/>
    </row>
    <row r="6" spans="1:11" ht="18" customHeight="1">
      <c r="B6" s="5" t="s">
        <v>3</v>
      </c>
      <c r="C6" s="671">
        <v>210027</v>
      </c>
      <c r="D6" s="657"/>
      <c r="E6" s="657"/>
      <c r="F6" s="657"/>
      <c r="G6" s="658"/>
    </row>
    <row r="7" spans="1:11" ht="18" customHeight="1">
      <c r="B7" s="5" t="s">
        <v>4</v>
      </c>
      <c r="C7" s="659">
        <v>2141</v>
      </c>
      <c r="D7" s="660"/>
      <c r="E7" s="660"/>
      <c r="F7" s="660"/>
      <c r="G7" s="661"/>
    </row>
    <row r="9" spans="1:11" ht="18" customHeight="1">
      <c r="B9" s="5" t="s">
        <v>1</v>
      </c>
      <c r="C9" s="670" t="s">
        <v>899</v>
      </c>
      <c r="D9" s="654"/>
      <c r="E9" s="654"/>
      <c r="F9" s="654"/>
      <c r="G9" s="655"/>
    </row>
    <row r="10" spans="1:11" ht="18" customHeight="1">
      <c r="B10" s="5" t="s">
        <v>2</v>
      </c>
      <c r="C10" s="674" t="s">
        <v>900</v>
      </c>
      <c r="D10" s="663"/>
      <c r="E10" s="663"/>
      <c r="F10" s="663"/>
      <c r="G10" s="664"/>
    </row>
    <row r="11" spans="1:11" ht="18" customHeight="1">
      <c r="B11" s="5" t="s">
        <v>32</v>
      </c>
      <c r="C11" s="670" t="s">
        <v>901</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7515939</v>
      </c>
      <c r="I18" s="50">
        <v>0</v>
      </c>
      <c r="J18" s="15">
        <v>6427067</v>
      </c>
      <c r="K18" s="16">
        <f>(H18+I18)-J18</f>
        <v>1088872</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1990</v>
      </c>
      <c r="G21" s="14">
        <v>2419</v>
      </c>
      <c r="H21" s="15">
        <v>99730</v>
      </c>
      <c r="I21" s="50">
        <v>87353.506999999998</v>
      </c>
      <c r="J21" s="15">
        <v>72</v>
      </c>
      <c r="K21" s="16">
        <f t="shared" ref="K21:K34" si="0">(H21+I21)-J21</f>
        <v>187011.50699999998</v>
      </c>
    </row>
    <row r="22" spans="1:11" ht="18" customHeight="1">
      <c r="A22" s="5" t="s">
        <v>76</v>
      </c>
      <c r="B22" t="s">
        <v>6</v>
      </c>
      <c r="F22" s="14">
        <v>164</v>
      </c>
      <c r="G22" s="14">
        <v>671</v>
      </c>
      <c r="H22" s="15">
        <v>5995</v>
      </c>
      <c r="I22" s="50">
        <v>5251.0204999999996</v>
      </c>
      <c r="J22" s="15">
        <v>0</v>
      </c>
      <c r="K22" s="16">
        <f t="shared" si="0"/>
        <v>11246.020499999999</v>
      </c>
    </row>
    <row r="23" spans="1:11" ht="18" customHeight="1">
      <c r="A23" s="5" t="s">
        <v>77</v>
      </c>
      <c r="B23" t="s">
        <v>43</v>
      </c>
      <c r="F23" s="14">
        <v>383</v>
      </c>
      <c r="G23" s="14">
        <v>15839</v>
      </c>
      <c r="H23" s="15">
        <v>22581</v>
      </c>
      <c r="I23" s="50">
        <v>19778.697899999999</v>
      </c>
      <c r="J23" s="15">
        <v>3480</v>
      </c>
      <c r="K23" s="16">
        <f t="shared" si="0"/>
        <v>38879.697899999999</v>
      </c>
    </row>
    <row r="24" spans="1:11" ht="18" customHeight="1">
      <c r="A24" s="5" t="s">
        <v>78</v>
      </c>
      <c r="B24" t="s">
        <v>44</v>
      </c>
      <c r="F24" s="14">
        <v>0</v>
      </c>
      <c r="G24" s="14">
        <v>0</v>
      </c>
      <c r="H24" s="15">
        <v>0</v>
      </c>
      <c r="I24" s="50">
        <v>0</v>
      </c>
      <c r="J24" s="15">
        <v>0</v>
      </c>
      <c r="K24" s="16">
        <f t="shared" si="0"/>
        <v>0</v>
      </c>
    </row>
    <row r="25" spans="1:11" ht="18" customHeight="1">
      <c r="A25" s="5" t="s">
        <v>79</v>
      </c>
      <c r="B25" t="s">
        <v>5</v>
      </c>
      <c r="F25" s="14">
        <v>29</v>
      </c>
      <c r="G25" s="14">
        <v>761</v>
      </c>
      <c r="H25" s="15">
        <v>943</v>
      </c>
      <c r="I25" s="50">
        <v>825.97370000000001</v>
      </c>
      <c r="J25" s="15">
        <v>0</v>
      </c>
      <c r="K25" s="16">
        <f t="shared" si="0"/>
        <v>1768.9737</v>
      </c>
    </row>
    <row r="26" spans="1:11" ht="18" customHeight="1">
      <c r="A26" s="5" t="s">
        <v>80</v>
      </c>
      <c r="B26" t="s">
        <v>45</v>
      </c>
      <c r="F26" s="14">
        <v>0</v>
      </c>
      <c r="G26" s="14">
        <v>0</v>
      </c>
      <c r="H26" s="15">
        <v>0</v>
      </c>
      <c r="I26" s="50">
        <v>0</v>
      </c>
      <c r="J26" s="15">
        <v>0</v>
      </c>
      <c r="K26" s="16">
        <f t="shared" si="0"/>
        <v>0</v>
      </c>
    </row>
    <row r="27" spans="1:11" ht="18" customHeight="1">
      <c r="A27" s="5" t="s">
        <v>81</v>
      </c>
      <c r="B27" t="s">
        <v>46</v>
      </c>
      <c r="F27" s="14">
        <v>0</v>
      </c>
      <c r="G27" s="14">
        <v>0</v>
      </c>
      <c r="H27" s="15">
        <v>0</v>
      </c>
      <c r="I27" s="50">
        <v>0</v>
      </c>
      <c r="J27" s="15">
        <v>0</v>
      </c>
      <c r="K27" s="16">
        <f t="shared" si="0"/>
        <v>0</v>
      </c>
    </row>
    <row r="28" spans="1:11" ht="18" customHeight="1">
      <c r="A28" s="5" t="s">
        <v>82</v>
      </c>
      <c r="B28" t="s">
        <v>47</v>
      </c>
      <c r="F28" s="14">
        <v>0</v>
      </c>
      <c r="G28" s="14">
        <v>0</v>
      </c>
      <c r="H28" s="15">
        <v>0</v>
      </c>
      <c r="I28" s="50">
        <v>0</v>
      </c>
      <c r="J28" s="15">
        <v>0</v>
      </c>
      <c r="K28" s="16">
        <f t="shared" si="0"/>
        <v>0</v>
      </c>
    </row>
    <row r="29" spans="1:11" ht="18" customHeight="1">
      <c r="A29" s="5" t="s">
        <v>83</v>
      </c>
      <c r="B29" t="s">
        <v>48</v>
      </c>
      <c r="F29" s="14">
        <v>10505</v>
      </c>
      <c r="G29" s="14">
        <v>5249</v>
      </c>
      <c r="H29" s="15">
        <v>317684</v>
      </c>
      <c r="I29" s="50">
        <v>278259.41560000001</v>
      </c>
      <c r="J29" s="15">
        <v>0</v>
      </c>
      <c r="K29" s="16">
        <f t="shared" si="0"/>
        <v>595943.41559999995</v>
      </c>
    </row>
    <row r="30" spans="1:11" ht="18" customHeight="1">
      <c r="A30" s="5" t="s">
        <v>84</v>
      </c>
      <c r="B30" s="636" t="s">
        <v>902</v>
      </c>
      <c r="C30" s="637"/>
      <c r="D30" s="638"/>
      <c r="F30" s="14">
        <v>0</v>
      </c>
      <c r="G30" s="14">
        <v>0</v>
      </c>
      <c r="H30" s="15">
        <v>91158.39</v>
      </c>
      <c r="I30" s="50">
        <v>79845.633801000004</v>
      </c>
      <c r="J30" s="15">
        <v>0</v>
      </c>
      <c r="K30" s="16">
        <f t="shared" si="0"/>
        <v>171004.023801</v>
      </c>
    </row>
    <row r="31" spans="1:11" ht="18" customHeight="1">
      <c r="A31" s="5" t="s">
        <v>133</v>
      </c>
      <c r="B31" s="636"/>
      <c r="C31" s="637"/>
      <c r="D31" s="638"/>
      <c r="F31" s="14"/>
      <c r="G31" s="14"/>
      <c r="H31" s="15"/>
      <c r="I31" s="50">
        <f t="shared" ref="I31:I34" si="1">H31*F$114</f>
        <v>0</v>
      </c>
      <c r="J31" s="15"/>
      <c r="K31" s="16">
        <f t="shared" si="0"/>
        <v>0</v>
      </c>
    </row>
    <row r="32" spans="1:11" ht="18" customHeight="1">
      <c r="A32" s="5" t="s">
        <v>134</v>
      </c>
      <c r="B32" s="363"/>
      <c r="C32" s="364"/>
      <c r="D32" s="365"/>
      <c r="F32" s="14"/>
      <c r="G32" s="342" t="s">
        <v>85</v>
      </c>
      <c r="H32" s="15"/>
      <c r="I32" s="50">
        <f t="shared" si="1"/>
        <v>0</v>
      </c>
      <c r="J32" s="15"/>
      <c r="K32" s="16">
        <f t="shared" si="0"/>
        <v>0</v>
      </c>
    </row>
    <row r="33" spans="1:11" ht="18" customHeight="1">
      <c r="A33" s="5" t="s">
        <v>135</v>
      </c>
      <c r="B33" s="363"/>
      <c r="C33" s="364"/>
      <c r="D33" s="365"/>
      <c r="F33" s="14"/>
      <c r="G33" s="342" t="s">
        <v>85</v>
      </c>
      <c r="H33" s="15"/>
      <c r="I33" s="50">
        <f t="shared" si="1"/>
        <v>0</v>
      </c>
      <c r="J33" s="15"/>
      <c r="K33" s="16">
        <f t="shared" si="0"/>
        <v>0</v>
      </c>
    </row>
    <row r="34" spans="1:11" ht="18" customHeight="1">
      <c r="A34" s="5" t="s">
        <v>136</v>
      </c>
      <c r="B34" s="636"/>
      <c r="C34" s="637"/>
      <c r="D34" s="638"/>
      <c r="F34" s="14"/>
      <c r="G34" s="342" t="s">
        <v>85</v>
      </c>
      <c r="H34" s="15"/>
      <c r="I34" s="50">
        <f t="shared" si="1"/>
        <v>0</v>
      </c>
      <c r="J34" s="15"/>
      <c r="K34" s="16">
        <f t="shared" si="0"/>
        <v>0</v>
      </c>
    </row>
    <row r="35" spans="1:11" ht="18" customHeight="1">
      <c r="K35" s="44"/>
    </row>
    <row r="36" spans="1:11" ht="18" customHeight="1">
      <c r="A36" s="6" t="s">
        <v>137</v>
      </c>
      <c r="B36" s="2" t="s">
        <v>138</v>
      </c>
      <c r="E36" s="2" t="s">
        <v>7</v>
      </c>
      <c r="F36" s="18">
        <f t="shared" ref="F36:K36" si="2">SUM(F21:F34)</f>
        <v>13071</v>
      </c>
      <c r="G36" s="18">
        <f t="shared" si="2"/>
        <v>24939</v>
      </c>
      <c r="H36" s="18">
        <f t="shared" si="2"/>
        <v>538091.39</v>
      </c>
      <c r="I36" s="16">
        <f t="shared" si="2"/>
        <v>471314.24850100005</v>
      </c>
      <c r="J36" s="16">
        <f t="shared" si="2"/>
        <v>3552</v>
      </c>
      <c r="K36" s="16">
        <f t="shared" si="2"/>
        <v>1005853.6385009999</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598</v>
      </c>
      <c r="G40" s="14">
        <v>2392</v>
      </c>
      <c r="H40" s="15">
        <v>79534</v>
      </c>
      <c r="I40" s="50">
        <v>0</v>
      </c>
      <c r="J40" s="15">
        <v>0</v>
      </c>
      <c r="K40" s="16">
        <f t="shared" ref="K40:K47" si="3">(H40+I40)-J40</f>
        <v>79534</v>
      </c>
    </row>
    <row r="41" spans="1:11" ht="18" customHeight="1">
      <c r="A41" s="5" t="s">
        <v>88</v>
      </c>
      <c r="B41" s="641" t="s">
        <v>50</v>
      </c>
      <c r="C41" s="649"/>
      <c r="F41" s="14">
        <v>11532</v>
      </c>
      <c r="G41" s="14">
        <v>74955</v>
      </c>
      <c r="H41" s="15">
        <v>460127</v>
      </c>
      <c r="I41" s="50">
        <v>0</v>
      </c>
      <c r="J41" s="15">
        <v>0</v>
      </c>
      <c r="K41" s="16">
        <f t="shared" si="3"/>
        <v>460127</v>
      </c>
    </row>
    <row r="42" spans="1:11" ht="18" customHeight="1">
      <c r="A42" s="5" t="s">
        <v>89</v>
      </c>
      <c r="B42" s="341" t="s">
        <v>11</v>
      </c>
      <c r="F42" s="14">
        <v>10953</v>
      </c>
      <c r="G42" s="14">
        <v>39543</v>
      </c>
      <c r="H42" s="15">
        <v>461042</v>
      </c>
      <c r="I42" s="50">
        <v>0</v>
      </c>
      <c r="J42" s="15">
        <v>0</v>
      </c>
      <c r="K42" s="16">
        <f t="shared" si="3"/>
        <v>461042</v>
      </c>
    </row>
    <row r="43" spans="1:11" ht="18" customHeight="1">
      <c r="A43" s="5" t="s">
        <v>90</v>
      </c>
      <c r="B43" s="343" t="s">
        <v>10</v>
      </c>
      <c r="C43" s="10"/>
      <c r="D43" s="10"/>
      <c r="F43" s="14">
        <v>0</v>
      </c>
      <c r="G43" s="14">
        <v>0</v>
      </c>
      <c r="H43" s="15">
        <v>0</v>
      </c>
      <c r="I43" s="50">
        <v>0</v>
      </c>
      <c r="J43" s="15">
        <v>0</v>
      </c>
      <c r="K43" s="16">
        <f t="shared" si="3"/>
        <v>0</v>
      </c>
    </row>
    <row r="44" spans="1:11" ht="18" customHeight="1">
      <c r="A44" s="5" t="s">
        <v>91</v>
      </c>
      <c r="B44" s="636" t="s">
        <v>903</v>
      </c>
      <c r="C44" s="637"/>
      <c r="D44" s="638"/>
      <c r="F44" s="54">
        <v>8</v>
      </c>
      <c r="G44" s="54">
        <v>12</v>
      </c>
      <c r="H44" s="54">
        <v>319</v>
      </c>
      <c r="I44" s="55">
        <v>0</v>
      </c>
      <c r="J44" s="54">
        <v>0</v>
      </c>
      <c r="K44" s="56">
        <f t="shared" si="3"/>
        <v>319</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23091</v>
      </c>
      <c r="G49" s="23">
        <f t="shared" si="4"/>
        <v>116902</v>
      </c>
      <c r="H49" s="16">
        <f t="shared" si="4"/>
        <v>1001022</v>
      </c>
      <c r="I49" s="16">
        <f t="shared" si="4"/>
        <v>0</v>
      </c>
      <c r="J49" s="16">
        <f t="shared" si="4"/>
        <v>0</v>
      </c>
      <c r="K49" s="16">
        <f t="shared" si="4"/>
        <v>1001022</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904</v>
      </c>
      <c r="C53" s="648"/>
      <c r="D53" s="644"/>
      <c r="F53" s="14">
        <v>29164</v>
      </c>
      <c r="G53" s="14">
        <v>17103</v>
      </c>
      <c r="H53" s="15">
        <v>2480106.86</v>
      </c>
      <c r="I53" s="482">
        <v>1260694.8177719999</v>
      </c>
      <c r="J53" s="15">
        <v>1768565.31</v>
      </c>
      <c r="K53" s="16">
        <f t="shared" ref="K53:K62" si="5">(H53+I53)-J53</f>
        <v>1972236.3677719994</v>
      </c>
    </row>
    <row r="54" spans="1:11" ht="18" customHeight="1">
      <c r="A54" s="5" t="s">
        <v>93</v>
      </c>
      <c r="B54" s="360" t="s">
        <v>385</v>
      </c>
      <c r="C54" s="361"/>
      <c r="D54" s="362"/>
      <c r="F54" s="14">
        <v>31218</v>
      </c>
      <c r="G54" s="14">
        <v>11258</v>
      </c>
      <c r="H54" s="15">
        <v>1890812.05</v>
      </c>
      <c r="I54" s="482">
        <v>1187734.616016</v>
      </c>
      <c r="J54" s="15">
        <v>1655868.93</v>
      </c>
      <c r="K54" s="16">
        <f t="shared" si="5"/>
        <v>1422677.7360160004</v>
      </c>
    </row>
    <row r="55" spans="1:11" ht="18" customHeight="1">
      <c r="A55" s="5" t="s">
        <v>94</v>
      </c>
      <c r="B55" s="642" t="s">
        <v>725</v>
      </c>
      <c r="C55" s="643"/>
      <c r="D55" s="644"/>
      <c r="F55" s="14">
        <v>7604</v>
      </c>
      <c r="G55" s="14">
        <v>4942</v>
      </c>
      <c r="H55" s="15">
        <v>2683317.61</v>
      </c>
      <c r="I55" s="482">
        <v>956802.68743899977</v>
      </c>
      <c r="J55" s="15">
        <v>14626.61</v>
      </c>
      <c r="K55" s="16">
        <f t="shared" si="5"/>
        <v>3625493.6874389998</v>
      </c>
    </row>
    <row r="56" spans="1:11" ht="18" customHeight="1">
      <c r="A56" s="5" t="s">
        <v>95</v>
      </c>
      <c r="B56" s="642" t="s">
        <v>905</v>
      </c>
      <c r="C56" s="643"/>
      <c r="D56" s="644"/>
      <c r="F56" s="14">
        <v>13121</v>
      </c>
      <c r="G56" s="14">
        <v>9693</v>
      </c>
      <c r="H56" s="15">
        <v>1459790.21</v>
      </c>
      <c r="I56" s="482">
        <v>1001044.230018</v>
      </c>
      <c r="J56" s="15">
        <v>1449662.44</v>
      </c>
      <c r="K56" s="16">
        <f t="shared" si="5"/>
        <v>1011172.0000180001</v>
      </c>
    </row>
    <row r="57" spans="1:11" ht="18" customHeight="1">
      <c r="A57" s="5" t="s">
        <v>96</v>
      </c>
      <c r="B57" s="642" t="s">
        <v>906</v>
      </c>
      <c r="C57" s="643"/>
      <c r="D57" s="644"/>
      <c r="F57" s="14">
        <v>20197</v>
      </c>
      <c r="G57" s="14">
        <v>11175</v>
      </c>
      <c r="H57" s="15">
        <v>2304280.98</v>
      </c>
      <c r="I57" s="482">
        <v>1336268.7480900001</v>
      </c>
      <c r="J57" s="15">
        <v>2363127.96</v>
      </c>
      <c r="K57" s="16">
        <f t="shared" si="5"/>
        <v>1277421.7680900004</v>
      </c>
    </row>
    <row r="58" spans="1:11" ht="18" customHeight="1">
      <c r="A58" s="5" t="s">
        <v>97</v>
      </c>
      <c r="B58" s="360" t="s">
        <v>907</v>
      </c>
      <c r="C58" s="361"/>
      <c r="D58" s="362"/>
      <c r="F58" s="14">
        <v>40065</v>
      </c>
      <c r="G58" s="14">
        <v>17650</v>
      </c>
      <c r="H58" s="15">
        <v>3231649.61</v>
      </c>
      <c r="I58" s="482">
        <v>1631989.4870759996</v>
      </c>
      <c r="J58" s="15">
        <v>2347964.25</v>
      </c>
      <c r="K58" s="16">
        <f t="shared" si="5"/>
        <v>2515674.8470759997</v>
      </c>
    </row>
    <row r="59" spans="1:11" ht="18" customHeight="1">
      <c r="A59" s="5" t="s">
        <v>98</v>
      </c>
      <c r="B59" s="642" t="s">
        <v>908</v>
      </c>
      <c r="C59" s="643"/>
      <c r="D59" s="644"/>
      <c r="F59" s="14">
        <v>48177</v>
      </c>
      <c r="G59" s="14">
        <v>15762</v>
      </c>
      <c r="H59" s="15">
        <v>9513553.0199999996</v>
      </c>
      <c r="I59" s="482">
        <v>2846787.9648229997</v>
      </c>
      <c r="J59" s="15">
        <v>8836218.0500000007</v>
      </c>
      <c r="K59" s="16">
        <f t="shared" si="5"/>
        <v>3524122.9348229989</v>
      </c>
    </row>
    <row r="60" spans="1:11" ht="18" customHeight="1">
      <c r="A60" s="5" t="s">
        <v>99</v>
      </c>
      <c r="B60" s="360" t="s">
        <v>909</v>
      </c>
      <c r="C60" s="361"/>
      <c r="D60" s="362"/>
      <c r="F60" s="14">
        <v>1354</v>
      </c>
      <c r="G60" s="14">
        <v>1958</v>
      </c>
      <c r="H60" s="15">
        <v>94665.26</v>
      </c>
      <c r="I60" s="482">
        <v>59244.649739999993</v>
      </c>
      <c r="J60" s="15">
        <v>74345.279999999999</v>
      </c>
      <c r="K60" s="16">
        <f t="shared" si="5"/>
        <v>79564.629739999975</v>
      </c>
    </row>
    <row r="61" spans="1:11" ht="18" customHeight="1">
      <c r="A61" s="5" t="s">
        <v>100</v>
      </c>
      <c r="B61" s="360" t="s">
        <v>910</v>
      </c>
      <c r="C61" s="361"/>
      <c r="D61" s="362"/>
      <c r="F61" s="14">
        <v>8019</v>
      </c>
      <c r="G61" s="14">
        <v>2994</v>
      </c>
      <c r="H61" s="15">
        <v>362070.97</v>
      </c>
      <c r="I61" s="482">
        <v>306777.65976099996</v>
      </c>
      <c r="J61" s="15">
        <v>24416.44</v>
      </c>
      <c r="K61" s="16">
        <f t="shared" si="5"/>
        <v>644432.18976099999</v>
      </c>
    </row>
    <row r="62" spans="1:11" ht="18" customHeight="1">
      <c r="A62" s="5" t="s">
        <v>101</v>
      </c>
      <c r="B62" s="642" t="s">
        <v>911</v>
      </c>
      <c r="C62" s="643"/>
      <c r="D62" s="644"/>
      <c r="F62" s="14">
        <v>12706</v>
      </c>
      <c r="G62" s="14">
        <v>106</v>
      </c>
      <c r="H62" s="15">
        <v>465659.45</v>
      </c>
      <c r="I62" s="482">
        <v>407871.11225500004</v>
      </c>
      <c r="J62" s="15">
        <v>0</v>
      </c>
      <c r="K62" s="16">
        <f t="shared" si="5"/>
        <v>873530.562255</v>
      </c>
    </row>
    <row r="63" spans="1:11" ht="18" customHeight="1">
      <c r="A63" s="5"/>
      <c r="I63" s="46"/>
    </row>
    <row r="64" spans="1:11" ht="18" customHeight="1">
      <c r="A64" s="5" t="s">
        <v>144</v>
      </c>
      <c r="B64" s="2" t="s">
        <v>145</v>
      </c>
      <c r="E64" s="2" t="s">
        <v>7</v>
      </c>
      <c r="F64" s="18">
        <f t="shared" ref="F64:K64" si="6">SUM(F53:F62)</f>
        <v>211625</v>
      </c>
      <c r="G64" s="18">
        <f t="shared" si="6"/>
        <v>92641</v>
      </c>
      <c r="H64" s="16">
        <f t="shared" si="6"/>
        <v>24485906.02</v>
      </c>
      <c r="I64" s="16">
        <f t="shared" si="6"/>
        <v>10995215.972989997</v>
      </c>
      <c r="J64" s="16">
        <f t="shared" si="6"/>
        <v>18534795.270000003</v>
      </c>
      <c r="K64" s="16">
        <f t="shared" si="6"/>
        <v>16946326.722989999</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v>0</v>
      </c>
      <c r="G68" s="51">
        <v>0</v>
      </c>
      <c r="H68" s="51">
        <v>0</v>
      </c>
      <c r="I68" s="50">
        <v>0</v>
      </c>
      <c r="J68" s="51">
        <v>0</v>
      </c>
      <c r="K68" s="16">
        <f>(H68+I68)-J68</f>
        <v>0</v>
      </c>
    </row>
    <row r="69" spans="1:11" ht="18" customHeight="1">
      <c r="A69" s="5" t="s">
        <v>104</v>
      </c>
      <c r="B69" s="341" t="s">
        <v>53</v>
      </c>
      <c r="F69" s="51">
        <v>0</v>
      </c>
      <c r="G69" s="51">
        <v>0</v>
      </c>
      <c r="H69" s="51">
        <v>0</v>
      </c>
      <c r="I69" s="50">
        <v>0</v>
      </c>
      <c r="J69" s="51">
        <v>0</v>
      </c>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0</v>
      </c>
      <c r="I74" s="53">
        <f t="shared" si="7"/>
        <v>0</v>
      </c>
      <c r="J74" s="21">
        <f t="shared" si="7"/>
        <v>0</v>
      </c>
      <c r="K74" s="17">
        <f t="shared" si="7"/>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v>0</v>
      </c>
      <c r="G77" s="14">
        <v>0</v>
      </c>
      <c r="H77" s="15">
        <v>560195</v>
      </c>
      <c r="I77" s="50">
        <v>0</v>
      </c>
      <c r="J77" s="15">
        <v>0</v>
      </c>
      <c r="K77" s="16">
        <f>(H77+I77)-J77</f>
        <v>560195</v>
      </c>
    </row>
    <row r="78" spans="1:11" ht="18" customHeight="1">
      <c r="A78" s="5" t="s">
        <v>108</v>
      </c>
      <c r="B78" s="341" t="s">
        <v>55</v>
      </c>
      <c r="F78" s="14">
        <v>0</v>
      </c>
      <c r="G78" s="14">
        <v>0</v>
      </c>
      <c r="H78" s="15">
        <v>0</v>
      </c>
      <c r="I78" s="50">
        <v>0</v>
      </c>
      <c r="J78" s="15">
        <v>0</v>
      </c>
      <c r="K78" s="16">
        <f>(H78+I78)-J78</f>
        <v>0</v>
      </c>
    </row>
    <row r="79" spans="1:11" ht="18" customHeight="1">
      <c r="A79" s="5" t="s">
        <v>109</v>
      </c>
      <c r="B79" s="341" t="s">
        <v>13</v>
      </c>
      <c r="F79" s="14">
        <v>1160</v>
      </c>
      <c r="G79" s="14">
        <v>477</v>
      </c>
      <c r="H79" s="15">
        <v>213556</v>
      </c>
      <c r="I79" s="50">
        <v>0</v>
      </c>
      <c r="J79" s="15">
        <v>11000</v>
      </c>
      <c r="K79" s="16">
        <f>(H79+I79)-J79</f>
        <v>202556</v>
      </c>
    </row>
    <row r="80" spans="1:11" ht="18" customHeight="1">
      <c r="A80" s="5" t="s">
        <v>110</v>
      </c>
      <c r="B80" s="341" t="s">
        <v>56</v>
      </c>
      <c r="F80" s="14">
        <v>0</v>
      </c>
      <c r="G80" s="14">
        <v>0</v>
      </c>
      <c r="H80" s="15">
        <v>0</v>
      </c>
      <c r="I80" s="50">
        <v>0</v>
      </c>
      <c r="J80" s="15">
        <v>0</v>
      </c>
      <c r="K80" s="16">
        <f>(H80+I80)-J80</f>
        <v>0</v>
      </c>
    </row>
    <row r="81" spans="1:11" ht="18" customHeight="1">
      <c r="A81" s="5"/>
      <c r="K81" s="40"/>
    </row>
    <row r="82" spans="1:11" ht="18" customHeight="1">
      <c r="A82" s="5" t="s">
        <v>148</v>
      </c>
      <c r="B82" s="2" t="s">
        <v>149</v>
      </c>
      <c r="E82" s="2" t="s">
        <v>7</v>
      </c>
      <c r="F82" s="21">
        <f t="shared" ref="F82:K82" si="8">SUM(F77:F80)</f>
        <v>1160</v>
      </c>
      <c r="G82" s="21">
        <f t="shared" si="8"/>
        <v>477</v>
      </c>
      <c r="H82" s="17">
        <f t="shared" si="8"/>
        <v>773751</v>
      </c>
      <c r="I82" s="17">
        <f t="shared" si="8"/>
        <v>0</v>
      </c>
      <c r="J82" s="17">
        <f t="shared" si="8"/>
        <v>11000</v>
      </c>
      <c r="K82" s="17">
        <f t="shared" si="8"/>
        <v>762751</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v>0</v>
      </c>
      <c r="G86" s="14">
        <v>0</v>
      </c>
      <c r="H86" s="15">
        <v>0</v>
      </c>
      <c r="I86" s="50">
        <v>0</v>
      </c>
      <c r="J86" s="15">
        <v>0</v>
      </c>
      <c r="K86" s="16">
        <f t="shared" ref="K86:K96" si="9">(H86+I86)-J86</f>
        <v>0</v>
      </c>
    </row>
    <row r="87" spans="1:11" ht="18" customHeight="1">
      <c r="A87" s="5" t="s">
        <v>114</v>
      </c>
      <c r="B87" s="341" t="s">
        <v>14</v>
      </c>
      <c r="F87" s="14">
        <v>0</v>
      </c>
      <c r="G87" s="14">
        <v>0</v>
      </c>
      <c r="H87" s="15">
        <v>0</v>
      </c>
      <c r="I87" s="50">
        <v>0</v>
      </c>
      <c r="J87" s="15">
        <v>0</v>
      </c>
      <c r="K87" s="16">
        <f t="shared" si="9"/>
        <v>0</v>
      </c>
    </row>
    <row r="88" spans="1:11" ht="18" customHeight="1">
      <c r="A88" s="5" t="s">
        <v>115</v>
      </c>
      <c r="B88" s="341" t="s">
        <v>116</v>
      </c>
      <c r="F88" s="14">
        <v>425</v>
      </c>
      <c r="G88" s="14">
        <v>224</v>
      </c>
      <c r="H88" s="15">
        <v>89699</v>
      </c>
      <c r="I88" s="50">
        <v>78567.354099999997</v>
      </c>
      <c r="J88" s="15">
        <v>0</v>
      </c>
      <c r="K88" s="16">
        <f t="shared" si="9"/>
        <v>168266.3541</v>
      </c>
    </row>
    <row r="89" spans="1:11" ht="18" customHeight="1">
      <c r="A89" s="5" t="s">
        <v>117</v>
      </c>
      <c r="B89" s="341" t="s">
        <v>58</v>
      </c>
      <c r="F89" s="14">
        <v>0</v>
      </c>
      <c r="G89" s="14">
        <v>0</v>
      </c>
      <c r="H89" s="15">
        <v>0</v>
      </c>
      <c r="I89" s="50">
        <v>0</v>
      </c>
      <c r="J89" s="15">
        <v>0</v>
      </c>
      <c r="K89" s="16">
        <f t="shared" si="9"/>
        <v>0</v>
      </c>
    </row>
    <row r="90" spans="1:11" ht="18" customHeight="1">
      <c r="A90" s="5" t="s">
        <v>118</v>
      </c>
      <c r="B90" s="641" t="s">
        <v>59</v>
      </c>
      <c r="C90" s="649"/>
      <c r="F90" s="14">
        <v>0</v>
      </c>
      <c r="G90" s="14">
        <v>0</v>
      </c>
      <c r="H90" s="15">
        <v>0</v>
      </c>
      <c r="I90" s="50">
        <v>0</v>
      </c>
      <c r="J90" s="15">
        <v>0</v>
      </c>
      <c r="K90" s="16">
        <f t="shared" si="9"/>
        <v>0</v>
      </c>
    </row>
    <row r="91" spans="1:11" ht="18" customHeight="1">
      <c r="A91" s="5" t="s">
        <v>119</v>
      </c>
      <c r="B91" s="341" t="s">
        <v>60</v>
      </c>
      <c r="F91" s="14">
        <v>1589</v>
      </c>
      <c r="G91" s="14">
        <v>0</v>
      </c>
      <c r="H91" s="15">
        <v>66640</v>
      </c>
      <c r="I91" s="50">
        <v>58369.976000000002</v>
      </c>
      <c r="J91" s="15">
        <v>0</v>
      </c>
      <c r="K91" s="16">
        <f t="shared" si="9"/>
        <v>125009.976</v>
      </c>
    </row>
    <row r="92" spans="1:11" ht="18" customHeight="1">
      <c r="A92" s="5" t="s">
        <v>120</v>
      </c>
      <c r="B92" s="341" t="s">
        <v>121</v>
      </c>
      <c r="F92" s="38">
        <v>0</v>
      </c>
      <c r="G92" s="38">
        <v>0</v>
      </c>
      <c r="H92" s="39">
        <v>0</v>
      </c>
      <c r="I92" s="50">
        <v>0</v>
      </c>
      <c r="J92" s="39">
        <v>0</v>
      </c>
      <c r="K92" s="16">
        <f t="shared" si="9"/>
        <v>0</v>
      </c>
    </row>
    <row r="93" spans="1:11" ht="18" customHeight="1">
      <c r="A93" s="5" t="s">
        <v>122</v>
      </c>
      <c r="B93" s="341" t="s">
        <v>123</v>
      </c>
      <c r="F93" s="14">
        <v>2104</v>
      </c>
      <c r="G93" s="14">
        <v>0</v>
      </c>
      <c r="H93" s="15">
        <v>523176.29</v>
      </c>
      <c r="I93" s="50">
        <v>458250.11241100001</v>
      </c>
      <c r="J93" s="15">
        <v>0</v>
      </c>
      <c r="K93" s="16">
        <f t="shared" si="9"/>
        <v>981426.40241099999</v>
      </c>
    </row>
    <row r="94" spans="1:11" ht="18" customHeight="1">
      <c r="A94" s="5" t="s">
        <v>124</v>
      </c>
      <c r="B94" s="642"/>
      <c r="C94" s="643"/>
      <c r="D94" s="644"/>
      <c r="F94" s="14"/>
      <c r="G94" s="14"/>
      <c r="H94" s="15"/>
      <c r="I94" s="50">
        <f t="shared" ref="I94:I96" si="10">H94*F$114</f>
        <v>0</v>
      </c>
      <c r="J94" s="15"/>
      <c r="K94" s="16">
        <f t="shared" si="9"/>
        <v>0</v>
      </c>
    </row>
    <row r="95" spans="1:11" ht="18" customHeight="1">
      <c r="A95" s="5" t="s">
        <v>125</v>
      </c>
      <c r="B95" s="642"/>
      <c r="C95" s="643"/>
      <c r="D95" s="644"/>
      <c r="F95" s="14"/>
      <c r="G95" s="14"/>
      <c r="H95" s="15"/>
      <c r="I95" s="50">
        <f t="shared" si="10"/>
        <v>0</v>
      </c>
      <c r="J95" s="15"/>
      <c r="K95" s="16">
        <f t="shared" si="9"/>
        <v>0</v>
      </c>
    </row>
    <row r="96" spans="1:11" ht="18" customHeight="1">
      <c r="A96" s="5" t="s">
        <v>126</v>
      </c>
      <c r="B96" s="642"/>
      <c r="C96" s="643"/>
      <c r="D96" s="644"/>
      <c r="F96" s="14"/>
      <c r="G96" s="14"/>
      <c r="H96" s="15"/>
      <c r="I96" s="50">
        <f t="shared" si="10"/>
        <v>0</v>
      </c>
      <c r="J96" s="15"/>
      <c r="K96" s="16">
        <f t="shared" si="9"/>
        <v>0</v>
      </c>
    </row>
    <row r="97" spans="1:11" ht="18" customHeight="1">
      <c r="A97" s="5"/>
      <c r="B97" s="341"/>
    </row>
    <row r="98" spans="1:11" ht="18" customHeight="1">
      <c r="A98" s="6" t="s">
        <v>150</v>
      </c>
      <c r="B98" s="2" t="s">
        <v>151</v>
      </c>
      <c r="E98" s="2" t="s">
        <v>7</v>
      </c>
      <c r="F98" s="18">
        <f t="shared" ref="F98:K98" si="11">SUM(F86:F96)</f>
        <v>4118</v>
      </c>
      <c r="G98" s="18">
        <f t="shared" si="11"/>
        <v>224</v>
      </c>
      <c r="H98" s="18">
        <f t="shared" si="11"/>
        <v>679515.29</v>
      </c>
      <c r="I98" s="18">
        <f t="shared" si="11"/>
        <v>595187.44251099997</v>
      </c>
      <c r="J98" s="18">
        <f t="shared" si="11"/>
        <v>0</v>
      </c>
      <c r="K98" s="18">
        <f t="shared" si="11"/>
        <v>1274702.732511</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192</v>
      </c>
      <c r="G102" s="14">
        <v>0</v>
      </c>
      <c r="H102" s="15">
        <v>9595</v>
      </c>
      <c r="I102" s="50">
        <v>8404.2605000000003</v>
      </c>
      <c r="J102" s="15">
        <v>0</v>
      </c>
      <c r="K102" s="16">
        <f>(H102+I102)-J102</f>
        <v>17999.2605</v>
      </c>
    </row>
    <row r="103" spans="1:11" ht="18" customHeight="1">
      <c r="A103" s="5" t="s">
        <v>132</v>
      </c>
      <c r="B103" s="641" t="s">
        <v>62</v>
      </c>
      <c r="C103" s="641"/>
      <c r="F103" s="14">
        <v>132</v>
      </c>
      <c r="G103" s="14">
        <v>0</v>
      </c>
      <c r="H103" s="15">
        <v>5419</v>
      </c>
      <c r="I103" s="50">
        <v>4746.5020999999997</v>
      </c>
      <c r="J103" s="15">
        <v>0</v>
      </c>
      <c r="K103" s="16">
        <f>(H103+I103)-J103</f>
        <v>10165.5021</v>
      </c>
    </row>
    <row r="104" spans="1:11" ht="18" customHeight="1">
      <c r="A104" s="5" t="s">
        <v>128</v>
      </c>
      <c r="B104" s="642" t="s">
        <v>912</v>
      </c>
      <c r="C104" s="643"/>
      <c r="D104" s="644"/>
      <c r="F104" s="14">
        <v>0</v>
      </c>
      <c r="G104" s="14">
        <v>0</v>
      </c>
      <c r="H104" s="15">
        <v>1160</v>
      </c>
      <c r="I104" s="50">
        <v>1016.044</v>
      </c>
      <c r="J104" s="15">
        <v>0</v>
      </c>
      <c r="K104" s="16">
        <f>(H104+I104)-J104</f>
        <v>2176.0439999999999</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324</v>
      </c>
      <c r="G108" s="18">
        <f t="shared" si="12"/>
        <v>0</v>
      </c>
      <c r="H108" s="16">
        <f t="shared" si="12"/>
        <v>16174</v>
      </c>
      <c r="I108" s="16">
        <f t="shared" si="12"/>
        <v>14166.8066</v>
      </c>
      <c r="J108" s="16">
        <f t="shared" si="12"/>
        <v>0</v>
      </c>
      <c r="K108" s="16">
        <f t="shared" si="12"/>
        <v>30340.806600000004</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14413981</v>
      </c>
    </row>
    <row r="112" spans="1:11" ht="18" customHeight="1">
      <c r="B112" s="2"/>
      <c r="E112" s="2"/>
      <c r="F112" s="22"/>
    </row>
    <row r="113" spans="1:6" ht="18" customHeight="1">
      <c r="A113" s="6"/>
      <c r="B113" s="2" t="s">
        <v>15</v>
      </c>
    </row>
    <row r="114" spans="1:6" ht="18" customHeight="1">
      <c r="A114" s="5" t="s">
        <v>171</v>
      </c>
      <c r="B114" s="341" t="s">
        <v>35</v>
      </c>
      <c r="F114" s="25">
        <v>0.87590000000000001</v>
      </c>
    </row>
    <row r="115" spans="1:6" ht="18" customHeight="1">
      <c r="A115" s="5"/>
      <c r="B115" s="2"/>
    </row>
    <row r="116" spans="1:6" ht="18" customHeight="1">
      <c r="A116" s="5" t="s">
        <v>170</v>
      </c>
      <c r="B116" s="2" t="s">
        <v>16</v>
      </c>
    </row>
    <row r="117" spans="1:6" ht="18" customHeight="1">
      <c r="A117" s="5" t="s">
        <v>172</v>
      </c>
      <c r="B117" s="341" t="s">
        <v>17</v>
      </c>
      <c r="F117" s="15">
        <v>293354930</v>
      </c>
    </row>
    <row r="118" spans="1:6" ht="18" customHeight="1">
      <c r="A118" s="5" t="s">
        <v>173</v>
      </c>
      <c r="B118" t="s">
        <v>18</v>
      </c>
      <c r="F118" s="15">
        <v>8700875</v>
      </c>
    </row>
    <row r="119" spans="1:6" ht="18" customHeight="1">
      <c r="A119" s="5" t="s">
        <v>174</v>
      </c>
      <c r="B119" s="2" t="s">
        <v>19</v>
      </c>
      <c r="F119" s="17">
        <f>SUM(F117:F118)</f>
        <v>302055805</v>
      </c>
    </row>
    <row r="120" spans="1:6" ht="18" customHeight="1">
      <c r="A120" s="5"/>
      <c r="B120" s="2"/>
    </row>
    <row r="121" spans="1:6" ht="18" customHeight="1">
      <c r="A121" s="5" t="s">
        <v>167</v>
      </c>
      <c r="B121" s="2" t="s">
        <v>36</v>
      </c>
      <c r="F121" s="15">
        <v>282308921</v>
      </c>
    </row>
    <row r="122" spans="1:6" ht="18" customHeight="1">
      <c r="A122" s="5"/>
    </row>
    <row r="123" spans="1:6" ht="18" customHeight="1">
      <c r="A123" s="5" t="s">
        <v>175</v>
      </c>
      <c r="B123" s="2" t="s">
        <v>20</v>
      </c>
      <c r="F123" s="15">
        <v>19746884</v>
      </c>
    </row>
    <row r="124" spans="1:6" ht="18" customHeight="1">
      <c r="A124" s="5"/>
    </row>
    <row r="125" spans="1:6" ht="18" customHeight="1">
      <c r="A125" s="5" t="s">
        <v>176</v>
      </c>
      <c r="B125" s="2" t="s">
        <v>21</v>
      </c>
      <c r="F125" s="15">
        <v>5514832</v>
      </c>
    </row>
    <row r="126" spans="1:6" ht="18" customHeight="1">
      <c r="A126" s="5"/>
    </row>
    <row r="127" spans="1:6" ht="18" customHeight="1">
      <c r="A127" s="5" t="s">
        <v>177</v>
      </c>
      <c r="B127" s="2" t="s">
        <v>22</v>
      </c>
      <c r="F127" s="15">
        <v>25261716</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13071</v>
      </c>
      <c r="G141" s="41">
        <f t="shared" si="14"/>
        <v>24939</v>
      </c>
      <c r="H141" s="41">
        <f t="shared" si="14"/>
        <v>538091.39</v>
      </c>
      <c r="I141" s="41">
        <f t="shared" si="14"/>
        <v>471314.24850100005</v>
      </c>
      <c r="J141" s="41">
        <f t="shared" si="14"/>
        <v>3552</v>
      </c>
      <c r="K141" s="41">
        <f t="shared" si="14"/>
        <v>1005853.6385009999</v>
      </c>
    </row>
    <row r="142" spans="1:11" ht="18" customHeight="1">
      <c r="A142" s="5" t="s">
        <v>142</v>
      </c>
      <c r="B142" s="2" t="s">
        <v>65</v>
      </c>
      <c r="F142" s="41">
        <f t="shared" ref="F142:K142" si="15">F49</f>
        <v>23091</v>
      </c>
      <c r="G142" s="41">
        <f t="shared" si="15"/>
        <v>116902</v>
      </c>
      <c r="H142" s="41">
        <f t="shared" si="15"/>
        <v>1001022</v>
      </c>
      <c r="I142" s="41">
        <f t="shared" si="15"/>
        <v>0</v>
      </c>
      <c r="J142" s="41">
        <f t="shared" si="15"/>
        <v>0</v>
      </c>
      <c r="K142" s="41">
        <f t="shared" si="15"/>
        <v>1001022</v>
      </c>
    </row>
    <row r="143" spans="1:11" ht="18" customHeight="1">
      <c r="A143" s="5" t="s">
        <v>144</v>
      </c>
      <c r="B143" s="2" t="s">
        <v>66</v>
      </c>
      <c r="F143" s="41">
        <f t="shared" ref="F143:K143" si="16">F64</f>
        <v>211625</v>
      </c>
      <c r="G143" s="41">
        <f t="shared" si="16"/>
        <v>92641</v>
      </c>
      <c r="H143" s="41">
        <f t="shared" si="16"/>
        <v>24485906.02</v>
      </c>
      <c r="I143" s="41">
        <f t="shared" si="16"/>
        <v>10995215.972989997</v>
      </c>
      <c r="J143" s="41">
        <f t="shared" si="16"/>
        <v>18534795.270000003</v>
      </c>
      <c r="K143" s="41">
        <f t="shared" si="16"/>
        <v>16946326.722989999</v>
      </c>
    </row>
    <row r="144" spans="1:11" ht="18" customHeight="1">
      <c r="A144" s="5" t="s">
        <v>146</v>
      </c>
      <c r="B144" s="2" t="s">
        <v>67</v>
      </c>
      <c r="F144" s="41">
        <f t="shared" ref="F144:K144" si="17">F74</f>
        <v>0</v>
      </c>
      <c r="G144" s="41">
        <f t="shared" si="17"/>
        <v>0</v>
      </c>
      <c r="H144" s="41">
        <f t="shared" si="17"/>
        <v>0</v>
      </c>
      <c r="I144" s="41">
        <f t="shared" si="17"/>
        <v>0</v>
      </c>
      <c r="J144" s="41">
        <f t="shared" si="17"/>
        <v>0</v>
      </c>
      <c r="K144" s="41">
        <f t="shared" si="17"/>
        <v>0</v>
      </c>
    </row>
    <row r="145" spans="1:11" ht="18" customHeight="1">
      <c r="A145" s="5" t="s">
        <v>148</v>
      </c>
      <c r="B145" s="2" t="s">
        <v>68</v>
      </c>
      <c r="F145" s="41">
        <f t="shared" ref="F145:K145" si="18">F82</f>
        <v>1160</v>
      </c>
      <c r="G145" s="41">
        <f t="shared" si="18"/>
        <v>477</v>
      </c>
      <c r="H145" s="41">
        <f t="shared" si="18"/>
        <v>773751</v>
      </c>
      <c r="I145" s="41">
        <f t="shared" si="18"/>
        <v>0</v>
      </c>
      <c r="J145" s="41">
        <f t="shared" si="18"/>
        <v>11000</v>
      </c>
      <c r="K145" s="41">
        <f t="shared" si="18"/>
        <v>762751</v>
      </c>
    </row>
    <row r="146" spans="1:11" ht="18" customHeight="1">
      <c r="A146" s="5" t="s">
        <v>150</v>
      </c>
      <c r="B146" s="2" t="s">
        <v>69</v>
      </c>
      <c r="F146" s="41">
        <f t="shared" ref="F146:K146" si="19">F98</f>
        <v>4118</v>
      </c>
      <c r="G146" s="41">
        <f t="shared" si="19"/>
        <v>224</v>
      </c>
      <c r="H146" s="41">
        <f t="shared" si="19"/>
        <v>679515.29</v>
      </c>
      <c r="I146" s="41">
        <f t="shared" si="19"/>
        <v>595187.44251099997</v>
      </c>
      <c r="J146" s="41">
        <f t="shared" si="19"/>
        <v>0</v>
      </c>
      <c r="K146" s="41">
        <f t="shared" si="19"/>
        <v>1274702.732511</v>
      </c>
    </row>
    <row r="147" spans="1:11" ht="18" customHeight="1">
      <c r="A147" s="5" t="s">
        <v>153</v>
      </c>
      <c r="B147" s="2" t="s">
        <v>61</v>
      </c>
      <c r="F147" s="18">
        <f t="shared" ref="F147:K147" si="20">F108</f>
        <v>324</v>
      </c>
      <c r="G147" s="18">
        <f t="shared" si="20"/>
        <v>0</v>
      </c>
      <c r="H147" s="18">
        <f t="shared" si="20"/>
        <v>16174</v>
      </c>
      <c r="I147" s="18">
        <f t="shared" si="20"/>
        <v>14166.8066</v>
      </c>
      <c r="J147" s="18">
        <f t="shared" si="20"/>
        <v>0</v>
      </c>
      <c r="K147" s="18">
        <f t="shared" si="20"/>
        <v>30340.806600000004</v>
      </c>
    </row>
    <row r="148" spans="1:11" ht="18" customHeight="1">
      <c r="A148" s="5" t="s">
        <v>155</v>
      </c>
      <c r="B148" s="2" t="s">
        <v>70</v>
      </c>
      <c r="F148" s="42" t="s">
        <v>73</v>
      </c>
      <c r="G148" s="42" t="s">
        <v>73</v>
      </c>
      <c r="H148" s="43" t="s">
        <v>73</v>
      </c>
      <c r="I148" s="43" t="s">
        <v>73</v>
      </c>
      <c r="J148" s="43" t="s">
        <v>73</v>
      </c>
      <c r="K148" s="37">
        <f>F111</f>
        <v>14413981</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7515939</v>
      </c>
      <c r="I150" s="18">
        <f>I18</f>
        <v>0</v>
      </c>
      <c r="J150" s="18">
        <f>J18</f>
        <v>6427067</v>
      </c>
      <c r="K150" s="18">
        <f>K18</f>
        <v>1088872</v>
      </c>
    </row>
    <row r="151" spans="1:11" ht="18" customHeight="1">
      <c r="B151" s="2"/>
      <c r="F151" s="48"/>
      <c r="G151" s="48"/>
      <c r="H151" s="48"/>
      <c r="I151" s="48"/>
      <c r="J151" s="48"/>
      <c r="K151" s="48"/>
    </row>
    <row r="152" spans="1:11" ht="18" customHeight="1">
      <c r="A152" s="6" t="s">
        <v>165</v>
      </c>
      <c r="B152" s="2" t="s">
        <v>26</v>
      </c>
      <c r="F152" s="49">
        <f t="shared" ref="F152:K152" si="22">SUM(F141:F150)</f>
        <v>253389</v>
      </c>
      <c r="G152" s="49">
        <f t="shared" si="22"/>
        <v>235183</v>
      </c>
      <c r="H152" s="49">
        <f t="shared" si="22"/>
        <v>35010398.700000003</v>
      </c>
      <c r="I152" s="49">
        <f t="shared" si="22"/>
        <v>12075884.470601998</v>
      </c>
      <c r="J152" s="49">
        <f t="shared" si="22"/>
        <v>24976414.270000003</v>
      </c>
      <c r="K152" s="49">
        <f t="shared" si="22"/>
        <v>36523849.900601998</v>
      </c>
    </row>
    <row r="154" spans="1:11" ht="18" customHeight="1">
      <c r="A154" s="6" t="s">
        <v>168</v>
      </c>
      <c r="B154" s="2" t="s">
        <v>28</v>
      </c>
      <c r="F154" s="64">
        <f>K152/F121</f>
        <v>0.1293754719873057</v>
      </c>
    </row>
    <row r="155" spans="1:11" ht="18" customHeight="1">
      <c r="A155" s="6" t="s">
        <v>169</v>
      </c>
      <c r="B155" s="2" t="s">
        <v>72</v>
      </c>
      <c r="F155" s="64">
        <f>K152/F127</f>
        <v>1.4458182453085133</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topLeftCell="A133" workbookViewId="0">
      <selection activeCell="F162" sqref="F162"/>
    </sheetView>
  </sheetViews>
  <sheetFormatPr defaultRowHeight="15"/>
  <cols>
    <col min="1" max="1" width="7.5703125" style="411" bestFit="1" customWidth="1"/>
    <col min="2" max="2" width="55.5703125" style="411" bestFit="1" customWidth="1"/>
    <col min="3" max="5" width="9.140625" style="411"/>
    <col min="6" max="7" width="17.5703125" style="411" bestFit="1" customWidth="1"/>
    <col min="8" max="8" width="14.7109375" style="411" bestFit="1" customWidth="1"/>
    <col min="9" max="9" width="16.7109375" style="411" bestFit="1" customWidth="1"/>
    <col min="10" max="10" width="23.42578125" style="411" bestFit="1" customWidth="1"/>
    <col min="11" max="11" width="24.7109375" style="411" bestFit="1" customWidth="1"/>
    <col min="12" max="16384" width="9.140625" style="411"/>
  </cols>
  <sheetData>
    <row r="1" spans="1:11">
      <c r="A1" s="410"/>
    </row>
    <row r="2" spans="1:11" ht="15.75">
      <c r="D2" s="733" t="s">
        <v>371</v>
      </c>
      <c r="E2" s="733"/>
      <c r="F2" s="733"/>
      <c r="G2" s="733"/>
      <c r="H2" s="733"/>
    </row>
    <row r="3" spans="1:11">
      <c r="B3" s="412" t="s">
        <v>0</v>
      </c>
    </row>
    <row r="5" spans="1:11">
      <c r="B5" s="413" t="s">
        <v>40</v>
      </c>
      <c r="C5" s="732" t="s">
        <v>681</v>
      </c>
      <c r="D5" s="732"/>
      <c r="E5" s="732"/>
      <c r="F5" s="732"/>
      <c r="G5" s="732"/>
    </row>
    <row r="6" spans="1:11">
      <c r="B6" s="413" t="s">
        <v>3</v>
      </c>
      <c r="C6" s="732">
        <v>28</v>
      </c>
      <c r="D6" s="732"/>
      <c r="E6" s="732"/>
      <c r="F6" s="732"/>
      <c r="G6" s="732"/>
    </row>
    <row r="7" spans="1:11">
      <c r="B7" s="413" t="s">
        <v>4</v>
      </c>
      <c r="C7" s="732">
        <v>1277</v>
      </c>
      <c r="D7" s="732"/>
      <c r="E7" s="732"/>
      <c r="F7" s="732"/>
      <c r="G7" s="732"/>
    </row>
    <row r="8" spans="1:11">
      <c r="B8" s="413"/>
    </row>
    <row r="9" spans="1:11">
      <c r="B9" s="413" t="s">
        <v>1</v>
      </c>
      <c r="C9" s="732" t="s">
        <v>645</v>
      </c>
      <c r="D9" s="732"/>
      <c r="E9" s="732"/>
      <c r="F9" s="732"/>
      <c r="G9" s="732"/>
    </row>
    <row r="10" spans="1:11">
      <c r="B10" s="413" t="s">
        <v>2</v>
      </c>
      <c r="C10" s="732" t="s">
        <v>623</v>
      </c>
      <c r="D10" s="732"/>
      <c r="E10" s="732"/>
      <c r="F10" s="732"/>
      <c r="G10" s="732"/>
    </row>
    <row r="11" spans="1:11">
      <c r="B11" s="413" t="s">
        <v>32</v>
      </c>
      <c r="C11" s="732" t="s">
        <v>633</v>
      </c>
      <c r="D11" s="732"/>
      <c r="E11" s="732"/>
      <c r="F11" s="732"/>
      <c r="G11" s="732"/>
    </row>
    <row r="16" spans="1:11">
      <c r="B16" s="412" t="s">
        <v>181</v>
      </c>
      <c r="F16" s="414" t="s">
        <v>9</v>
      </c>
      <c r="G16" s="414" t="s">
        <v>37</v>
      </c>
      <c r="H16" s="414" t="s">
        <v>29</v>
      </c>
      <c r="I16" s="414" t="s">
        <v>30</v>
      </c>
      <c r="J16" s="414" t="s">
        <v>33</v>
      </c>
      <c r="K16" s="414" t="s">
        <v>34</v>
      </c>
    </row>
    <row r="17" spans="1:11">
      <c r="A17" s="415" t="s">
        <v>184</v>
      </c>
      <c r="B17" s="414" t="s">
        <v>182</v>
      </c>
    </row>
    <row r="18" spans="1:11">
      <c r="A18" s="413" t="s">
        <v>408</v>
      </c>
      <c r="B18" s="413" t="s">
        <v>183</v>
      </c>
      <c r="F18" s="416" t="s">
        <v>73</v>
      </c>
      <c r="G18" s="416" t="s">
        <v>73</v>
      </c>
      <c r="H18" s="417">
        <v>3873849</v>
      </c>
      <c r="I18" s="417">
        <v>0</v>
      </c>
      <c r="J18" s="417">
        <v>3312625</v>
      </c>
      <c r="K18" s="417">
        <v>561224</v>
      </c>
    </row>
    <row r="19" spans="1:11">
      <c r="B19" s="412" t="s">
        <v>8</v>
      </c>
      <c r="F19" s="414" t="s">
        <v>9</v>
      </c>
      <c r="G19" s="414" t="s">
        <v>37</v>
      </c>
      <c r="H19" s="414" t="s">
        <v>29</v>
      </c>
      <c r="I19" s="414" t="s">
        <v>30</v>
      </c>
      <c r="J19" s="414" t="s">
        <v>33</v>
      </c>
      <c r="K19" s="414" t="s">
        <v>34</v>
      </c>
    </row>
    <row r="20" spans="1:11">
      <c r="A20" s="415" t="s">
        <v>409</v>
      </c>
      <c r="B20" s="414" t="s">
        <v>41</v>
      </c>
    </row>
    <row r="21" spans="1:11">
      <c r="A21" s="413" t="s">
        <v>410</v>
      </c>
      <c r="B21" s="413" t="s">
        <v>42</v>
      </c>
      <c r="F21" s="416">
        <v>3900.5</v>
      </c>
      <c r="G21" s="416">
        <v>15298</v>
      </c>
      <c r="H21" s="417">
        <v>180269</v>
      </c>
      <c r="I21" s="417">
        <v>100041</v>
      </c>
      <c r="J21" s="417">
        <v>12634</v>
      </c>
      <c r="K21" s="417">
        <v>267676</v>
      </c>
    </row>
    <row r="22" spans="1:11">
      <c r="A22" s="413" t="s">
        <v>411</v>
      </c>
      <c r="B22" s="413" t="s">
        <v>6</v>
      </c>
      <c r="F22" s="416">
        <v>23</v>
      </c>
      <c r="G22" s="416">
        <v>332</v>
      </c>
      <c r="H22" s="417">
        <v>971</v>
      </c>
      <c r="I22" s="417">
        <v>545</v>
      </c>
      <c r="J22" s="417">
        <v>0</v>
      </c>
      <c r="K22" s="417">
        <v>1516</v>
      </c>
    </row>
    <row r="23" spans="1:11">
      <c r="A23" s="413" t="s">
        <v>412</v>
      </c>
      <c r="B23" s="413" t="s">
        <v>43</v>
      </c>
      <c r="F23" s="416">
        <v>0</v>
      </c>
      <c r="G23" s="416">
        <v>0</v>
      </c>
      <c r="H23" s="417">
        <v>0</v>
      </c>
      <c r="I23" s="417">
        <v>0</v>
      </c>
      <c r="J23" s="417">
        <v>0</v>
      </c>
      <c r="K23" s="417">
        <v>0</v>
      </c>
    </row>
    <row r="24" spans="1:11">
      <c r="A24" s="413" t="s">
        <v>413</v>
      </c>
      <c r="B24" s="413" t="s">
        <v>44</v>
      </c>
      <c r="F24" s="416">
        <v>8320.7999999999993</v>
      </c>
      <c r="G24" s="416">
        <v>2814</v>
      </c>
      <c r="H24" s="417">
        <v>564416</v>
      </c>
      <c r="I24" s="417">
        <v>224330</v>
      </c>
      <c r="J24" s="417">
        <v>379139</v>
      </c>
      <c r="K24" s="417">
        <v>409607</v>
      </c>
    </row>
    <row r="25" spans="1:11">
      <c r="A25" s="413" t="s">
        <v>414</v>
      </c>
      <c r="B25" s="413" t="s">
        <v>5</v>
      </c>
      <c r="F25" s="416">
        <v>0</v>
      </c>
      <c r="G25" s="416">
        <v>0</v>
      </c>
      <c r="H25" s="417">
        <v>0</v>
      </c>
      <c r="I25" s="417">
        <v>0</v>
      </c>
      <c r="J25" s="417">
        <v>0</v>
      </c>
      <c r="K25" s="417">
        <v>0</v>
      </c>
    </row>
    <row r="26" spans="1:11">
      <c r="A26" s="413" t="s">
        <v>415</v>
      </c>
      <c r="B26" s="413" t="s">
        <v>45</v>
      </c>
      <c r="F26" s="416">
        <v>0</v>
      </c>
      <c r="G26" s="416">
        <v>0</v>
      </c>
      <c r="H26" s="417">
        <v>0</v>
      </c>
      <c r="I26" s="417">
        <v>0</v>
      </c>
      <c r="J26" s="417">
        <v>0</v>
      </c>
      <c r="K26" s="417">
        <v>0</v>
      </c>
    </row>
    <row r="27" spans="1:11">
      <c r="A27" s="413" t="s">
        <v>416</v>
      </c>
      <c r="B27" s="413" t="s">
        <v>46</v>
      </c>
      <c r="F27" s="416">
        <v>0</v>
      </c>
      <c r="G27" s="416">
        <v>0</v>
      </c>
      <c r="H27" s="417">
        <v>0</v>
      </c>
      <c r="I27" s="417">
        <v>0</v>
      </c>
      <c r="J27" s="417">
        <v>0</v>
      </c>
      <c r="K27" s="417">
        <v>0</v>
      </c>
    </row>
    <row r="28" spans="1:11">
      <c r="A28" s="413" t="s">
        <v>417</v>
      </c>
      <c r="B28" s="413" t="s">
        <v>47</v>
      </c>
      <c r="F28" s="416">
        <v>0</v>
      </c>
      <c r="G28" s="416">
        <v>0</v>
      </c>
      <c r="H28" s="417">
        <v>0</v>
      </c>
      <c r="I28" s="417">
        <v>0</v>
      </c>
      <c r="J28" s="417">
        <v>0</v>
      </c>
      <c r="K28" s="417">
        <v>0</v>
      </c>
    </row>
    <row r="29" spans="1:11">
      <c r="A29" s="413" t="s">
        <v>75</v>
      </c>
      <c r="B29" s="413" t="s">
        <v>48</v>
      </c>
      <c r="F29" s="416">
        <v>2080</v>
      </c>
      <c r="G29" s="416">
        <v>189</v>
      </c>
      <c r="H29" s="417">
        <v>45626</v>
      </c>
      <c r="I29" s="417">
        <v>25325</v>
      </c>
      <c r="J29" s="417">
        <v>0</v>
      </c>
      <c r="K29" s="417">
        <v>70951</v>
      </c>
    </row>
    <row r="30" spans="1:11">
      <c r="A30" s="413" t="s">
        <v>76</v>
      </c>
      <c r="B30" s="413" t="s">
        <v>682</v>
      </c>
      <c r="F30" s="416">
        <v>0</v>
      </c>
      <c r="G30" s="416">
        <v>6</v>
      </c>
      <c r="H30" s="417">
        <v>100</v>
      </c>
      <c r="I30" s="417">
        <v>56</v>
      </c>
      <c r="J30" s="417">
        <v>0</v>
      </c>
      <c r="K30" s="417">
        <v>156</v>
      </c>
    </row>
    <row r="31" spans="1:11">
      <c r="A31" s="413"/>
      <c r="B31" s="413"/>
      <c r="F31" s="416"/>
      <c r="G31" s="416"/>
      <c r="H31" s="417"/>
      <c r="I31" s="417"/>
      <c r="J31" s="417"/>
      <c r="K31" s="417"/>
    </row>
    <row r="32" spans="1:11">
      <c r="A32" s="413"/>
      <c r="B32" s="413"/>
      <c r="F32" s="416"/>
      <c r="G32" s="416"/>
      <c r="H32" s="417"/>
      <c r="I32" s="417"/>
      <c r="J32" s="417"/>
      <c r="K32" s="417"/>
    </row>
    <row r="33" spans="1:11">
      <c r="A33" s="413"/>
      <c r="B33" s="413"/>
      <c r="F33" s="416"/>
      <c r="G33" s="416"/>
      <c r="H33" s="417"/>
      <c r="I33" s="417"/>
      <c r="J33" s="417"/>
      <c r="K33" s="417"/>
    </row>
    <row r="34" spans="1:11">
      <c r="A34" s="413"/>
      <c r="B34" s="413"/>
      <c r="F34" s="416"/>
      <c r="G34" s="416"/>
      <c r="H34" s="417"/>
      <c r="I34" s="417"/>
      <c r="J34" s="417"/>
      <c r="K34" s="417"/>
    </row>
    <row r="35" spans="1:11">
      <c r="A35" s="413"/>
      <c r="B35" s="413"/>
      <c r="F35" s="416"/>
      <c r="G35" s="416"/>
      <c r="H35" s="417"/>
      <c r="I35" s="417"/>
      <c r="J35" s="417"/>
      <c r="K35" s="417"/>
    </row>
    <row r="36" spans="1:11">
      <c r="A36" s="415" t="s">
        <v>420</v>
      </c>
      <c r="B36" s="413" t="s">
        <v>138</v>
      </c>
      <c r="F36" s="416">
        <v>14324.3</v>
      </c>
      <c r="G36" s="416">
        <v>18639</v>
      </c>
      <c r="H36" s="417">
        <v>791382</v>
      </c>
      <c r="I36" s="417">
        <v>350297</v>
      </c>
      <c r="J36" s="417">
        <v>391773</v>
      </c>
      <c r="K36" s="417">
        <v>749906</v>
      </c>
    </row>
    <row r="39" spans="1:11">
      <c r="A39" s="415" t="s">
        <v>86</v>
      </c>
      <c r="B39" s="414" t="s">
        <v>49</v>
      </c>
    </row>
    <row r="40" spans="1:11">
      <c r="A40" s="413" t="s">
        <v>421</v>
      </c>
      <c r="B40" s="413" t="s">
        <v>31</v>
      </c>
      <c r="F40" s="416">
        <v>30</v>
      </c>
      <c r="G40" s="416">
        <v>39</v>
      </c>
      <c r="H40" s="417">
        <v>34919</v>
      </c>
      <c r="I40" s="417">
        <v>650</v>
      </c>
      <c r="J40" s="417">
        <v>0</v>
      </c>
      <c r="K40" s="417">
        <v>35569</v>
      </c>
    </row>
    <row r="41" spans="1:11">
      <c r="A41" s="413" t="s">
        <v>422</v>
      </c>
      <c r="B41" s="413" t="s">
        <v>50</v>
      </c>
      <c r="F41" s="416">
        <v>0</v>
      </c>
      <c r="G41" s="416">
        <v>0</v>
      </c>
      <c r="H41" s="417">
        <v>151897</v>
      </c>
      <c r="I41" s="417">
        <v>0</v>
      </c>
      <c r="J41" s="417">
        <v>0</v>
      </c>
      <c r="K41" s="417">
        <v>151897</v>
      </c>
    </row>
    <row r="42" spans="1:11">
      <c r="A42" s="413" t="s">
        <v>423</v>
      </c>
      <c r="B42" s="413" t="s">
        <v>11</v>
      </c>
      <c r="F42" s="416">
        <v>364</v>
      </c>
      <c r="G42" s="416">
        <v>259</v>
      </c>
      <c r="H42" s="417">
        <v>17136</v>
      </c>
      <c r="I42" s="417">
        <v>9513</v>
      </c>
      <c r="J42" s="417">
        <v>380</v>
      </c>
      <c r="K42" s="417">
        <v>26269</v>
      </c>
    </row>
    <row r="43" spans="1:11">
      <c r="A43" s="413" t="s">
        <v>424</v>
      </c>
      <c r="B43" s="413" t="s">
        <v>10</v>
      </c>
      <c r="F43" s="416">
        <v>0</v>
      </c>
      <c r="G43" s="416">
        <v>0</v>
      </c>
      <c r="H43" s="417">
        <v>0</v>
      </c>
      <c r="I43" s="417">
        <v>0</v>
      </c>
      <c r="J43" s="417">
        <v>0</v>
      </c>
      <c r="K43" s="417">
        <v>0</v>
      </c>
    </row>
    <row r="44" spans="1:11">
      <c r="A44" s="413"/>
      <c r="B44" s="413"/>
      <c r="F44" s="416"/>
      <c r="G44" s="416"/>
      <c r="H44" s="417"/>
      <c r="I44" s="417"/>
      <c r="J44" s="417"/>
      <c r="K44" s="417"/>
    </row>
    <row r="45" spans="1:11">
      <c r="A45" s="413"/>
      <c r="B45" s="413"/>
      <c r="F45" s="416"/>
      <c r="G45" s="416"/>
      <c r="H45" s="417"/>
      <c r="I45" s="417"/>
      <c r="J45" s="417"/>
      <c r="K45" s="417"/>
    </row>
    <row r="46" spans="1:11">
      <c r="A46" s="413"/>
      <c r="B46" s="413"/>
      <c r="F46" s="416"/>
      <c r="G46" s="416"/>
      <c r="H46" s="417"/>
      <c r="I46" s="417"/>
      <c r="J46" s="417"/>
      <c r="K46" s="417"/>
    </row>
    <row r="47" spans="1:11">
      <c r="A47" s="413"/>
      <c r="B47" s="413"/>
      <c r="F47" s="416"/>
      <c r="G47" s="416"/>
      <c r="H47" s="417"/>
      <c r="I47" s="417"/>
      <c r="J47" s="417"/>
      <c r="K47" s="417"/>
    </row>
    <row r="48" spans="1:11">
      <c r="A48" s="413"/>
      <c r="B48" s="413"/>
      <c r="F48" s="416"/>
      <c r="G48" s="416"/>
      <c r="H48" s="417"/>
      <c r="I48" s="417"/>
      <c r="J48" s="417"/>
      <c r="K48" s="417"/>
    </row>
    <row r="49" spans="1:11">
      <c r="A49" s="415" t="s">
        <v>425</v>
      </c>
      <c r="B49" s="413" t="s">
        <v>143</v>
      </c>
      <c r="F49" s="416">
        <v>394</v>
      </c>
      <c r="G49" s="416">
        <v>298</v>
      </c>
      <c r="H49" s="417">
        <v>203952</v>
      </c>
      <c r="I49" s="417">
        <v>10163</v>
      </c>
      <c r="J49" s="417">
        <v>380</v>
      </c>
      <c r="K49" s="417">
        <v>213735</v>
      </c>
    </row>
    <row r="52" spans="1:11">
      <c r="A52" s="415" t="s">
        <v>92</v>
      </c>
      <c r="B52" s="414" t="s">
        <v>38</v>
      </c>
    </row>
    <row r="53" spans="1:11">
      <c r="A53" s="413" t="s">
        <v>426</v>
      </c>
      <c r="B53" s="413" t="s">
        <v>625</v>
      </c>
      <c r="F53" s="416">
        <v>0</v>
      </c>
      <c r="G53" s="416">
        <v>0</v>
      </c>
      <c r="H53" s="417">
        <v>1784965</v>
      </c>
      <c r="I53" s="417">
        <v>0</v>
      </c>
      <c r="J53" s="417">
        <v>0</v>
      </c>
      <c r="K53" s="417">
        <v>1784965</v>
      </c>
    </row>
    <row r="54" spans="1:11">
      <c r="A54" s="413" t="s">
        <v>635</v>
      </c>
      <c r="B54" s="413" t="s">
        <v>683</v>
      </c>
      <c r="F54" s="416">
        <v>0</v>
      </c>
      <c r="G54" s="416">
        <v>0</v>
      </c>
      <c r="H54" s="417">
        <v>0</v>
      </c>
      <c r="I54" s="417">
        <v>0</v>
      </c>
      <c r="J54" s="417">
        <v>0</v>
      </c>
      <c r="K54" s="417">
        <v>0</v>
      </c>
    </row>
    <row r="55" spans="1:11">
      <c r="A55" s="413" t="s">
        <v>636</v>
      </c>
      <c r="B55" s="413" t="s">
        <v>627</v>
      </c>
      <c r="F55" s="416">
        <v>0</v>
      </c>
      <c r="G55" s="416">
        <v>0</v>
      </c>
      <c r="H55" s="417">
        <v>2025218</v>
      </c>
      <c r="I55" s="417">
        <v>0</v>
      </c>
      <c r="J55" s="417">
        <v>0</v>
      </c>
      <c r="K55" s="417">
        <v>2025218</v>
      </c>
    </row>
    <row r="56" spans="1:11">
      <c r="A56" s="413"/>
      <c r="B56" s="413"/>
      <c r="F56" s="416"/>
      <c r="G56" s="416"/>
      <c r="H56" s="417"/>
      <c r="I56" s="417"/>
      <c r="J56" s="417"/>
      <c r="K56" s="417"/>
    </row>
    <row r="57" spans="1:11">
      <c r="A57" s="413"/>
      <c r="B57" s="413"/>
      <c r="F57" s="416"/>
      <c r="G57" s="416"/>
      <c r="H57" s="417"/>
      <c r="I57" s="417"/>
      <c r="J57" s="417"/>
      <c r="K57" s="417"/>
    </row>
    <row r="58" spans="1:11">
      <c r="A58" s="413"/>
      <c r="B58" s="413"/>
      <c r="F58" s="416"/>
      <c r="G58" s="416"/>
      <c r="H58" s="417"/>
      <c r="I58" s="417"/>
      <c r="J58" s="417"/>
      <c r="K58" s="417"/>
    </row>
    <row r="59" spans="1:11">
      <c r="A59" s="413"/>
      <c r="B59" s="413"/>
      <c r="F59" s="416"/>
      <c r="G59" s="416"/>
      <c r="H59" s="417"/>
      <c r="I59" s="417"/>
      <c r="J59" s="417"/>
      <c r="K59" s="417"/>
    </row>
    <row r="60" spans="1:11">
      <c r="A60" s="413"/>
      <c r="B60" s="413"/>
      <c r="F60" s="416"/>
      <c r="G60" s="416"/>
      <c r="H60" s="417"/>
      <c r="I60" s="417"/>
      <c r="J60" s="417"/>
      <c r="K60" s="417"/>
    </row>
    <row r="61" spans="1:11">
      <c r="A61" s="413"/>
      <c r="B61" s="413"/>
      <c r="F61" s="416"/>
      <c r="G61" s="416"/>
      <c r="H61" s="417"/>
      <c r="I61" s="417"/>
      <c r="J61" s="417"/>
      <c r="K61" s="417"/>
    </row>
    <row r="62" spans="1:11">
      <c r="A62" s="413"/>
      <c r="B62" s="413"/>
      <c r="F62" s="416"/>
      <c r="G62" s="416"/>
      <c r="H62" s="417"/>
      <c r="I62" s="417"/>
      <c r="J62" s="417"/>
      <c r="K62" s="417"/>
    </row>
    <row r="63" spans="1:11">
      <c r="A63" s="413"/>
      <c r="B63" s="413"/>
      <c r="F63" s="416"/>
      <c r="G63" s="416"/>
      <c r="H63" s="417"/>
      <c r="I63" s="417"/>
      <c r="J63" s="417"/>
      <c r="K63" s="417"/>
    </row>
    <row r="64" spans="1:11">
      <c r="A64" s="415" t="s">
        <v>428</v>
      </c>
      <c r="B64" s="413" t="s">
        <v>145</v>
      </c>
      <c r="F64" s="416">
        <v>0</v>
      </c>
      <c r="G64" s="416">
        <v>0</v>
      </c>
      <c r="H64" s="417">
        <v>3810183</v>
      </c>
      <c r="I64" s="417">
        <v>0</v>
      </c>
      <c r="J64" s="417">
        <v>0</v>
      </c>
      <c r="K64" s="417">
        <v>3810183</v>
      </c>
    </row>
    <row r="67" spans="1:11">
      <c r="A67" s="415" t="s">
        <v>102</v>
      </c>
      <c r="B67" s="414" t="s">
        <v>12</v>
      </c>
    </row>
    <row r="68" spans="1:11">
      <c r="A68" s="413" t="s">
        <v>429</v>
      </c>
      <c r="B68" s="413" t="s">
        <v>52</v>
      </c>
      <c r="F68" s="416">
        <v>0</v>
      </c>
      <c r="G68" s="416">
        <v>0</v>
      </c>
      <c r="H68" s="417">
        <v>0</v>
      </c>
      <c r="I68" s="417">
        <v>0</v>
      </c>
      <c r="J68" s="417">
        <v>0</v>
      </c>
      <c r="K68" s="417">
        <v>0</v>
      </c>
    </row>
    <row r="69" spans="1:11">
      <c r="A69" s="413" t="s">
        <v>430</v>
      </c>
      <c r="B69" s="413" t="s">
        <v>53</v>
      </c>
      <c r="F69" s="416">
        <v>0</v>
      </c>
      <c r="G69" s="416">
        <v>0</v>
      </c>
      <c r="H69" s="417">
        <v>0</v>
      </c>
      <c r="I69" s="417">
        <v>0</v>
      </c>
      <c r="J69" s="417">
        <v>0</v>
      </c>
      <c r="K69" s="417">
        <v>0</v>
      </c>
    </row>
    <row r="70" spans="1:11">
      <c r="A70" s="413"/>
      <c r="B70" s="413"/>
      <c r="F70" s="416"/>
      <c r="G70" s="416"/>
      <c r="H70" s="417"/>
      <c r="I70" s="417"/>
      <c r="J70" s="417"/>
      <c r="K70" s="417"/>
    </row>
    <row r="71" spans="1:11">
      <c r="A71" s="413"/>
      <c r="B71" s="413"/>
      <c r="F71" s="416"/>
      <c r="G71" s="416"/>
      <c r="H71" s="417"/>
      <c r="I71" s="417"/>
      <c r="J71" s="417"/>
      <c r="K71" s="417"/>
    </row>
    <row r="72" spans="1:11">
      <c r="A72" s="413"/>
      <c r="B72" s="413"/>
      <c r="F72" s="416"/>
      <c r="G72" s="416"/>
      <c r="H72" s="417"/>
      <c r="I72" s="417"/>
      <c r="J72" s="417"/>
      <c r="K72" s="417"/>
    </row>
    <row r="73" spans="1:11">
      <c r="A73" s="413"/>
      <c r="B73" s="413"/>
      <c r="F73" s="416"/>
      <c r="G73" s="416"/>
      <c r="H73" s="417"/>
      <c r="I73" s="417"/>
      <c r="J73" s="417"/>
      <c r="K73" s="417"/>
    </row>
    <row r="74" spans="1:11">
      <c r="A74" s="415" t="s">
        <v>431</v>
      </c>
      <c r="B74" s="413" t="s">
        <v>147</v>
      </c>
      <c r="F74" s="416">
        <v>0</v>
      </c>
      <c r="G74" s="416">
        <v>0</v>
      </c>
      <c r="H74" s="417">
        <v>0</v>
      </c>
      <c r="I74" s="417">
        <v>0</v>
      </c>
      <c r="J74" s="417">
        <v>0</v>
      </c>
      <c r="K74" s="417">
        <v>0</v>
      </c>
    </row>
    <row r="76" spans="1:11">
      <c r="A76" s="415" t="s">
        <v>105</v>
      </c>
      <c r="B76" s="414" t="s">
        <v>106</v>
      </c>
    </row>
    <row r="77" spans="1:11">
      <c r="A77" s="413" t="s">
        <v>432</v>
      </c>
      <c r="B77" s="413" t="s">
        <v>54</v>
      </c>
      <c r="F77" s="416">
        <v>0</v>
      </c>
      <c r="G77" s="416">
        <v>0</v>
      </c>
      <c r="H77" s="417">
        <v>22450</v>
      </c>
      <c r="I77" s="417">
        <v>0</v>
      </c>
      <c r="J77" s="417">
        <v>0</v>
      </c>
      <c r="K77" s="417">
        <v>22450</v>
      </c>
    </row>
    <row r="78" spans="1:11">
      <c r="A78" s="413" t="s">
        <v>433</v>
      </c>
      <c r="B78" s="413" t="s">
        <v>55</v>
      </c>
      <c r="F78" s="416">
        <v>0</v>
      </c>
      <c r="G78" s="416">
        <v>0</v>
      </c>
      <c r="H78" s="417">
        <v>500</v>
      </c>
      <c r="I78" s="417">
        <v>0</v>
      </c>
      <c r="J78" s="417">
        <v>0</v>
      </c>
      <c r="K78" s="417">
        <v>500</v>
      </c>
    </row>
    <row r="79" spans="1:11">
      <c r="A79" s="413" t="s">
        <v>434</v>
      </c>
      <c r="B79" s="413" t="s">
        <v>13</v>
      </c>
      <c r="F79" s="416">
        <v>1220.5</v>
      </c>
      <c r="G79" s="416">
        <v>259</v>
      </c>
      <c r="H79" s="417">
        <v>68831</v>
      </c>
      <c r="I79" s="417">
        <v>35083</v>
      </c>
      <c r="J79" s="417">
        <v>0</v>
      </c>
      <c r="K79" s="417">
        <v>103914</v>
      </c>
    </row>
    <row r="80" spans="1:11">
      <c r="A80" s="413" t="s">
        <v>435</v>
      </c>
      <c r="B80" s="413" t="s">
        <v>436</v>
      </c>
      <c r="F80" s="416">
        <v>0</v>
      </c>
      <c r="G80" s="416">
        <v>0</v>
      </c>
      <c r="H80" s="417">
        <v>0</v>
      </c>
      <c r="I80" s="417">
        <v>0</v>
      </c>
      <c r="J80" s="417">
        <v>0</v>
      </c>
      <c r="K80" s="417">
        <v>0</v>
      </c>
    </row>
    <row r="81" spans="1:11">
      <c r="A81" s="413"/>
      <c r="B81" s="413"/>
      <c r="F81" s="416"/>
      <c r="G81" s="416"/>
      <c r="H81" s="417"/>
      <c r="I81" s="417"/>
      <c r="J81" s="417"/>
      <c r="K81" s="417"/>
    </row>
    <row r="82" spans="1:11">
      <c r="A82" s="415" t="s">
        <v>437</v>
      </c>
      <c r="B82" s="413"/>
      <c r="F82" s="416">
        <v>1220.5</v>
      </c>
      <c r="G82" s="416">
        <v>259</v>
      </c>
      <c r="H82" s="417">
        <v>91781</v>
      </c>
      <c r="I82" s="417">
        <v>35083</v>
      </c>
      <c r="J82" s="417">
        <v>0</v>
      </c>
      <c r="K82" s="417">
        <v>126864</v>
      </c>
    </row>
    <row r="85" spans="1:11">
      <c r="A85" s="415" t="s">
        <v>111</v>
      </c>
      <c r="B85" s="414" t="s">
        <v>57</v>
      </c>
    </row>
    <row r="86" spans="1:11">
      <c r="A86" s="413" t="s">
        <v>438</v>
      </c>
      <c r="B86" s="413" t="s">
        <v>113</v>
      </c>
      <c r="F86" s="416">
        <v>0</v>
      </c>
      <c r="G86" s="416">
        <v>0</v>
      </c>
      <c r="H86" s="417">
        <v>0</v>
      </c>
      <c r="I86" s="417">
        <v>0</v>
      </c>
      <c r="J86" s="417">
        <v>0</v>
      </c>
      <c r="K86" s="417">
        <v>0</v>
      </c>
    </row>
    <row r="87" spans="1:11">
      <c r="A87" s="413" t="s">
        <v>439</v>
      </c>
      <c r="B87" s="413" t="s">
        <v>14</v>
      </c>
      <c r="F87" s="416">
        <v>0</v>
      </c>
      <c r="G87" s="416">
        <v>0</v>
      </c>
      <c r="H87" s="417">
        <v>0</v>
      </c>
      <c r="I87" s="417">
        <v>0</v>
      </c>
      <c r="J87" s="417">
        <v>0</v>
      </c>
      <c r="K87" s="417">
        <v>0</v>
      </c>
    </row>
    <row r="88" spans="1:11">
      <c r="A88" s="413" t="s">
        <v>440</v>
      </c>
      <c r="B88" s="413" t="s">
        <v>116</v>
      </c>
      <c r="F88" s="416">
        <v>146</v>
      </c>
      <c r="G88" s="416">
        <v>133</v>
      </c>
      <c r="H88" s="417">
        <v>5949</v>
      </c>
      <c r="I88" s="417">
        <v>3302</v>
      </c>
      <c r="J88" s="417">
        <v>0</v>
      </c>
      <c r="K88" s="417">
        <v>9251</v>
      </c>
    </row>
    <row r="89" spans="1:11">
      <c r="A89" s="413" t="s">
        <v>441</v>
      </c>
      <c r="B89" s="413" t="s">
        <v>58</v>
      </c>
      <c r="F89" s="416">
        <v>0</v>
      </c>
      <c r="G89" s="416">
        <v>0</v>
      </c>
      <c r="H89" s="417">
        <v>0</v>
      </c>
      <c r="I89" s="417">
        <v>0</v>
      </c>
      <c r="J89" s="417">
        <v>0</v>
      </c>
      <c r="K89" s="417">
        <v>0</v>
      </c>
    </row>
    <row r="90" spans="1:11">
      <c r="A90" s="413" t="s">
        <v>442</v>
      </c>
      <c r="B90" s="413" t="s">
        <v>59</v>
      </c>
      <c r="F90" s="416">
        <v>0</v>
      </c>
      <c r="G90" s="416">
        <v>0</v>
      </c>
      <c r="H90" s="417">
        <v>4739</v>
      </c>
      <c r="I90" s="417">
        <v>2631</v>
      </c>
      <c r="J90" s="417">
        <v>0</v>
      </c>
      <c r="K90" s="417">
        <v>7370</v>
      </c>
    </row>
    <row r="91" spans="1:11">
      <c r="A91" s="413" t="s">
        <v>443</v>
      </c>
      <c r="B91" s="413" t="s">
        <v>60</v>
      </c>
      <c r="F91" s="416">
        <v>214</v>
      </c>
      <c r="G91" s="416">
        <v>997</v>
      </c>
      <c r="H91" s="417">
        <v>20239</v>
      </c>
      <c r="I91" s="417">
        <v>11239</v>
      </c>
      <c r="J91" s="417">
        <v>0</v>
      </c>
      <c r="K91" s="417">
        <v>31478</v>
      </c>
    </row>
    <row r="92" spans="1:11">
      <c r="A92" s="413" t="s">
        <v>444</v>
      </c>
      <c r="B92" s="413" t="s">
        <v>121</v>
      </c>
      <c r="F92" s="416">
        <v>24</v>
      </c>
      <c r="G92" s="416">
        <v>0</v>
      </c>
      <c r="H92" s="417">
        <v>29463</v>
      </c>
      <c r="I92" s="417">
        <v>16354</v>
      </c>
      <c r="J92" s="417">
        <v>0</v>
      </c>
      <c r="K92" s="417">
        <v>45817</v>
      </c>
    </row>
    <row r="93" spans="1:11">
      <c r="A93" s="413" t="s">
        <v>445</v>
      </c>
      <c r="B93" s="413" t="s">
        <v>123</v>
      </c>
      <c r="F93" s="416">
        <v>20366</v>
      </c>
      <c r="G93" s="416">
        <v>200</v>
      </c>
      <c r="H93" s="417">
        <v>438881</v>
      </c>
      <c r="I93" s="417">
        <v>243578</v>
      </c>
      <c r="J93" s="417">
        <v>0</v>
      </c>
      <c r="K93" s="417">
        <v>682459</v>
      </c>
    </row>
    <row r="94" spans="1:11">
      <c r="A94" s="413"/>
      <c r="B94" s="413"/>
      <c r="F94" s="416"/>
      <c r="G94" s="416"/>
      <c r="H94" s="417"/>
      <c r="I94" s="417"/>
      <c r="J94" s="417"/>
      <c r="K94" s="417"/>
    </row>
    <row r="95" spans="1:11">
      <c r="A95" s="413"/>
      <c r="B95" s="413"/>
      <c r="F95" s="416"/>
      <c r="G95" s="416"/>
      <c r="H95" s="417"/>
      <c r="I95" s="417"/>
      <c r="J95" s="417"/>
      <c r="K95" s="417"/>
    </row>
    <row r="96" spans="1:11">
      <c r="A96" s="413"/>
      <c r="B96" s="413"/>
      <c r="F96" s="416"/>
      <c r="G96" s="416"/>
      <c r="H96" s="417"/>
      <c r="I96" s="417"/>
      <c r="J96" s="417"/>
      <c r="K96" s="417"/>
    </row>
    <row r="97" spans="1:11">
      <c r="A97" s="413"/>
      <c r="B97" s="413"/>
      <c r="F97" s="416"/>
      <c r="G97" s="416"/>
      <c r="H97" s="417"/>
      <c r="I97" s="417"/>
      <c r="J97" s="417"/>
      <c r="K97" s="417"/>
    </row>
    <row r="98" spans="1:11">
      <c r="A98" s="415" t="s">
        <v>446</v>
      </c>
      <c r="B98" s="413" t="s">
        <v>151</v>
      </c>
      <c r="F98" s="416">
        <v>20750</v>
      </c>
      <c r="G98" s="416">
        <v>1330</v>
      </c>
      <c r="H98" s="417">
        <v>499271</v>
      </c>
      <c r="I98" s="417">
        <v>277104</v>
      </c>
      <c r="J98" s="417">
        <v>0</v>
      </c>
      <c r="K98" s="417">
        <v>776375</v>
      </c>
    </row>
    <row r="101" spans="1:11">
      <c r="A101" s="415" t="s">
        <v>130</v>
      </c>
      <c r="B101" s="414" t="s">
        <v>63</v>
      </c>
    </row>
    <row r="102" spans="1:11">
      <c r="A102" s="413" t="s">
        <v>447</v>
      </c>
      <c r="B102" s="413" t="s">
        <v>152</v>
      </c>
      <c r="F102" s="416">
        <v>9360</v>
      </c>
      <c r="G102" s="416">
        <v>0</v>
      </c>
      <c r="H102" s="417">
        <v>337376</v>
      </c>
      <c r="I102" s="417">
        <v>187244</v>
      </c>
      <c r="J102" s="417">
        <v>0</v>
      </c>
      <c r="K102" s="417">
        <v>524620</v>
      </c>
    </row>
    <row r="103" spans="1:11">
      <c r="A103" s="413" t="s">
        <v>448</v>
      </c>
      <c r="B103" s="413" t="s">
        <v>62</v>
      </c>
      <c r="F103" s="416">
        <v>10</v>
      </c>
      <c r="G103" s="416">
        <v>0</v>
      </c>
      <c r="H103" s="417">
        <v>413</v>
      </c>
      <c r="I103" s="417">
        <v>229</v>
      </c>
      <c r="J103" s="417">
        <v>0</v>
      </c>
      <c r="K103" s="417">
        <v>642</v>
      </c>
    </row>
    <row r="104" spans="1:11">
      <c r="A104" s="413" t="s">
        <v>642</v>
      </c>
      <c r="B104" s="413" t="s">
        <v>643</v>
      </c>
      <c r="F104" s="416">
        <v>0</v>
      </c>
      <c r="G104" s="416">
        <v>0</v>
      </c>
      <c r="H104" s="417">
        <v>30034</v>
      </c>
      <c r="I104" s="417">
        <v>16669</v>
      </c>
      <c r="J104" s="417">
        <v>0</v>
      </c>
      <c r="K104" s="417">
        <v>46703</v>
      </c>
    </row>
    <row r="105" spans="1:11">
      <c r="A105" s="413"/>
      <c r="B105" s="413"/>
      <c r="F105" s="416"/>
      <c r="G105" s="416"/>
      <c r="H105" s="417"/>
      <c r="I105" s="417"/>
      <c r="J105" s="417"/>
      <c r="K105" s="417"/>
    </row>
    <row r="106" spans="1:11">
      <c r="A106" s="413"/>
      <c r="B106" s="413"/>
      <c r="F106" s="416"/>
      <c r="G106" s="416"/>
      <c r="H106" s="417"/>
      <c r="I106" s="417"/>
      <c r="J106" s="417"/>
      <c r="K106" s="417"/>
    </row>
    <row r="107" spans="1:11">
      <c r="A107" s="413"/>
      <c r="B107" s="413"/>
      <c r="F107" s="416"/>
      <c r="G107" s="416"/>
      <c r="H107" s="417"/>
      <c r="I107" s="417"/>
      <c r="J107" s="417"/>
      <c r="K107" s="417"/>
    </row>
    <row r="108" spans="1:11">
      <c r="A108" s="415" t="s">
        <v>449</v>
      </c>
      <c r="B108" s="413" t="s">
        <v>154</v>
      </c>
      <c r="F108" s="416">
        <v>9370</v>
      </c>
      <c r="G108" s="416">
        <v>0</v>
      </c>
      <c r="H108" s="417">
        <v>367823</v>
      </c>
      <c r="I108" s="417">
        <v>204142</v>
      </c>
      <c r="J108" s="417">
        <v>0</v>
      </c>
      <c r="K108" s="417">
        <v>571965</v>
      </c>
    </row>
    <row r="110" spans="1:11">
      <c r="A110" s="414" t="s">
        <v>156</v>
      </c>
      <c r="B110" s="414" t="s">
        <v>39</v>
      </c>
    </row>
    <row r="111" spans="1:11">
      <c r="A111" s="413" t="s">
        <v>450</v>
      </c>
      <c r="B111" s="411" t="s">
        <v>164</v>
      </c>
      <c r="F111" s="417">
        <v>3430456</v>
      </c>
    </row>
    <row r="113" spans="1:6">
      <c r="A113" s="414"/>
      <c r="B113" s="414" t="s">
        <v>15</v>
      </c>
    </row>
    <row r="114" spans="1:6">
      <c r="A114" s="413" t="s">
        <v>451</v>
      </c>
      <c r="B114" s="411" t="s">
        <v>452</v>
      </c>
      <c r="F114" s="418">
        <v>0.55000000000000004</v>
      </c>
    </row>
    <row r="116" spans="1:6">
      <c r="A116" s="414" t="s">
        <v>170</v>
      </c>
      <c r="B116" s="414" t="s">
        <v>16</v>
      </c>
    </row>
    <row r="117" spans="1:6">
      <c r="A117" s="413" t="s">
        <v>453</v>
      </c>
      <c r="B117" s="411" t="s">
        <v>17</v>
      </c>
      <c r="F117" s="417">
        <v>138299296</v>
      </c>
    </row>
    <row r="118" spans="1:6">
      <c r="A118" s="413" t="s">
        <v>454</v>
      </c>
      <c r="B118" s="411" t="s">
        <v>18</v>
      </c>
      <c r="F118" s="417">
        <v>4705918</v>
      </c>
    </row>
    <row r="119" spans="1:6">
      <c r="A119" s="413" t="s">
        <v>455</v>
      </c>
      <c r="B119" s="414" t="s">
        <v>19</v>
      </c>
      <c r="F119" s="416">
        <v>143005214</v>
      </c>
    </row>
    <row r="121" spans="1:6">
      <c r="A121" s="413" t="s">
        <v>456</v>
      </c>
      <c r="B121" s="411" t="s">
        <v>282</v>
      </c>
      <c r="F121" s="417">
        <v>131503457</v>
      </c>
    </row>
    <row r="123" spans="1:6">
      <c r="A123" s="413" t="s">
        <v>457</v>
      </c>
      <c r="B123" s="411" t="s">
        <v>458</v>
      </c>
      <c r="F123" s="417">
        <v>11501757</v>
      </c>
    </row>
    <row r="125" spans="1:6">
      <c r="A125" s="413" t="s">
        <v>459</v>
      </c>
      <c r="B125" s="411" t="s">
        <v>460</v>
      </c>
      <c r="F125" s="417">
        <v>769829</v>
      </c>
    </row>
    <row r="127" spans="1:6">
      <c r="A127" s="413" t="s">
        <v>461</v>
      </c>
      <c r="B127" s="411" t="s">
        <v>462</v>
      </c>
      <c r="F127" s="417">
        <v>12271586</v>
      </c>
    </row>
    <row r="130" spans="1:11">
      <c r="A130" s="415" t="s">
        <v>157</v>
      </c>
      <c r="B130" s="414" t="s">
        <v>23</v>
      </c>
    </row>
    <row r="131" spans="1:11">
      <c r="A131" s="413" t="s">
        <v>463</v>
      </c>
      <c r="B131" s="413" t="s">
        <v>24</v>
      </c>
      <c r="F131" s="416">
        <v>0</v>
      </c>
      <c r="G131" s="416">
        <v>0</v>
      </c>
      <c r="H131" s="417">
        <v>0</v>
      </c>
      <c r="I131" s="417">
        <v>0</v>
      </c>
      <c r="J131" s="417">
        <v>0</v>
      </c>
      <c r="K131" s="417">
        <v>0</v>
      </c>
    </row>
    <row r="132" spans="1:11">
      <c r="A132" s="413" t="s">
        <v>464</v>
      </c>
      <c r="B132" s="413" t="s">
        <v>25</v>
      </c>
      <c r="F132" s="416">
        <v>0</v>
      </c>
      <c r="G132" s="416">
        <v>0</v>
      </c>
      <c r="H132" s="417">
        <v>0</v>
      </c>
      <c r="I132" s="417">
        <v>0</v>
      </c>
      <c r="J132" s="417">
        <v>0</v>
      </c>
      <c r="K132" s="417">
        <v>0</v>
      </c>
    </row>
    <row r="133" spans="1:11">
      <c r="A133" s="413"/>
      <c r="B133" s="413"/>
      <c r="F133" s="416"/>
      <c r="G133" s="416"/>
      <c r="H133" s="417"/>
      <c r="I133" s="417"/>
      <c r="J133" s="417"/>
      <c r="K133" s="417"/>
    </row>
    <row r="134" spans="1:11">
      <c r="A134" s="413"/>
      <c r="B134" s="413"/>
      <c r="F134" s="416"/>
      <c r="G134" s="416"/>
      <c r="H134" s="417"/>
      <c r="I134" s="417"/>
      <c r="J134" s="417"/>
      <c r="K134" s="417"/>
    </row>
    <row r="135" spans="1:11">
      <c r="A135" s="413"/>
      <c r="B135" s="413"/>
      <c r="F135" s="416"/>
      <c r="G135" s="416"/>
      <c r="H135" s="417"/>
      <c r="I135" s="417"/>
      <c r="J135" s="417"/>
      <c r="K135" s="417"/>
    </row>
    <row r="136" spans="1:11">
      <c r="A136" s="413"/>
      <c r="B136" s="413"/>
      <c r="F136" s="416"/>
      <c r="G136" s="416"/>
      <c r="H136" s="417"/>
      <c r="I136" s="417"/>
      <c r="J136" s="417"/>
      <c r="K136" s="417"/>
    </row>
    <row r="137" spans="1:11">
      <c r="A137" s="415" t="s">
        <v>465</v>
      </c>
      <c r="B137" s="413" t="s">
        <v>466</v>
      </c>
      <c r="F137" s="416">
        <v>0</v>
      </c>
      <c r="G137" s="416">
        <v>0</v>
      </c>
      <c r="H137" s="417">
        <v>0</v>
      </c>
      <c r="I137" s="417">
        <v>0</v>
      </c>
      <c r="J137" s="417">
        <v>0</v>
      </c>
      <c r="K137" s="417">
        <v>0</v>
      </c>
    </row>
    <row r="140" spans="1:11">
      <c r="A140" s="415" t="s">
        <v>166</v>
      </c>
      <c r="B140" s="414" t="s">
        <v>26</v>
      </c>
    </row>
    <row r="141" spans="1:11">
      <c r="A141" s="413" t="s">
        <v>420</v>
      </c>
      <c r="B141" s="413" t="s">
        <v>64</v>
      </c>
      <c r="F141" s="416">
        <v>14324.3</v>
      </c>
      <c r="G141" s="416">
        <v>18639</v>
      </c>
      <c r="H141" s="417">
        <v>791382</v>
      </c>
      <c r="I141" s="417">
        <v>350297</v>
      </c>
      <c r="J141" s="417">
        <v>391773</v>
      </c>
      <c r="K141" s="417">
        <v>749906</v>
      </c>
    </row>
    <row r="142" spans="1:11">
      <c r="A142" s="413" t="s">
        <v>425</v>
      </c>
      <c r="B142" s="413" t="s">
        <v>65</v>
      </c>
      <c r="F142" s="416">
        <v>394</v>
      </c>
      <c r="G142" s="416">
        <v>298</v>
      </c>
      <c r="H142" s="417">
        <v>203952</v>
      </c>
      <c r="I142" s="417">
        <v>10163</v>
      </c>
      <c r="J142" s="417">
        <v>380</v>
      </c>
      <c r="K142" s="417">
        <v>213735</v>
      </c>
    </row>
    <row r="143" spans="1:11">
      <c r="A143" s="413" t="s">
        <v>428</v>
      </c>
      <c r="B143" s="413" t="s">
        <v>66</v>
      </c>
      <c r="F143" s="416">
        <v>0</v>
      </c>
      <c r="G143" s="416">
        <v>0</v>
      </c>
      <c r="H143" s="417">
        <v>3810183</v>
      </c>
      <c r="I143" s="417">
        <v>0</v>
      </c>
      <c r="J143" s="417">
        <v>0</v>
      </c>
      <c r="K143" s="417">
        <v>3810183</v>
      </c>
    </row>
    <row r="144" spans="1:11">
      <c r="A144" s="413" t="s">
        <v>431</v>
      </c>
      <c r="B144" s="413" t="s">
        <v>67</v>
      </c>
      <c r="F144" s="416">
        <v>0</v>
      </c>
      <c r="G144" s="416">
        <v>0</v>
      </c>
      <c r="H144" s="417">
        <v>0</v>
      </c>
      <c r="I144" s="417">
        <v>0</v>
      </c>
      <c r="J144" s="417">
        <v>0</v>
      </c>
      <c r="K144" s="417">
        <v>0</v>
      </c>
    </row>
    <row r="145" spans="1:11">
      <c r="A145" s="413" t="s">
        <v>437</v>
      </c>
      <c r="B145" s="413" t="s">
        <v>68</v>
      </c>
      <c r="F145" s="416">
        <v>1220.5</v>
      </c>
      <c r="G145" s="416">
        <v>259</v>
      </c>
      <c r="H145" s="417">
        <v>91781</v>
      </c>
      <c r="I145" s="417">
        <v>35083</v>
      </c>
      <c r="J145" s="417">
        <v>0</v>
      </c>
      <c r="K145" s="417">
        <v>126864</v>
      </c>
    </row>
    <row r="146" spans="1:11">
      <c r="A146" s="413" t="s">
        <v>446</v>
      </c>
      <c r="B146" s="413" t="s">
        <v>69</v>
      </c>
      <c r="F146" s="416">
        <v>20750</v>
      </c>
      <c r="G146" s="416">
        <v>1330</v>
      </c>
      <c r="H146" s="417">
        <v>499271</v>
      </c>
      <c r="I146" s="417">
        <v>277104</v>
      </c>
      <c r="J146" s="417">
        <v>0</v>
      </c>
      <c r="K146" s="417">
        <v>776375</v>
      </c>
    </row>
    <row r="147" spans="1:11">
      <c r="A147" s="413" t="s">
        <v>449</v>
      </c>
      <c r="B147" s="413" t="s">
        <v>61</v>
      </c>
      <c r="F147" s="416">
        <v>9370</v>
      </c>
      <c r="G147" s="416">
        <v>0</v>
      </c>
      <c r="H147" s="417">
        <v>367823</v>
      </c>
      <c r="I147" s="417">
        <v>204142</v>
      </c>
      <c r="J147" s="417">
        <v>0</v>
      </c>
      <c r="K147" s="417">
        <v>571965</v>
      </c>
    </row>
    <row r="148" spans="1:11">
      <c r="A148" s="413" t="s">
        <v>450</v>
      </c>
      <c r="B148" s="413" t="s">
        <v>70</v>
      </c>
      <c r="F148" s="411" t="s">
        <v>73</v>
      </c>
      <c r="G148" s="411" t="s">
        <v>73</v>
      </c>
      <c r="H148" s="411" t="s">
        <v>73</v>
      </c>
      <c r="I148" s="411" t="s">
        <v>73</v>
      </c>
      <c r="J148" s="411" t="s">
        <v>73</v>
      </c>
      <c r="K148" s="417">
        <v>3430456</v>
      </c>
    </row>
    <row r="149" spans="1:11">
      <c r="A149" s="413" t="s">
        <v>465</v>
      </c>
      <c r="B149" s="413" t="s">
        <v>71</v>
      </c>
      <c r="F149" s="416">
        <v>0</v>
      </c>
      <c r="G149" s="416">
        <v>0</v>
      </c>
      <c r="H149" s="417">
        <v>0</v>
      </c>
      <c r="I149" s="417">
        <v>0</v>
      </c>
      <c r="J149" s="417">
        <v>0</v>
      </c>
      <c r="K149" s="417">
        <v>0</v>
      </c>
    </row>
    <row r="150" spans="1:11">
      <c r="A150" s="413" t="s">
        <v>408</v>
      </c>
      <c r="B150" s="413" t="s">
        <v>186</v>
      </c>
      <c r="F150" s="411" t="s">
        <v>73</v>
      </c>
      <c r="G150" s="411" t="s">
        <v>73</v>
      </c>
      <c r="H150" s="417">
        <v>3873849</v>
      </c>
      <c r="I150" s="417">
        <v>0</v>
      </c>
      <c r="J150" s="417">
        <v>3312625</v>
      </c>
      <c r="K150" s="417">
        <v>561224</v>
      </c>
    </row>
    <row r="151" spans="1:11" s="422" customFormat="1">
      <c r="A151" s="421"/>
      <c r="B151" s="421"/>
      <c r="H151" s="419"/>
      <c r="I151" s="419"/>
      <c r="J151" s="419"/>
      <c r="K151" s="419"/>
    </row>
    <row r="152" spans="1:11">
      <c r="A152" s="415" t="s">
        <v>467</v>
      </c>
      <c r="B152" s="413" t="s">
        <v>26</v>
      </c>
      <c r="F152" s="416">
        <v>46058.8</v>
      </c>
      <c r="G152" s="416">
        <v>20526</v>
      </c>
      <c r="H152" s="417">
        <v>9638241</v>
      </c>
      <c r="I152" s="417">
        <v>876789</v>
      </c>
      <c r="J152" s="417">
        <v>3704778</v>
      </c>
      <c r="K152" s="417">
        <v>10240708</v>
      </c>
    </row>
    <row r="154" spans="1:11">
      <c r="A154" s="413" t="s">
        <v>468</v>
      </c>
      <c r="B154" s="414" t="s">
        <v>28</v>
      </c>
      <c r="F154" s="416">
        <v>7.79</v>
      </c>
    </row>
    <row r="155" spans="1:11">
      <c r="A155" s="413" t="s">
        <v>469</v>
      </c>
      <c r="B155" s="414" t="s">
        <v>72</v>
      </c>
      <c r="F155" s="416">
        <v>83.45</v>
      </c>
    </row>
  </sheetData>
  <mergeCells count="7">
    <mergeCell ref="C11:G11"/>
    <mergeCell ref="D2:H2"/>
    <mergeCell ref="C5:G5"/>
    <mergeCell ref="C6:G6"/>
    <mergeCell ref="C7:G7"/>
    <mergeCell ref="C9:G9"/>
    <mergeCell ref="C10:G10"/>
  </mergeCells>
  <pageMargins left="0.7" right="0.7" top="0.75" bottom="0.75" header="0.3" footer="0.3"/>
  <pageSetup paperSize="0" orientation="portrait" horizontalDpi="0" verticalDpi="0" copie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topLeftCell="A124" workbookViewId="0">
      <selection activeCell="C161" sqref="C161"/>
    </sheetView>
  </sheetViews>
  <sheetFormatPr defaultRowHeight="15.75"/>
  <cols>
    <col min="1" max="1" width="7.140625" style="376" customWidth="1"/>
    <col min="2" max="2" width="41.85546875" style="376" bestFit="1" customWidth="1"/>
    <col min="3" max="3" width="7" style="376" customWidth="1"/>
    <col min="4" max="4" width="6.42578125" style="376" customWidth="1"/>
    <col min="5" max="5" width="9.42578125" style="376" customWidth="1"/>
    <col min="6" max="6" width="15" style="376" customWidth="1"/>
    <col min="7" max="11" width="19.7109375" style="376" customWidth="1"/>
    <col min="12" max="16384" width="9.140625" style="376"/>
  </cols>
  <sheetData>
    <row r="1" spans="1:11">
      <c r="A1" s="178"/>
      <c r="B1" s="178"/>
      <c r="C1" s="374"/>
      <c r="D1" s="375"/>
      <c r="E1" s="374"/>
      <c r="F1" s="374"/>
      <c r="G1" s="374"/>
      <c r="H1" s="374"/>
      <c r="I1" s="374"/>
      <c r="J1" s="374"/>
      <c r="K1" s="374"/>
    </row>
    <row r="2" spans="1:11">
      <c r="A2" s="178"/>
      <c r="B2" s="178"/>
      <c r="C2" s="178"/>
      <c r="D2" s="680" t="s">
        <v>371</v>
      </c>
      <c r="E2" s="680"/>
      <c r="F2" s="680"/>
      <c r="G2" s="680"/>
      <c r="H2" s="680"/>
      <c r="I2" s="178"/>
      <c r="J2" s="178"/>
      <c r="K2" s="178"/>
    </row>
    <row r="3" spans="1:11">
      <c r="A3" s="178"/>
      <c r="B3" s="181" t="s">
        <v>0</v>
      </c>
      <c r="C3" s="178"/>
      <c r="D3" s="178"/>
      <c r="E3" s="178"/>
      <c r="F3" s="178"/>
      <c r="G3" s="178"/>
      <c r="H3" s="178"/>
      <c r="I3" s="178"/>
      <c r="J3" s="178"/>
      <c r="K3" s="178"/>
    </row>
    <row r="5" spans="1:11">
      <c r="A5" s="178"/>
      <c r="B5" s="182" t="s">
        <v>40</v>
      </c>
      <c r="C5" s="682" t="s">
        <v>316</v>
      </c>
      <c r="D5" s="695"/>
      <c r="E5" s="695"/>
      <c r="F5" s="695"/>
      <c r="G5" s="763"/>
      <c r="H5" s="178"/>
      <c r="I5" s="178"/>
      <c r="J5" s="178"/>
      <c r="K5" s="178"/>
    </row>
    <row r="6" spans="1:11">
      <c r="A6" s="178"/>
      <c r="B6" s="182" t="s">
        <v>3</v>
      </c>
      <c r="C6" s="685" t="s">
        <v>567</v>
      </c>
      <c r="D6" s="686"/>
      <c r="E6" s="686"/>
      <c r="F6" s="686"/>
      <c r="G6" s="687"/>
      <c r="H6" s="178"/>
      <c r="I6" s="178"/>
      <c r="J6" s="178"/>
      <c r="K6" s="178"/>
    </row>
    <row r="7" spans="1:11">
      <c r="A7" s="178"/>
      <c r="B7" s="182" t="s">
        <v>4</v>
      </c>
      <c r="C7" s="764">
        <v>3367</v>
      </c>
      <c r="D7" s="765"/>
      <c r="E7" s="765"/>
      <c r="F7" s="765"/>
      <c r="G7" s="766"/>
      <c r="H7" s="178"/>
      <c r="I7" s="178"/>
      <c r="J7" s="178"/>
      <c r="K7" s="178"/>
    </row>
    <row r="9" spans="1:11">
      <c r="A9" s="178"/>
      <c r="B9" s="182" t="s">
        <v>1</v>
      </c>
      <c r="C9" s="682" t="s">
        <v>568</v>
      </c>
      <c r="D9" s="695"/>
      <c r="E9" s="695"/>
      <c r="F9" s="695"/>
      <c r="G9" s="763"/>
      <c r="H9" s="178"/>
      <c r="I9" s="178"/>
      <c r="J9" s="178"/>
      <c r="K9" s="178"/>
    </row>
    <row r="10" spans="1:11">
      <c r="A10" s="178"/>
      <c r="B10" s="182" t="s">
        <v>2</v>
      </c>
      <c r="C10" s="677" t="s">
        <v>569</v>
      </c>
      <c r="D10" s="761"/>
      <c r="E10" s="761"/>
      <c r="F10" s="761"/>
      <c r="G10" s="762"/>
      <c r="H10" s="178"/>
      <c r="I10" s="178"/>
      <c r="J10" s="178"/>
      <c r="K10" s="178"/>
    </row>
    <row r="11" spans="1:11">
      <c r="A11" s="178"/>
      <c r="B11" s="182" t="s">
        <v>32</v>
      </c>
      <c r="C11" s="682" t="s">
        <v>570</v>
      </c>
      <c r="D11" s="695"/>
      <c r="E11" s="695"/>
      <c r="F11" s="695"/>
      <c r="G11" s="695"/>
      <c r="H11" s="178"/>
      <c r="I11" s="178"/>
      <c r="J11" s="178"/>
      <c r="K11" s="178"/>
    </row>
    <row r="12" spans="1:11">
      <c r="A12" s="178"/>
      <c r="B12" s="182"/>
      <c r="C12" s="182"/>
      <c r="D12" s="182"/>
      <c r="E12" s="182"/>
      <c r="F12" s="182"/>
      <c r="G12" s="182"/>
      <c r="H12" s="178"/>
      <c r="I12" s="178"/>
      <c r="J12" s="178"/>
      <c r="K12" s="178"/>
    </row>
    <row r="13" spans="1:11">
      <c r="A13" s="178"/>
      <c r="B13" s="696"/>
      <c r="C13" s="696"/>
      <c r="D13" s="696"/>
      <c r="E13" s="696"/>
      <c r="F13" s="696"/>
      <c r="G13" s="696"/>
      <c r="H13" s="696"/>
      <c r="I13" s="374"/>
      <c r="J13" s="178"/>
      <c r="K13" s="178"/>
    </row>
    <row r="14" spans="1:11">
      <c r="A14" s="178"/>
      <c r="B14" s="183"/>
      <c r="C14" s="178"/>
      <c r="D14" s="178"/>
      <c r="E14" s="178"/>
      <c r="F14" s="178"/>
      <c r="G14" s="178"/>
      <c r="H14" s="178"/>
      <c r="I14" s="178"/>
      <c r="J14" s="178"/>
      <c r="K14" s="178"/>
    </row>
    <row r="15" spans="1:11">
      <c r="A15" s="178"/>
      <c r="B15" s="183"/>
      <c r="C15" s="178"/>
      <c r="D15" s="178"/>
      <c r="E15" s="178"/>
      <c r="F15" s="178"/>
      <c r="G15" s="178"/>
      <c r="H15" s="178"/>
      <c r="I15" s="178"/>
      <c r="J15" s="178"/>
      <c r="K15" s="178"/>
    </row>
    <row r="16" spans="1:11" ht="26.25">
      <c r="A16" s="767" t="s">
        <v>181</v>
      </c>
      <c r="B16" s="767"/>
      <c r="C16" s="374"/>
      <c r="D16" s="374"/>
      <c r="E16" s="374"/>
      <c r="F16" s="184" t="s">
        <v>9</v>
      </c>
      <c r="G16" s="184" t="s">
        <v>37</v>
      </c>
      <c r="H16" s="184" t="s">
        <v>29</v>
      </c>
      <c r="I16" s="184" t="s">
        <v>30</v>
      </c>
      <c r="J16" s="184" t="s">
        <v>33</v>
      </c>
      <c r="K16" s="184" t="s">
        <v>34</v>
      </c>
    </row>
    <row r="17" spans="1:11">
      <c r="A17" s="185" t="s">
        <v>184</v>
      </c>
      <c r="B17" s="181" t="s">
        <v>182</v>
      </c>
      <c r="C17" s="178"/>
      <c r="D17" s="178"/>
      <c r="E17" s="178"/>
      <c r="F17" s="178"/>
      <c r="G17" s="178"/>
      <c r="H17" s="178"/>
      <c r="I17" s="178"/>
      <c r="J17" s="178"/>
      <c r="K17" s="178"/>
    </row>
    <row r="18" spans="1:11">
      <c r="A18" s="182" t="s">
        <v>185</v>
      </c>
      <c r="B18" s="186" t="s">
        <v>183</v>
      </c>
      <c r="C18" s="178"/>
      <c r="D18" s="178"/>
      <c r="E18" s="178"/>
      <c r="F18" s="187" t="s">
        <v>73</v>
      </c>
      <c r="G18" s="187" t="s">
        <v>73</v>
      </c>
      <c r="H18" s="188">
        <v>2208985</v>
      </c>
      <c r="I18" s="189">
        <v>0</v>
      </c>
      <c r="J18" s="188">
        <v>0</v>
      </c>
      <c r="K18" s="190">
        <v>2208985</v>
      </c>
    </row>
    <row r="19" spans="1:11" ht="42.75" customHeight="1">
      <c r="A19" s="767" t="s">
        <v>8</v>
      </c>
      <c r="B19" s="767"/>
      <c r="C19" s="374"/>
      <c r="D19" s="374"/>
      <c r="E19" s="374"/>
      <c r="F19" s="184" t="s">
        <v>9</v>
      </c>
      <c r="G19" s="184" t="s">
        <v>37</v>
      </c>
      <c r="H19" s="184" t="s">
        <v>29</v>
      </c>
      <c r="I19" s="184" t="s">
        <v>30</v>
      </c>
      <c r="J19" s="184" t="s">
        <v>33</v>
      </c>
      <c r="K19" s="184" t="s">
        <v>34</v>
      </c>
    </row>
    <row r="20" spans="1:11">
      <c r="A20" s="185" t="s">
        <v>74</v>
      </c>
      <c r="B20" s="181" t="s">
        <v>41</v>
      </c>
      <c r="C20" s="178"/>
      <c r="D20" s="178"/>
      <c r="E20" s="178"/>
      <c r="F20" s="178"/>
      <c r="G20" s="178"/>
      <c r="H20" s="178"/>
      <c r="I20" s="178"/>
      <c r="J20" s="178"/>
      <c r="K20" s="178"/>
    </row>
    <row r="21" spans="1:11">
      <c r="A21" s="182" t="s">
        <v>75</v>
      </c>
      <c r="B21" s="186" t="s">
        <v>42</v>
      </c>
      <c r="C21" s="178"/>
      <c r="D21" s="178"/>
      <c r="E21" s="178"/>
      <c r="F21" s="187">
        <v>17114.8</v>
      </c>
      <c r="G21" s="187">
        <v>285670</v>
      </c>
      <c r="H21" s="188">
        <v>1287982.9990625395</v>
      </c>
      <c r="I21" s="189">
        <v>649665.3059928295</v>
      </c>
      <c r="J21" s="188">
        <v>261049</v>
      </c>
      <c r="K21" s="190">
        <v>1676599.3050553699</v>
      </c>
    </row>
    <row r="22" spans="1:11">
      <c r="A22" s="182" t="s">
        <v>76</v>
      </c>
      <c r="B22" s="178" t="s">
        <v>6</v>
      </c>
      <c r="C22" s="178"/>
      <c r="D22" s="178"/>
      <c r="E22" s="178"/>
      <c r="F22" s="187">
        <v>825.48</v>
      </c>
      <c r="G22" s="187">
        <v>2113</v>
      </c>
      <c r="H22" s="188">
        <v>44014.870542775156</v>
      </c>
      <c r="I22" s="189">
        <v>18293.470609206812</v>
      </c>
      <c r="J22" s="188">
        <v>0</v>
      </c>
      <c r="K22" s="190">
        <v>62308.341151981986</v>
      </c>
    </row>
    <row r="23" spans="1:11">
      <c r="A23" s="182" t="s">
        <v>77</v>
      </c>
      <c r="B23" s="178" t="s">
        <v>43</v>
      </c>
      <c r="C23" s="178"/>
      <c r="D23" s="178"/>
      <c r="E23" s="178"/>
      <c r="F23" s="187">
        <v>0</v>
      </c>
      <c r="G23" s="187">
        <v>0</v>
      </c>
      <c r="H23" s="188">
        <v>0</v>
      </c>
      <c r="I23" s="189">
        <v>0</v>
      </c>
      <c r="J23" s="188">
        <v>0</v>
      </c>
      <c r="K23" s="190">
        <v>0</v>
      </c>
    </row>
    <row r="24" spans="1:11">
      <c r="A24" s="182" t="s">
        <v>78</v>
      </c>
      <c r="B24" s="178" t="s">
        <v>44</v>
      </c>
      <c r="C24" s="178"/>
      <c r="D24" s="178"/>
      <c r="E24" s="178"/>
      <c r="F24" s="187">
        <v>0</v>
      </c>
      <c r="G24" s="187">
        <v>0</v>
      </c>
      <c r="H24" s="188">
        <v>0</v>
      </c>
      <c r="I24" s="189">
        <v>0</v>
      </c>
      <c r="J24" s="188">
        <v>0</v>
      </c>
      <c r="K24" s="190">
        <v>0</v>
      </c>
    </row>
    <row r="25" spans="1:11">
      <c r="A25" s="182" t="s">
        <v>79</v>
      </c>
      <c r="B25" s="178" t="s">
        <v>5</v>
      </c>
      <c r="C25" s="178"/>
      <c r="D25" s="178"/>
      <c r="E25" s="178"/>
      <c r="F25" s="187">
        <v>274.5</v>
      </c>
      <c r="G25" s="187">
        <v>2587</v>
      </c>
      <c r="H25" s="188">
        <v>11875.456793269632</v>
      </c>
      <c r="I25" s="189">
        <v>5990.0420091100295</v>
      </c>
      <c r="J25" s="188">
        <v>0</v>
      </c>
      <c r="K25" s="190">
        <v>17865.498802379661</v>
      </c>
    </row>
    <row r="26" spans="1:11">
      <c r="A26" s="182" t="s">
        <v>80</v>
      </c>
      <c r="B26" s="178" t="s">
        <v>45</v>
      </c>
      <c r="C26" s="178"/>
      <c r="D26" s="178"/>
      <c r="E26" s="178"/>
      <c r="F26" s="187">
        <v>0</v>
      </c>
      <c r="G26" s="187">
        <v>0</v>
      </c>
      <c r="H26" s="188">
        <v>0</v>
      </c>
      <c r="I26" s="189">
        <v>0</v>
      </c>
      <c r="J26" s="188">
        <v>0</v>
      </c>
      <c r="K26" s="190">
        <v>0</v>
      </c>
    </row>
    <row r="27" spans="1:11">
      <c r="A27" s="182" t="s">
        <v>81</v>
      </c>
      <c r="B27" s="178" t="s">
        <v>46</v>
      </c>
      <c r="C27" s="178"/>
      <c r="D27" s="178"/>
      <c r="E27" s="178"/>
      <c r="F27" s="187">
        <v>0</v>
      </c>
      <c r="G27" s="187">
        <v>0</v>
      </c>
      <c r="H27" s="188">
        <v>0</v>
      </c>
      <c r="I27" s="189">
        <v>0</v>
      </c>
      <c r="J27" s="188">
        <v>0</v>
      </c>
      <c r="K27" s="190">
        <v>0</v>
      </c>
    </row>
    <row r="28" spans="1:11">
      <c r="A28" s="182" t="s">
        <v>82</v>
      </c>
      <c r="B28" s="178" t="s">
        <v>47</v>
      </c>
      <c r="C28" s="178"/>
      <c r="D28" s="178"/>
      <c r="E28" s="178"/>
      <c r="F28" s="187">
        <v>6270</v>
      </c>
      <c r="G28" s="187">
        <v>5430</v>
      </c>
      <c r="H28" s="188">
        <v>264603.60800022288</v>
      </c>
      <c r="I28" s="189">
        <v>43046.60141102218</v>
      </c>
      <c r="J28" s="188">
        <v>49896</v>
      </c>
      <c r="K28" s="190">
        <v>257754.20941124504</v>
      </c>
    </row>
    <row r="29" spans="1:11">
      <c r="A29" s="182" t="s">
        <v>83</v>
      </c>
      <c r="B29" s="178" t="s">
        <v>48</v>
      </c>
      <c r="C29" s="178"/>
      <c r="D29" s="178"/>
      <c r="E29" s="178"/>
      <c r="F29" s="187">
        <v>4695.74</v>
      </c>
      <c r="G29" s="187">
        <v>30343</v>
      </c>
      <c r="H29" s="188">
        <v>1591790.0102952337</v>
      </c>
      <c r="I29" s="189">
        <v>182702.27622222179</v>
      </c>
      <c r="J29" s="188">
        <v>0</v>
      </c>
      <c r="K29" s="190">
        <v>1774492.2865174552</v>
      </c>
    </row>
    <row r="30" spans="1:11">
      <c r="A30" s="182" t="s">
        <v>84</v>
      </c>
      <c r="B30" s="729" t="s">
        <v>571</v>
      </c>
      <c r="C30" s="768"/>
      <c r="D30" s="769"/>
      <c r="E30" s="178"/>
      <c r="F30" s="187">
        <v>1492.98</v>
      </c>
      <c r="G30" s="187">
        <v>13967</v>
      </c>
      <c r="H30" s="188">
        <v>41010.113350976404</v>
      </c>
      <c r="I30" s="189">
        <v>20685.71390954285</v>
      </c>
      <c r="J30" s="188">
        <v>0</v>
      </c>
      <c r="K30" s="190">
        <v>61695.827260519254</v>
      </c>
    </row>
    <row r="31" spans="1:11">
      <c r="A31" s="182" t="s">
        <v>133</v>
      </c>
      <c r="B31" s="729"/>
      <c r="C31" s="768"/>
      <c r="D31" s="769"/>
      <c r="E31" s="178"/>
      <c r="F31" s="187"/>
      <c r="G31" s="187"/>
      <c r="H31" s="188"/>
      <c r="I31" s="189">
        <v>0</v>
      </c>
      <c r="J31" s="188"/>
      <c r="K31" s="190">
        <v>0</v>
      </c>
    </row>
    <row r="32" spans="1:11">
      <c r="A32" s="182" t="s">
        <v>134</v>
      </c>
      <c r="B32" s="332"/>
      <c r="C32" s="377"/>
      <c r="D32" s="378"/>
      <c r="E32" s="178"/>
      <c r="F32" s="187"/>
      <c r="G32" s="191" t="s">
        <v>85</v>
      </c>
      <c r="H32" s="188"/>
      <c r="I32" s="189">
        <v>0</v>
      </c>
      <c r="J32" s="188"/>
      <c r="K32" s="190">
        <v>0</v>
      </c>
    </row>
    <row r="33" spans="1:11">
      <c r="A33" s="182" t="s">
        <v>135</v>
      </c>
      <c r="B33" s="332"/>
      <c r="C33" s="377"/>
      <c r="D33" s="378"/>
      <c r="E33" s="178"/>
      <c r="F33" s="187"/>
      <c r="G33" s="191" t="s">
        <v>85</v>
      </c>
      <c r="H33" s="188"/>
      <c r="I33" s="189">
        <v>0</v>
      </c>
      <c r="J33" s="188"/>
      <c r="K33" s="190">
        <v>0</v>
      </c>
    </row>
    <row r="34" spans="1:11">
      <c r="A34" s="182" t="s">
        <v>136</v>
      </c>
      <c r="B34" s="729"/>
      <c r="C34" s="768"/>
      <c r="D34" s="769"/>
      <c r="E34" s="178"/>
      <c r="F34" s="187"/>
      <c r="G34" s="191" t="s">
        <v>85</v>
      </c>
      <c r="H34" s="188"/>
      <c r="I34" s="189">
        <v>0</v>
      </c>
      <c r="J34" s="188"/>
      <c r="K34" s="190">
        <v>0</v>
      </c>
    </row>
    <row r="35" spans="1:11">
      <c r="A35" s="178"/>
      <c r="B35" s="178"/>
      <c r="C35" s="178"/>
      <c r="D35" s="178"/>
      <c r="E35" s="178"/>
      <c r="F35" s="178"/>
      <c r="G35" s="178"/>
      <c r="H35" s="178"/>
      <c r="I35" s="178"/>
      <c r="J35" s="178"/>
      <c r="K35" s="195"/>
    </row>
    <row r="36" spans="1:11">
      <c r="A36" s="185" t="s">
        <v>137</v>
      </c>
      <c r="B36" s="181" t="s">
        <v>138</v>
      </c>
      <c r="C36" s="178"/>
      <c r="D36" s="178"/>
      <c r="E36" s="181" t="s">
        <v>7</v>
      </c>
      <c r="F36" s="196">
        <v>30673.499999999996</v>
      </c>
      <c r="G36" s="196">
        <v>340110</v>
      </c>
      <c r="H36" s="190">
        <v>3241277.0580450171</v>
      </c>
      <c r="I36" s="190">
        <v>920383.4101539331</v>
      </c>
      <c r="J36" s="190">
        <v>310945</v>
      </c>
      <c r="K36" s="190">
        <v>3850715.4681989513</v>
      </c>
    </row>
    <row r="37" spans="1:11" ht="16.5" thickBot="1">
      <c r="A37" s="178"/>
      <c r="B37" s="181"/>
      <c r="C37" s="178"/>
      <c r="D37" s="178"/>
      <c r="E37" s="178"/>
      <c r="F37" s="197"/>
      <c r="G37" s="197"/>
      <c r="H37" s="198"/>
      <c r="I37" s="198"/>
      <c r="J37" s="198"/>
      <c r="K37" s="199"/>
    </row>
    <row r="38" spans="1:11" ht="26.25">
      <c r="A38" s="178"/>
      <c r="B38" s="178"/>
      <c r="C38" s="178"/>
      <c r="D38" s="178"/>
      <c r="E38" s="178"/>
      <c r="F38" s="184" t="s">
        <v>9</v>
      </c>
      <c r="G38" s="184" t="s">
        <v>37</v>
      </c>
      <c r="H38" s="184" t="s">
        <v>29</v>
      </c>
      <c r="I38" s="184" t="s">
        <v>30</v>
      </c>
      <c r="J38" s="184" t="s">
        <v>33</v>
      </c>
      <c r="K38" s="184" t="s">
        <v>34</v>
      </c>
    </row>
    <row r="39" spans="1:11">
      <c r="A39" s="185" t="s">
        <v>86</v>
      </c>
      <c r="B39" s="181" t="s">
        <v>49</v>
      </c>
      <c r="C39" s="178"/>
      <c r="D39" s="178"/>
      <c r="E39" s="178"/>
      <c r="F39" s="178"/>
      <c r="G39" s="178"/>
      <c r="H39" s="178"/>
      <c r="I39" s="178"/>
      <c r="J39" s="178"/>
      <c r="K39" s="178"/>
    </row>
    <row r="40" spans="1:11">
      <c r="A40" s="182" t="s">
        <v>87</v>
      </c>
      <c r="B40" s="178" t="s">
        <v>31</v>
      </c>
      <c r="C40" s="178"/>
      <c r="D40" s="178"/>
      <c r="E40" s="178"/>
      <c r="F40" s="187">
        <v>220.87999999999997</v>
      </c>
      <c r="G40" s="187">
        <v>236.70000000000002</v>
      </c>
      <c r="H40" s="188">
        <v>22034562.857402455</v>
      </c>
      <c r="I40" s="189">
        <v>0</v>
      </c>
      <c r="J40" s="188">
        <v>0</v>
      </c>
      <c r="K40" s="190">
        <v>22034562.857402455</v>
      </c>
    </row>
    <row r="41" spans="1:11">
      <c r="A41" s="182" t="s">
        <v>88</v>
      </c>
      <c r="B41" s="702" t="s">
        <v>50</v>
      </c>
      <c r="C41" s="702"/>
      <c r="D41" s="178"/>
      <c r="E41" s="178"/>
      <c r="F41" s="187">
        <v>16573.07</v>
      </c>
      <c r="G41" s="187">
        <v>1577</v>
      </c>
      <c r="H41" s="188">
        <v>596043.76755862613</v>
      </c>
      <c r="I41" s="189">
        <v>0</v>
      </c>
      <c r="J41" s="188">
        <v>0</v>
      </c>
      <c r="K41" s="190">
        <v>596043.76755862613</v>
      </c>
    </row>
    <row r="42" spans="1:11">
      <c r="A42" s="182" t="s">
        <v>89</v>
      </c>
      <c r="B42" s="186" t="s">
        <v>11</v>
      </c>
      <c r="C42" s="178"/>
      <c r="D42" s="178"/>
      <c r="E42" s="178"/>
      <c r="F42" s="187">
        <v>30932.54</v>
      </c>
      <c r="G42" s="187">
        <v>1864</v>
      </c>
      <c r="H42" s="188">
        <v>1584100.0479112458</v>
      </c>
      <c r="I42" s="189">
        <v>0</v>
      </c>
      <c r="J42" s="188">
        <v>0</v>
      </c>
      <c r="K42" s="190">
        <v>1584100.0479112458</v>
      </c>
    </row>
    <row r="43" spans="1:11">
      <c r="A43" s="182" t="s">
        <v>90</v>
      </c>
      <c r="B43" s="200" t="s">
        <v>10</v>
      </c>
      <c r="C43" s="201"/>
      <c r="D43" s="201"/>
      <c r="E43" s="178"/>
      <c r="F43" s="187">
        <v>1478</v>
      </c>
      <c r="G43" s="187">
        <v>63</v>
      </c>
      <c r="H43" s="188">
        <v>80139.078949327246</v>
      </c>
      <c r="I43" s="189">
        <v>0</v>
      </c>
      <c r="J43" s="188">
        <v>0</v>
      </c>
      <c r="K43" s="190">
        <v>80139.078949327246</v>
      </c>
    </row>
    <row r="44" spans="1:11">
      <c r="A44" s="182" t="s">
        <v>91</v>
      </c>
      <c r="B44" s="200"/>
      <c r="C44" s="201"/>
      <c r="D44" s="201"/>
      <c r="E44" s="178"/>
      <c r="F44" s="379"/>
      <c r="G44" s="379"/>
      <c r="H44" s="380"/>
      <c r="I44" s="380"/>
      <c r="J44" s="380"/>
      <c r="K44" s="381"/>
    </row>
    <row r="45" spans="1:11">
      <c r="A45" s="182" t="s">
        <v>139</v>
      </c>
      <c r="B45" s="200"/>
      <c r="C45" s="201"/>
      <c r="D45" s="201"/>
      <c r="E45" s="178"/>
      <c r="F45" s="379"/>
      <c r="G45" s="379"/>
      <c r="H45" s="380"/>
      <c r="I45" s="380"/>
      <c r="J45" s="380"/>
      <c r="K45" s="381"/>
    </row>
    <row r="46" spans="1:11">
      <c r="A46" s="182" t="s">
        <v>140</v>
      </c>
      <c r="B46" s="200"/>
      <c r="C46" s="201"/>
      <c r="D46" s="201"/>
      <c r="E46" s="178"/>
      <c r="F46" s="379"/>
      <c r="G46" s="379"/>
      <c r="H46" s="380"/>
      <c r="I46" s="380"/>
      <c r="J46" s="380"/>
      <c r="K46" s="381"/>
    </row>
    <row r="47" spans="1:11">
      <c r="A47" s="182" t="s">
        <v>141</v>
      </c>
      <c r="B47" s="200"/>
      <c r="C47" s="201"/>
      <c r="D47" s="201"/>
      <c r="E47" s="178"/>
      <c r="F47" s="379"/>
      <c r="G47" s="379"/>
      <c r="H47" s="380"/>
      <c r="I47" s="380"/>
      <c r="J47" s="380"/>
      <c r="K47" s="381"/>
    </row>
    <row r="49" spans="1:11">
      <c r="A49" s="185" t="s">
        <v>142</v>
      </c>
      <c r="B49" s="181" t="s">
        <v>143</v>
      </c>
      <c r="C49" s="178"/>
      <c r="D49" s="178"/>
      <c r="E49" s="181" t="s">
        <v>7</v>
      </c>
      <c r="F49" s="382">
        <v>49204.490000000005</v>
      </c>
      <c r="G49" s="382">
        <v>3740.7</v>
      </c>
      <c r="H49" s="190">
        <v>24294845.751821656</v>
      </c>
      <c r="I49" s="190">
        <v>0</v>
      </c>
      <c r="J49" s="190">
        <v>0</v>
      </c>
      <c r="K49" s="190">
        <v>24294845.751821656</v>
      </c>
    </row>
    <row r="50" spans="1:11" ht="16.5" thickBot="1">
      <c r="A50" s="178"/>
      <c r="B50" s="178"/>
      <c r="C50" s="178"/>
      <c r="D50" s="178"/>
      <c r="E50" s="178"/>
      <c r="F50" s="178"/>
      <c r="G50" s="206"/>
      <c r="H50" s="206"/>
      <c r="I50" s="206"/>
      <c r="J50" s="206"/>
      <c r="K50" s="206"/>
    </row>
    <row r="51" spans="1:11" ht="26.25">
      <c r="A51" s="178"/>
      <c r="B51" s="178"/>
      <c r="C51" s="178"/>
      <c r="D51" s="178"/>
      <c r="E51" s="178"/>
      <c r="F51" s="184" t="s">
        <v>9</v>
      </c>
      <c r="G51" s="184" t="s">
        <v>37</v>
      </c>
      <c r="H51" s="184" t="s">
        <v>29</v>
      </c>
      <c r="I51" s="184" t="s">
        <v>30</v>
      </c>
      <c r="J51" s="184" t="s">
        <v>33</v>
      </c>
      <c r="K51" s="184" t="s">
        <v>34</v>
      </c>
    </row>
    <row r="52" spans="1:11" ht="15.75" customHeight="1">
      <c r="A52" s="185" t="s">
        <v>92</v>
      </c>
      <c r="B52" s="704" t="s">
        <v>38</v>
      </c>
      <c r="C52" s="704"/>
      <c r="D52" s="178"/>
      <c r="E52" s="178"/>
      <c r="F52" s="178"/>
      <c r="G52" s="178"/>
      <c r="H52" s="178"/>
      <c r="I52" s="178"/>
      <c r="J52" s="178"/>
      <c r="K52" s="178"/>
    </row>
    <row r="53" spans="1:11">
      <c r="A53" s="182" t="s">
        <v>51</v>
      </c>
      <c r="B53" s="383" t="s">
        <v>572</v>
      </c>
      <c r="C53" s="384"/>
      <c r="D53" s="385"/>
      <c r="E53" s="178"/>
      <c r="F53" s="187">
        <v>0</v>
      </c>
      <c r="G53" s="187">
        <v>0</v>
      </c>
      <c r="H53" s="188">
        <v>1424185</v>
      </c>
      <c r="I53" s="189">
        <v>0</v>
      </c>
      <c r="J53" s="188">
        <v>812374</v>
      </c>
      <c r="K53" s="190">
        <v>611811</v>
      </c>
    </row>
    <row r="54" spans="1:11">
      <c r="A54" s="182" t="s">
        <v>93</v>
      </c>
      <c r="B54" s="386" t="s">
        <v>573</v>
      </c>
      <c r="C54" s="387"/>
      <c r="D54" s="388"/>
      <c r="E54" s="178"/>
      <c r="F54" s="187">
        <v>0</v>
      </c>
      <c r="G54" s="187">
        <v>0</v>
      </c>
      <c r="H54" s="188">
        <v>386415</v>
      </c>
      <c r="I54" s="189">
        <v>0</v>
      </c>
      <c r="J54" s="188">
        <v>0</v>
      </c>
      <c r="K54" s="190">
        <v>386415</v>
      </c>
    </row>
    <row r="55" spans="1:11">
      <c r="A55" s="182" t="s">
        <v>94</v>
      </c>
      <c r="B55" s="383" t="s">
        <v>574</v>
      </c>
      <c r="C55" s="384"/>
      <c r="D55" s="385"/>
      <c r="E55" s="178"/>
      <c r="F55" s="187">
        <v>0</v>
      </c>
      <c r="G55" s="187">
        <v>0</v>
      </c>
      <c r="H55" s="188">
        <v>144091</v>
      </c>
      <c r="I55" s="189">
        <v>0</v>
      </c>
      <c r="J55" s="188">
        <v>0</v>
      </c>
      <c r="K55" s="190">
        <v>144091</v>
      </c>
    </row>
    <row r="56" spans="1:11">
      <c r="A56" s="182" t="s">
        <v>95</v>
      </c>
      <c r="B56" s="383" t="s">
        <v>575</v>
      </c>
      <c r="C56" s="384"/>
      <c r="D56" s="385"/>
      <c r="E56" s="178"/>
      <c r="F56" s="187">
        <v>0</v>
      </c>
      <c r="G56" s="187">
        <v>0</v>
      </c>
      <c r="H56" s="188">
        <v>429257</v>
      </c>
      <c r="I56" s="189">
        <v>0</v>
      </c>
      <c r="J56" s="188">
        <v>0</v>
      </c>
      <c r="K56" s="190">
        <v>429257</v>
      </c>
    </row>
    <row r="57" spans="1:11">
      <c r="A57" s="182" t="s">
        <v>96</v>
      </c>
      <c r="B57" s="386" t="s">
        <v>576</v>
      </c>
      <c r="C57" s="387"/>
      <c r="D57" s="388"/>
      <c r="E57" s="178"/>
      <c r="F57" s="187">
        <v>12</v>
      </c>
      <c r="G57" s="187">
        <v>4</v>
      </c>
      <c r="H57" s="188">
        <v>75806.739399058424</v>
      </c>
      <c r="I57" s="189">
        <v>0</v>
      </c>
      <c r="J57" s="188">
        <v>0</v>
      </c>
      <c r="K57" s="190">
        <v>75806.739399058424</v>
      </c>
    </row>
    <row r="58" spans="1:11">
      <c r="A58" s="182" t="s">
        <v>97</v>
      </c>
      <c r="B58" s="329" t="s">
        <v>577</v>
      </c>
      <c r="C58" s="330"/>
      <c r="D58" s="331"/>
      <c r="E58" s="178"/>
      <c r="F58" s="187">
        <v>0</v>
      </c>
      <c r="G58" s="187">
        <v>0</v>
      </c>
      <c r="H58" s="188">
        <v>91675</v>
      </c>
      <c r="I58" s="189">
        <v>0</v>
      </c>
      <c r="J58" s="188">
        <v>0</v>
      </c>
      <c r="K58" s="190">
        <v>91675</v>
      </c>
    </row>
    <row r="59" spans="1:11">
      <c r="A59" s="182" t="s">
        <v>98</v>
      </c>
      <c r="B59" s="329" t="s">
        <v>578</v>
      </c>
      <c r="C59" s="330"/>
      <c r="D59" s="331"/>
      <c r="E59" s="178"/>
      <c r="F59" s="187">
        <v>2618.1999999999998</v>
      </c>
      <c r="G59" s="187">
        <v>555</v>
      </c>
      <c r="H59" s="188">
        <v>111731.62782293785</v>
      </c>
      <c r="I59" s="189">
        <v>0</v>
      </c>
      <c r="J59" s="188">
        <v>0</v>
      </c>
      <c r="K59" s="190">
        <v>111731.62782293785</v>
      </c>
    </row>
    <row r="60" spans="1:11">
      <c r="A60" s="182" t="s">
        <v>99</v>
      </c>
      <c r="B60" s="706" t="s">
        <v>579</v>
      </c>
      <c r="C60" s="707"/>
      <c r="D60" s="693"/>
      <c r="E60" s="178"/>
      <c r="F60" s="187">
        <v>0</v>
      </c>
      <c r="G60" s="187">
        <v>0</v>
      </c>
      <c r="H60" s="188">
        <v>1358387</v>
      </c>
      <c r="I60" s="189">
        <v>0</v>
      </c>
      <c r="J60" s="188">
        <v>0</v>
      </c>
      <c r="K60" s="190">
        <v>1358387</v>
      </c>
    </row>
    <row r="61" spans="1:11">
      <c r="A61" s="182" t="s">
        <v>100</v>
      </c>
      <c r="B61" s="706" t="s">
        <v>580</v>
      </c>
      <c r="C61" s="707"/>
      <c r="D61" s="693"/>
      <c r="E61" s="178"/>
      <c r="F61" s="187">
        <v>124.8</v>
      </c>
      <c r="G61" s="187">
        <v>500</v>
      </c>
      <c r="H61" s="188">
        <v>81335</v>
      </c>
      <c r="I61" s="189">
        <v>0</v>
      </c>
      <c r="J61" s="188">
        <v>0</v>
      </c>
      <c r="K61" s="190">
        <v>81335</v>
      </c>
    </row>
    <row r="62" spans="1:11">
      <c r="A62" s="182" t="s">
        <v>101</v>
      </c>
      <c r="B62" s="389"/>
      <c r="C62" s="389"/>
      <c r="D62" s="389"/>
      <c r="E62" s="178"/>
      <c r="F62" s="379"/>
      <c r="G62" s="379"/>
      <c r="H62" s="380"/>
      <c r="I62" s="189"/>
      <c r="J62" s="380"/>
      <c r="K62" s="381"/>
    </row>
    <row r="63" spans="1:11">
      <c r="A63" s="182"/>
      <c r="B63" s="178"/>
      <c r="C63" s="178"/>
      <c r="D63" s="178"/>
      <c r="E63" s="178"/>
      <c r="F63" s="178"/>
      <c r="G63" s="178"/>
      <c r="H63" s="178"/>
      <c r="I63" s="212"/>
      <c r="J63" s="178"/>
      <c r="K63" s="178"/>
    </row>
    <row r="64" spans="1:11">
      <c r="A64" s="182" t="s">
        <v>144</v>
      </c>
      <c r="B64" s="181" t="s">
        <v>145</v>
      </c>
      <c r="C64" s="178"/>
      <c r="D64" s="178"/>
      <c r="E64" s="181" t="s">
        <v>7</v>
      </c>
      <c r="F64" s="196">
        <v>2755</v>
      </c>
      <c r="G64" s="196">
        <v>1059</v>
      </c>
      <c r="H64" s="190">
        <v>4102883.3672219962</v>
      </c>
      <c r="I64" s="190">
        <v>0</v>
      </c>
      <c r="J64" s="190">
        <v>812374</v>
      </c>
      <c r="K64" s="190">
        <v>3290509.3672219962</v>
      </c>
    </row>
    <row r="65" spans="1:11">
      <c r="A65" s="178"/>
      <c r="B65" s="178"/>
      <c r="C65" s="178"/>
      <c r="D65" s="178"/>
      <c r="E65" s="178"/>
      <c r="F65" s="213"/>
      <c r="G65" s="213"/>
      <c r="H65" s="213"/>
      <c r="I65" s="213"/>
      <c r="J65" s="213"/>
      <c r="K65" s="213"/>
    </row>
    <row r="66" spans="1:11" ht="26.25">
      <c r="A66" s="178"/>
      <c r="B66" s="178"/>
      <c r="C66" s="178"/>
      <c r="D66" s="178"/>
      <c r="E66" s="178"/>
      <c r="F66" s="214" t="s">
        <v>9</v>
      </c>
      <c r="G66" s="214" t="s">
        <v>37</v>
      </c>
      <c r="H66" s="214" t="s">
        <v>29</v>
      </c>
      <c r="I66" s="214" t="s">
        <v>30</v>
      </c>
      <c r="J66" s="214" t="s">
        <v>33</v>
      </c>
      <c r="K66" s="214" t="s">
        <v>34</v>
      </c>
    </row>
    <row r="67" spans="1:11">
      <c r="A67" s="185" t="s">
        <v>102</v>
      </c>
      <c r="B67" s="181" t="s">
        <v>12</v>
      </c>
      <c r="C67" s="178"/>
      <c r="D67" s="178"/>
      <c r="E67" s="178"/>
      <c r="F67" s="215"/>
      <c r="G67" s="215"/>
      <c r="H67" s="215"/>
      <c r="I67" s="216"/>
      <c r="J67" s="215"/>
      <c r="K67" s="217"/>
    </row>
    <row r="68" spans="1:11">
      <c r="A68" s="182" t="s">
        <v>103</v>
      </c>
      <c r="B68" s="178" t="s">
        <v>52</v>
      </c>
      <c r="C68" s="178"/>
      <c r="D68" s="178"/>
      <c r="E68" s="178"/>
      <c r="F68" s="187">
        <v>0</v>
      </c>
      <c r="G68" s="187">
        <v>0</v>
      </c>
      <c r="H68" s="188">
        <v>26137</v>
      </c>
      <c r="I68" s="189">
        <v>0</v>
      </c>
      <c r="J68" s="188">
        <v>0</v>
      </c>
      <c r="K68" s="190">
        <v>26137</v>
      </c>
    </row>
    <row r="69" spans="1:11">
      <c r="A69" s="182" t="s">
        <v>104</v>
      </c>
      <c r="B69" s="186" t="s">
        <v>53</v>
      </c>
      <c r="C69" s="178"/>
      <c r="D69" s="178"/>
      <c r="E69" s="178"/>
      <c r="F69" s="187">
        <v>0</v>
      </c>
      <c r="G69" s="187">
        <v>0</v>
      </c>
      <c r="H69" s="188">
        <v>0</v>
      </c>
      <c r="I69" s="189">
        <v>0</v>
      </c>
      <c r="J69" s="188">
        <v>0</v>
      </c>
      <c r="K69" s="190">
        <v>0</v>
      </c>
    </row>
    <row r="70" spans="1:11">
      <c r="A70" s="182" t="s">
        <v>178</v>
      </c>
      <c r="B70" s="329" t="s">
        <v>581</v>
      </c>
      <c r="C70" s="330"/>
      <c r="D70" s="331"/>
      <c r="E70" s="181"/>
      <c r="F70" s="220">
        <v>4160</v>
      </c>
      <c r="G70" s="220">
        <v>0</v>
      </c>
      <c r="H70" s="221">
        <v>174436.91982193495</v>
      </c>
      <c r="I70" s="189">
        <v>0</v>
      </c>
      <c r="J70" s="221">
        <v>0</v>
      </c>
      <c r="K70" s="190">
        <v>174436.91982193495</v>
      </c>
    </row>
    <row r="71" spans="1:11">
      <c r="A71" s="182" t="s">
        <v>179</v>
      </c>
      <c r="B71" s="329"/>
      <c r="C71" s="330"/>
      <c r="D71" s="331"/>
      <c r="E71" s="181"/>
      <c r="F71" s="220"/>
      <c r="G71" s="220"/>
      <c r="H71" s="221"/>
      <c r="I71" s="189">
        <v>0</v>
      </c>
      <c r="J71" s="221"/>
      <c r="K71" s="190">
        <v>0</v>
      </c>
    </row>
    <row r="72" spans="1:11">
      <c r="A72" s="182" t="s">
        <v>180</v>
      </c>
      <c r="B72" s="334"/>
      <c r="C72" s="333"/>
      <c r="D72" s="224"/>
      <c r="E72" s="181"/>
      <c r="F72" s="187"/>
      <c r="G72" s="187"/>
      <c r="H72" s="188"/>
      <c r="I72" s="189">
        <v>0</v>
      </c>
      <c r="J72" s="188"/>
      <c r="K72" s="190">
        <v>0</v>
      </c>
    </row>
    <row r="73" spans="1:11">
      <c r="A73" s="182"/>
      <c r="B73" s="186"/>
      <c r="C73" s="178"/>
      <c r="D73" s="178"/>
      <c r="E73" s="181"/>
      <c r="F73" s="225"/>
      <c r="G73" s="225"/>
      <c r="H73" s="226"/>
      <c r="I73" s="216"/>
      <c r="J73" s="226"/>
      <c r="K73" s="217"/>
    </row>
    <row r="74" spans="1:11">
      <c r="A74" s="185" t="s">
        <v>146</v>
      </c>
      <c r="B74" s="181" t="s">
        <v>147</v>
      </c>
      <c r="C74" s="178"/>
      <c r="D74" s="178"/>
      <c r="E74" s="181" t="s">
        <v>7</v>
      </c>
      <c r="F74" s="390">
        <v>4160</v>
      </c>
      <c r="G74" s="390">
        <v>0</v>
      </c>
      <c r="H74" s="228">
        <v>200573.91982193495</v>
      </c>
      <c r="I74" s="228">
        <v>0</v>
      </c>
      <c r="J74" s="228">
        <v>0</v>
      </c>
      <c r="K74" s="228">
        <v>200573.91982193495</v>
      </c>
    </row>
    <row r="75" spans="1:11" ht="41.25" customHeight="1">
      <c r="A75" s="178"/>
      <c r="B75" s="178"/>
      <c r="C75" s="178"/>
      <c r="D75" s="178"/>
      <c r="E75" s="178"/>
      <c r="F75" s="184" t="s">
        <v>9</v>
      </c>
      <c r="G75" s="184" t="s">
        <v>37</v>
      </c>
      <c r="H75" s="184" t="s">
        <v>29</v>
      </c>
      <c r="I75" s="184" t="s">
        <v>30</v>
      </c>
      <c r="J75" s="184" t="s">
        <v>33</v>
      </c>
      <c r="K75" s="184" t="s">
        <v>34</v>
      </c>
    </row>
    <row r="76" spans="1:11">
      <c r="A76" s="185" t="s">
        <v>105</v>
      </c>
      <c r="B76" s="181" t="s">
        <v>106</v>
      </c>
      <c r="C76" s="178"/>
      <c r="D76" s="178"/>
      <c r="E76" s="178"/>
      <c r="F76" s="178"/>
      <c r="G76" s="178"/>
      <c r="H76" s="178"/>
      <c r="I76" s="178"/>
      <c r="J76" s="178"/>
      <c r="K76" s="178"/>
    </row>
    <row r="77" spans="1:11">
      <c r="A77" s="182" t="s">
        <v>107</v>
      </c>
      <c r="B77" s="186" t="s">
        <v>54</v>
      </c>
      <c r="C77" s="178"/>
      <c r="D77" s="178"/>
      <c r="E77" s="178"/>
      <c r="F77" s="187">
        <v>106</v>
      </c>
      <c r="G77" s="187">
        <v>59</v>
      </c>
      <c r="H77" s="188">
        <v>123968.68020341532</v>
      </c>
      <c r="I77" s="189">
        <v>0</v>
      </c>
      <c r="J77" s="188">
        <v>0</v>
      </c>
      <c r="K77" s="190">
        <v>123968.68020341532</v>
      </c>
    </row>
    <row r="78" spans="1:11">
      <c r="A78" s="182" t="s">
        <v>108</v>
      </c>
      <c r="B78" s="186" t="s">
        <v>55</v>
      </c>
      <c r="C78" s="178"/>
      <c r="D78" s="178"/>
      <c r="E78" s="178"/>
      <c r="F78" s="187">
        <v>0</v>
      </c>
      <c r="G78" s="187">
        <v>0</v>
      </c>
      <c r="H78" s="188">
        <v>0</v>
      </c>
      <c r="I78" s="189">
        <v>0</v>
      </c>
      <c r="J78" s="188">
        <v>0</v>
      </c>
      <c r="K78" s="190">
        <v>0</v>
      </c>
    </row>
    <row r="79" spans="1:11">
      <c r="A79" s="182" t="s">
        <v>109</v>
      </c>
      <c r="B79" s="186" t="s">
        <v>13</v>
      </c>
      <c r="C79" s="178"/>
      <c r="D79" s="178"/>
      <c r="E79" s="178"/>
      <c r="F79" s="187">
        <v>6772.25</v>
      </c>
      <c r="G79" s="187">
        <v>26250</v>
      </c>
      <c r="H79" s="188">
        <v>1503914.558024704</v>
      </c>
      <c r="I79" s="189">
        <v>83898.017090467707</v>
      </c>
      <c r="J79" s="188">
        <v>2463</v>
      </c>
      <c r="K79" s="190">
        <v>1585349.5751151715</v>
      </c>
    </row>
    <row r="80" spans="1:11">
      <c r="A80" s="182" t="s">
        <v>110</v>
      </c>
      <c r="B80" s="186" t="s">
        <v>56</v>
      </c>
      <c r="C80" s="178"/>
      <c r="D80" s="178"/>
      <c r="E80" s="178"/>
      <c r="F80" s="187">
        <v>0</v>
      </c>
      <c r="G80" s="187">
        <v>0</v>
      </c>
      <c r="H80" s="188">
        <v>0</v>
      </c>
      <c r="I80" s="189">
        <v>0</v>
      </c>
      <c r="J80" s="188">
        <v>0</v>
      </c>
      <c r="K80" s="190">
        <v>0</v>
      </c>
    </row>
    <row r="81" spans="1:11">
      <c r="A81" s="182"/>
      <c r="B81" s="178"/>
      <c r="C81" s="178"/>
      <c r="D81" s="178"/>
      <c r="E81" s="178"/>
      <c r="F81" s="178"/>
      <c r="G81" s="178"/>
      <c r="H81" s="178"/>
      <c r="I81" s="178"/>
      <c r="J81" s="178"/>
      <c r="K81" s="230"/>
    </row>
    <row r="82" spans="1:11">
      <c r="A82" s="182" t="s">
        <v>148</v>
      </c>
      <c r="B82" s="181" t="s">
        <v>149</v>
      </c>
      <c r="C82" s="178"/>
      <c r="D82" s="178"/>
      <c r="E82" s="181" t="s">
        <v>7</v>
      </c>
      <c r="F82" s="390">
        <v>6878.25</v>
      </c>
      <c r="G82" s="390">
        <v>26309</v>
      </c>
      <c r="H82" s="229">
        <v>1627883.2382281192</v>
      </c>
      <c r="I82" s="229">
        <v>83898.017090467707</v>
      </c>
      <c r="J82" s="229">
        <v>2463</v>
      </c>
      <c r="K82" s="229">
        <v>1709318.2553185867</v>
      </c>
    </row>
    <row r="83" spans="1:11" ht="16.5" thickBot="1">
      <c r="A83" s="182"/>
      <c r="B83" s="178"/>
      <c r="C83" s="178"/>
      <c r="D83" s="178"/>
      <c r="E83" s="178"/>
      <c r="F83" s="206"/>
      <c r="G83" s="206"/>
      <c r="H83" s="206"/>
      <c r="I83" s="206"/>
      <c r="J83" s="206"/>
      <c r="K83" s="206"/>
    </row>
    <row r="84" spans="1:11" ht="45.75" customHeight="1">
      <c r="A84" s="178"/>
      <c r="B84" s="178"/>
      <c r="C84" s="178"/>
      <c r="D84" s="178"/>
      <c r="E84" s="178"/>
      <c r="F84" s="184" t="s">
        <v>9</v>
      </c>
      <c r="G84" s="184" t="s">
        <v>37</v>
      </c>
      <c r="H84" s="184" t="s">
        <v>29</v>
      </c>
      <c r="I84" s="184" t="s">
        <v>30</v>
      </c>
      <c r="J84" s="184" t="s">
        <v>33</v>
      </c>
      <c r="K84" s="184" t="s">
        <v>34</v>
      </c>
    </row>
    <row r="85" spans="1:11">
      <c r="A85" s="185" t="s">
        <v>111</v>
      </c>
      <c r="B85" s="181" t="s">
        <v>57</v>
      </c>
      <c r="C85" s="178"/>
      <c r="D85" s="178"/>
      <c r="E85" s="178"/>
      <c r="F85" s="178"/>
      <c r="G85" s="178"/>
      <c r="H85" s="178"/>
      <c r="I85" s="178"/>
      <c r="J85" s="178"/>
      <c r="K85" s="178"/>
    </row>
    <row r="86" spans="1:11">
      <c r="A86" s="182" t="s">
        <v>112</v>
      </c>
      <c r="B86" s="186" t="s">
        <v>113</v>
      </c>
      <c r="C86" s="178"/>
      <c r="D86" s="178"/>
      <c r="E86" s="178"/>
      <c r="F86" s="187">
        <v>0</v>
      </c>
      <c r="G86" s="187">
        <v>0</v>
      </c>
      <c r="H86" s="188">
        <v>29541</v>
      </c>
      <c r="I86" s="189">
        <v>14900.633640586033</v>
      </c>
      <c r="J86" s="188">
        <v>0</v>
      </c>
      <c r="K86" s="190">
        <v>44441.633640586035</v>
      </c>
    </row>
    <row r="87" spans="1:11">
      <c r="A87" s="182" t="s">
        <v>114</v>
      </c>
      <c r="B87" s="186" t="s">
        <v>14</v>
      </c>
      <c r="C87" s="178"/>
      <c r="D87" s="178"/>
      <c r="E87" s="178"/>
      <c r="F87" s="187">
        <v>0</v>
      </c>
      <c r="G87" s="187">
        <v>0</v>
      </c>
      <c r="H87" s="188">
        <v>0</v>
      </c>
      <c r="I87" s="189">
        <v>0</v>
      </c>
      <c r="J87" s="188">
        <v>0</v>
      </c>
      <c r="K87" s="190">
        <v>0</v>
      </c>
    </row>
    <row r="88" spans="1:11">
      <c r="A88" s="182" t="s">
        <v>115</v>
      </c>
      <c r="B88" s="186" t="s">
        <v>116</v>
      </c>
      <c r="C88" s="178"/>
      <c r="D88" s="178"/>
      <c r="E88" s="178"/>
      <c r="F88" s="187">
        <v>211</v>
      </c>
      <c r="G88" s="187">
        <v>126</v>
      </c>
      <c r="H88" s="188">
        <v>160367.58321263618</v>
      </c>
      <c r="I88" s="189">
        <v>80890.240861097685</v>
      </c>
      <c r="J88" s="188">
        <v>0</v>
      </c>
      <c r="K88" s="190">
        <v>241257.82407373385</v>
      </c>
    </row>
    <row r="89" spans="1:11">
      <c r="A89" s="182" t="s">
        <v>117</v>
      </c>
      <c r="B89" s="186" t="s">
        <v>58</v>
      </c>
      <c r="C89" s="178"/>
      <c r="D89" s="178"/>
      <c r="E89" s="178"/>
      <c r="F89" s="187">
        <v>0</v>
      </c>
      <c r="G89" s="187">
        <v>0</v>
      </c>
      <c r="H89" s="188">
        <v>0</v>
      </c>
      <c r="I89" s="189">
        <v>0</v>
      </c>
      <c r="J89" s="188">
        <v>0</v>
      </c>
      <c r="K89" s="190">
        <v>0</v>
      </c>
    </row>
    <row r="90" spans="1:11">
      <c r="A90" s="182" t="s">
        <v>118</v>
      </c>
      <c r="B90" s="702" t="s">
        <v>59</v>
      </c>
      <c r="C90" s="702"/>
      <c r="D90" s="178"/>
      <c r="E90" s="178"/>
      <c r="F90" s="187">
        <v>0</v>
      </c>
      <c r="G90" s="187">
        <v>0</v>
      </c>
      <c r="H90" s="188">
        <v>0</v>
      </c>
      <c r="I90" s="189">
        <v>0</v>
      </c>
      <c r="J90" s="188">
        <v>0</v>
      </c>
      <c r="K90" s="190">
        <v>0</v>
      </c>
    </row>
    <row r="91" spans="1:11">
      <c r="A91" s="182" t="s">
        <v>119</v>
      </c>
      <c r="B91" s="186" t="s">
        <v>60</v>
      </c>
      <c r="C91" s="178"/>
      <c r="D91" s="178"/>
      <c r="E91" s="178"/>
      <c r="F91" s="187">
        <v>0</v>
      </c>
      <c r="G91" s="187">
        <v>0</v>
      </c>
      <c r="H91" s="188">
        <v>0</v>
      </c>
      <c r="I91" s="189">
        <v>0</v>
      </c>
      <c r="J91" s="188">
        <v>0</v>
      </c>
      <c r="K91" s="190">
        <v>0</v>
      </c>
    </row>
    <row r="92" spans="1:11">
      <c r="A92" s="182" t="s">
        <v>120</v>
      </c>
      <c r="B92" s="186" t="s">
        <v>121</v>
      </c>
      <c r="C92" s="178"/>
      <c r="D92" s="178"/>
      <c r="E92" s="178"/>
      <c r="F92" s="187">
        <v>0</v>
      </c>
      <c r="G92" s="187">
        <v>0</v>
      </c>
      <c r="H92" s="188">
        <v>0</v>
      </c>
      <c r="I92" s="189">
        <v>0</v>
      </c>
      <c r="J92" s="188">
        <v>0</v>
      </c>
      <c r="K92" s="190">
        <v>0</v>
      </c>
    </row>
    <row r="93" spans="1:11">
      <c r="A93" s="182" t="s">
        <v>122</v>
      </c>
      <c r="B93" s="186" t="s">
        <v>123</v>
      </c>
      <c r="C93" s="178"/>
      <c r="D93" s="178"/>
      <c r="E93" s="178"/>
      <c r="F93" s="187">
        <v>29.5</v>
      </c>
      <c r="G93" s="187">
        <v>90</v>
      </c>
      <c r="H93" s="188">
        <v>1523.8531652227207</v>
      </c>
      <c r="I93" s="189">
        <v>768.63944135375164</v>
      </c>
      <c r="J93" s="188">
        <v>0</v>
      </c>
      <c r="K93" s="190">
        <v>2292.4926065764721</v>
      </c>
    </row>
    <row r="94" spans="1:11">
      <c r="A94" s="182" t="s">
        <v>124</v>
      </c>
      <c r="B94" s="706" t="s">
        <v>582</v>
      </c>
      <c r="C94" s="707"/>
      <c r="D94" s="693"/>
      <c r="E94" s="178"/>
      <c r="F94" s="187">
        <v>0</v>
      </c>
      <c r="G94" s="187">
        <v>0</v>
      </c>
      <c r="H94" s="188">
        <v>0</v>
      </c>
      <c r="I94" s="189">
        <v>0</v>
      </c>
      <c r="J94" s="188">
        <v>0</v>
      </c>
      <c r="K94" s="190">
        <v>0</v>
      </c>
    </row>
    <row r="95" spans="1:11">
      <c r="A95" s="182" t="s">
        <v>125</v>
      </c>
      <c r="B95" s="706"/>
      <c r="C95" s="707"/>
      <c r="D95" s="693"/>
      <c r="E95" s="178"/>
      <c r="F95" s="187"/>
      <c r="G95" s="187"/>
      <c r="H95" s="188"/>
      <c r="I95" s="189">
        <v>0</v>
      </c>
      <c r="J95" s="188"/>
      <c r="K95" s="190">
        <v>0</v>
      </c>
    </row>
    <row r="96" spans="1:11">
      <c r="A96" s="182" t="s">
        <v>126</v>
      </c>
      <c r="B96" s="706"/>
      <c r="C96" s="707"/>
      <c r="D96" s="693"/>
      <c r="E96" s="178"/>
      <c r="F96" s="187"/>
      <c r="G96" s="187"/>
      <c r="H96" s="188"/>
      <c r="I96" s="189">
        <v>0</v>
      </c>
      <c r="J96" s="188"/>
      <c r="K96" s="190">
        <v>0</v>
      </c>
    </row>
    <row r="97" spans="1:11">
      <c r="A97" s="182"/>
      <c r="B97" s="186"/>
      <c r="C97" s="178"/>
      <c r="D97" s="178"/>
      <c r="E97" s="178"/>
      <c r="F97" s="178"/>
      <c r="G97" s="178"/>
      <c r="H97" s="178"/>
      <c r="I97" s="178"/>
      <c r="J97" s="178"/>
      <c r="K97" s="178"/>
    </row>
    <row r="98" spans="1:11">
      <c r="A98" s="185" t="s">
        <v>150</v>
      </c>
      <c r="B98" s="181" t="s">
        <v>151</v>
      </c>
      <c r="C98" s="178"/>
      <c r="D98" s="178"/>
      <c r="E98" s="181" t="s">
        <v>7</v>
      </c>
      <c r="F98" s="196">
        <v>240.5</v>
      </c>
      <c r="G98" s="196">
        <v>216</v>
      </c>
      <c r="H98" s="188">
        <v>191432.43637785889</v>
      </c>
      <c r="I98" s="188">
        <v>96559.513943037469</v>
      </c>
      <c r="J98" s="188">
        <v>0</v>
      </c>
      <c r="K98" s="188">
        <v>287991.95032089634</v>
      </c>
    </row>
    <row r="99" spans="1:11" ht="16.5" thickBot="1">
      <c r="A99" s="178"/>
      <c r="B99" s="181"/>
      <c r="C99" s="178"/>
      <c r="D99" s="178"/>
      <c r="E99" s="178"/>
      <c r="F99" s="206"/>
      <c r="G99" s="206"/>
      <c r="H99" s="206"/>
      <c r="I99" s="206"/>
      <c r="J99" s="206"/>
      <c r="K99" s="206"/>
    </row>
    <row r="100" spans="1:11" ht="26.25">
      <c r="A100" s="178"/>
      <c r="B100" s="178"/>
      <c r="C100" s="178"/>
      <c r="D100" s="178"/>
      <c r="E100" s="178"/>
      <c r="F100" s="184" t="s">
        <v>9</v>
      </c>
      <c r="G100" s="184" t="s">
        <v>37</v>
      </c>
      <c r="H100" s="184" t="s">
        <v>29</v>
      </c>
      <c r="I100" s="184" t="s">
        <v>30</v>
      </c>
      <c r="J100" s="184" t="s">
        <v>33</v>
      </c>
      <c r="K100" s="184" t="s">
        <v>34</v>
      </c>
    </row>
    <row r="101" spans="1:11">
      <c r="A101" s="185" t="s">
        <v>130</v>
      </c>
      <c r="B101" s="181" t="s">
        <v>63</v>
      </c>
      <c r="C101" s="178"/>
      <c r="D101" s="178"/>
      <c r="E101" s="178"/>
      <c r="F101" s="178"/>
      <c r="G101" s="178"/>
      <c r="H101" s="178"/>
      <c r="I101" s="178"/>
      <c r="J101" s="178"/>
      <c r="K101" s="178"/>
    </row>
    <row r="102" spans="1:11">
      <c r="A102" s="182" t="s">
        <v>131</v>
      </c>
      <c r="B102" s="186" t="s">
        <v>152</v>
      </c>
      <c r="C102" s="178"/>
      <c r="D102" s="178"/>
      <c r="E102" s="178"/>
      <c r="F102" s="187">
        <v>721</v>
      </c>
      <c r="G102" s="187">
        <v>471</v>
      </c>
      <c r="H102" s="188">
        <v>67033.426130150154</v>
      </c>
      <c r="I102" s="189">
        <v>33812.007868340748</v>
      </c>
      <c r="J102" s="188">
        <v>0</v>
      </c>
      <c r="K102" s="190">
        <v>100845.43399849089</v>
      </c>
    </row>
    <row r="103" spans="1:11">
      <c r="A103" s="182" t="s">
        <v>132</v>
      </c>
      <c r="B103" s="770" t="s">
        <v>62</v>
      </c>
      <c r="C103" s="770"/>
      <c r="D103" s="178"/>
      <c r="E103" s="178"/>
      <c r="F103" s="187">
        <v>535</v>
      </c>
      <c r="G103" s="187">
        <v>0</v>
      </c>
      <c r="H103" s="188">
        <v>22043.611923001921</v>
      </c>
      <c r="I103" s="189">
        <v>11118.91220269814</v>
      </c>
      <c r="J103" s="188">
        <v>0</v>
      </c>
      <c r="K103" s="190">
        <v>33162.52412570006</v>
      </c>
    </row>
    <row r="104" spans="1:11">
      <c r="A104" s="182" t="s">
        <v>128</v>
      </c>
      <c r="B104" s="706"/>
      <c r="C104" s="707"/>
      <c r="D104" s="693"/>
      <c r="E104" s="178"/>
      <c r="F104" s="187"/>
      <c r="G104" s="187"/>
      <c r="H104" s="188"/>
      <c r="I104" s="189">
        <v>0</v>
      </c>
      <c r="J104" s="188"/>
      <c r="K104" s="190">
        <v>0</v>
      </c>
    </row>
    <row r="105" spans="1:11">
      <c r="A105" s="182" t="s">
        <v>127</v>
      </c>
      <c r="B105" s="706"/>
      <c r="C105" s="707"/>
      <c r="D105" s="693"/>
      <c r="E105" s="178"/>
      <c r="F105" s="187"/>
      <c r="G105" s="187"/>
      <c r="H105" s="188"/>
      <c r="I105" s="189">
        <v>0</v>
      </c>
      <c r="J105" s="188"/>
      <c r="K105" s="190">
        <v>0</v>
      </c>
    </row>
    <row r="106" spans="1:11">
      <c r="A106" s="182" t="s">
        <v>129</v>
      </c>
      <c r="B106" s="706"/>
      <c r="C106" s="707"/>
      <c r="D106" s="693"/>
      <c r="E106" s="178"/>
      <c r="F106" s="187"/>
      <c r="G106" s="187"/>
      <c r="H106" s="188"/>
      <c r="I106" s="189">
        <v>0</v>
      </c>
      <c r="J106" s="188"/>
      <c r="K106" s="190">
        <v>0</v>
      </c>
    </row>
    <row r="107" spans="1:11">
      <c r="A107" s="178"/>
      <c r="B107" s="181"/>
      <c r="C107" s="178"/>
      <c r="D107" s="178"/>
      <c r="E107" s="178"/>
      <c r="F107" s="178"/>
      <c r="G107" s="178"/>
      <c r="H107" s="178"/>
      <c r="I107" s="178"/>
      <c r="J107" s="178"/>
      <c r="K107" s="178"/>
    </row>
    <row r="108" spans="1:11">
      <c r="A108" s="185" t="s">
        <v>153</v>
      </c>
      <c r="B108" s="233" t="s">
        <v>154</v>
      </c>
      <c r="C108" s="178"/>
      <c r="D108" s="178"/>
      <c r="E108" s="181" t="s">
        <v>7</v>
      </c>
      <c r="F108" s="196">
        <v>1256</v>
      </c>
      <c r="G108" s="196">
        <v>471</v>
      </c>
      <c r="H108" s="190">
        <v>89077.038053152079</v>
      </c>
      <c r="I108" s="190">
        <v>44930.92007103889</v>
      </c>
      <c r="J108" s="190">
        <v>0</v>
      </c>
      <c r="K108" s="190">
        <v>134007.95812419095</v>
      </c>
    </row>
    <row r="109" spans="1:11" ht="16.5" thickBot="1">
      <c r="A109" s="234"/>
      <c r="B109" s="235"/>
      <c r="C109" s="236"/>
      <c r="D109" s="236"/>
      <c r="E109" s="236"/>
      <c r="F109" s="206"/>
      <c r="G109" s="206"/>
      <c r="H109" s="206"/>
      <c r="I109" s="206"/>
      <c r="J109" s="206"/>
      <c r="K109" s="206"/>
    </row>
    <row r="110" spans="1:11">
      <c r="A110" s="185" t="s">
        <v>156</v>
      </c>
      <c r="B110" s="181" t="s">
        <v>39</v>
      </c>
      <c r="C110" s="178"/>
      <c r="D110" s="178"/>
      <c r="E110" s="178"/>
      <c r="F110" s="178"/>
      <c r="G110" s="178"/>
      <c r="H110" s="178"/>
      <c r="I110" s="178"/>
      <c r="J110" s="178"/>
      <c r="K110" s="178"/>
    </row>
    <row r="111" spans="1:11">
      <c r="A111" s="185" t="s">
        <v>155</v>
      </c>
      <c r="B111" s="181" t="s">
        <v>164</v>
      </c>
      <c r="C111" s="178"/>
      <c r="D111" s="178"/>
      <c r="E111" s="181" t="s">
        <v>7</v>
      </c>
      <c r="F111" s="188">
        <v>22183000</v>
      </c>
      <c r="G111" s="178"/>
      <c r="H111" s="178"/>
      <c r="I111" s="178"/>
      <c r="J111" s="178"/>
      <c r="K111" s="178"/>
    </row>
    <row r="112" spans="1:11">
      <c r="A112" s="178"/>
      <c r="B112" s="181"/>
      <c r="C112" s="178"/>
      <c r="D112" s="178"/>
      <c r="E112" s="181"/>
      <c r="F112" s="237"/>
      <c r="G112" s="178"/>
      <c r="H112" s="178"/>
      <c r="I112" s="178"/>
      <c r="J112" s="178"/>
      <c r="K112" s="178"/>
    </row>
    <row r="113" spans="1:6">
      <c r="A113" s="185" t="s">
        <v>170</v>
      </c>
      <c r="B113" s="181" t="s">
        <v>15</v>
      </c>
      <c r="C113" s="178"/>
      <c r="D113" s="178"/>
      <c r="E113" s="178"/>
      <c r="F113" s="178"/>
    </row>
    <row r="114" spans="1:6">
      <c r="A114" s="182" t="s">
        <v>171</v>
      </c>
      <c r="B114" s="186" t="s">
        <v>35</v>
      </c>
      <c r="C114" s="178"/>
      <c r="D114" s="178"/>
      <c r="E114" s="178"/>
      <c r="F114" s="238">
        <v>0.5044051873865486</v>
      </c>
    </row>
    <row r="115" spans="1:6">
      <c r="A115" s="182"/>
      <c r="B115" s="181"/>
      <c r="C115" s="178"/>
      <c r="D115" s="178"/>
      <c r="E115" s="178"/>
      <c r="F115" s="178"/>
    </row>
    <row r="116" spans="1:6">
      <c r="A116" s="182"/>
      <c r="B116" s="181" t="s">
        <v>16</v>
      </c>
      <c r="C116" s="178"/>
      <c r="D116" s="178"/>
      <c r="E116" s="178"/>
      <c r="F116" s="178"/>
    </row>
    <row r="117" spans="1:6">
      <c r="A117" s="182" t="s">
        <v>172</v>
      </c>
      <c r="B117" s="186" t="s">
        <v>17</v>
      </c>
      <c r="C117" s="178"/>
      <c r="D117" s="178"/>
      <c r="E117" s="178"/>
      <c r="F117" s="188">
        <v>492422000</v>
      </c>
    </row>
    <row r="118" spans="1:6">
      <c r="A118" s="182" t="s">
        <v>173</v>
      </c>
      <c r="B118" s="178" t="s">
        <v>18</v>
      </c>
      <c r="C118" s="178"/>
      <c r="D118" s="178"/>
      <c r="E118" s="178"/>
      <c r="F118" s="188">
        <v>49286000</v>
      </c>
    </row>
    <row r="119" spans="1:6">
      <c r="A119" s="182" t="s">
        <v>174</v>
      </c>
      <c r="B119" s="181" t="s">
        <v>19</v>
      </c>
      <c r="C119" s="178"/>
      <c r="D119" s="178"/>
      <c r="E119" s="178"/>
      <c r="F119" s="229">
        <v>541708000</v>
      </c>
    </row>
    <row r="120" spans="1:6">
      <c r="A120" s="182"/>
      <c r="B120" s="181"/>
      <c r="C120" s="178"/>
      <c r="D120" s="178"/>
      <c r="E120" s="178"/>
      <c r="F120" s="178"/>
    </row>
    <row r="121" spans="1:6">
      <c r="A121" s="182" t="s">
        <v>167</v>
      </c>
      <c r="B121" s="181" t="s">
        <v>36</v>
      </c>
      <c r="C121" s="178"/>
      <c r="D121" s="178"/>
      <c r="E121" s="178"/>
      <c r="F121" s="188">
        <v>530603000</v>
      </c>
    </row>
    <row r="122" spans="1:6">
      <c r="A122" s="182"/>
      <c r="B122" s="178"/>
      <c r="C122" s="178"/>
      <c r="D122" s="178"/>
      <c r="E122" s="178"/>
      <c r="F122" s="178"/>
    </row>
    <row r="123" spans="1:6">
      <c r="A123" s="182" t="s">
        <v>175</v>
      </c>
      <c r="B123" s="181" t="s">
        <v>20</v>
      </c>
      <c r="C123" s="178"/>
      <c r="D123" s="178"/>
      <c r="E123" s="178"/>
      <c r="F123" s="188">
        <v>11105000</v>
      </c>
    </row>
    <row r="124" spans="1:6">
      <c r="A124" s="182"/>
      <c r="B124" s="178"/>
      <c r="C124" s="178"/>
      <c r="D124" s="178"/>
      <c r="E124" s="178"/>
      <c r="F124" s="178"/>
    </row>
    <row r="125" spans="1:6">
      <c r="A125" s="182" t="s">
        <v>176</v>
      </c>
      <c r="B125" s="181" t="s">
        <v>21</v>
      </c>
      <c r="C125" s="178"/>
      <c r="D125" s="178"/>
      <c r="E125" s="178"/>
      <c r="F125" s="188">
        <v>3990000</v>
      </c>
    </row>
    <row r="126" spans="1:6">
      <c r="A126" s="182"/>
      <c r="B126" s="178"/>
      <c r="C126" s="178"/>
      <c r="D126" s="178"/>
      <c r="E126" s="178"/>
      <c r="F126" s="178"/>
    </row>
    <row r="127" spans="1:6">
      <c r="A127" s="182" t="s">
        <v>177</v>
      </c>
      <c r="B127" s="181" t="s">
        <v>22</v>
      </c>
      <c r="C127" s="178"/>
      <c r="D127" s="178"/>
      <c r="E127" s="178"/>
      <c r="F127" s="188">
        <v>15095000</v>
      </c>
    </row>
    <row r="128" spans="1:6">
      <c r="A128" s="182"/>
      <c r="B128" s="178"/>
      <c r="C128" s="178"/>
      <c r="D128" s="178"/>
      <c r="E128" s="178"/>
      <c r="F128" s="178"/>
    </row>
    <row r="129" spans="1:11" ht="26.25">
      <c r="A129" s="178"/>
      <c r="B129" s="178"/>
      <c r="C129" s="178"/>
      <c r="D129" s="178"/>
      <c r="E129" s="178"/>
      <c r="F129" s="184" t="s">
        <v>9</v>
      </c>
      <c r="G129" s="184" t="s">
        <v>37</v>
      </c>
      <c r="H129" s="184" t="s">
        <v>29</v>
      </c>
      <c r="I129" s="184" t="s">
        <v>30</v>
      </c>
      <c r="J129" s="184" t="s">
        <v>33</v>
      </c>
      <c r="K129" s="184" t="s">
        <v>34</v>
      </c>
    </row>
    <row r="130" spans="1:11">
      <c r="A130" s="185" t="s">
        <v>157</v>
      </c>
      <c r="B130" s="181" t="s">
        <v>23</v>
      </c>
      <c r="C130" s="178"/>
      <c r="D130" s="178"/>
      <c r="E130" s="178"/>
      <c r="F130" s="178"/>
      <c r="G130" s="178"/>
      <c r="H130" s="178"/>
      <c r="I130" s="178"/>
      <c r="J130" s="178"/>
      <c r="K130" s="178"/>
    </row>
    <row r="131" spans="1:11">
      <c r="A131" s="182" t="s">
        <v>158</v>
      </c>
      <c r="B131" s="178" t="s">
        <v>24</v>
      </c>
      <c r="C131" s="178"/>
      <c r="D131" s="178"/>
      <c r="E131" s="178"/>
      <c r="F131" s="187"/>
      <c r="G131" s="187"/>
      <c r="H131" s="188"/>
      <c r="I131" s="189">
        <v>0</v>
      </c>
      <c r="J131" s="188"/>
      <c r="K131" s="190">
        <v>0</v>
      </c>
    </row>
    <row r="132" spans="1:11">
      <c r="A132" s="182" t="s">
        <v>159</v>
      </c>
      <c r="B132" s="178" t="s">
        <v>25</v>
      </c>
      <c r="C132" s="178"/>
      <c r="D132" s="178"/>
      <c r="E132" s="178"/>
      <c r="F132" s="187"/>
      <c r="G132" s="187"/>
      <c r="H132" s="188"/>
      <c r="I132" s="189">
        <v>0</v>
      </c>
      <c r="J132" s="188"/>
      <c r="K132" s="190">
        <v>0</v>
      </c>
    </row>
    <row r="133" spans="1:11">
      <c r="A133" s="182" t="s">
        <v>160</v>
      </c>
      <c r="B133" s="699"/>
      <c r="C133" s="700"/>
      <c r="D133" s="701"/>
      <c r="E133" s="178"/>
      <c r="F133" s="187"/>
      <c r="G133" s="187"/>
      <c r="H133" s="188"/>
      <c r="I133" s="189">
        <v>0</v>
      </c>
      <c r="J133" s="188"/>
      <c r="K133" s="190">
        <v>0</v>
      </c>
    </row>
    <row r="134" spans="1:11">
      <c r="A134" s="182" t="s">
        <v>161</v>
      </c>
      <c r="B134" s="699"/>
      <c r="C134" s="700"/>
      <c r="D134" s="701"/>
      <c r="E134" s="178"/>
      <c r="F134" s="187"/>
      <c r="G134" s="187"/>
      <c r="H134" s="188"/>
      <c r="I134" s="189">
        <v>0</v>
      </c>
      <c r="J134" s="188"/>
      <c r="K134" s="190">
        <v>0</v>
      </c>
    </row>
    <row r="135" spans="1:11">
      <c r="A135" s="182" t="s">
        <v>162</v>
      </c>
      <c r="B135" s="699"/>
      <c r="C135" s="700"/>
      <c r="D135" s="701"/>
      <c r="E135" s="178"/>
      <c r="F135" s="187"/>
      <c r="G135" s="187"/>
      <c r="H135" s="188"/>
      <c r="I135" s="189">
        <v>0</v>
      </c>
      <c r="J135" s="188"/>
      <c r="K135" s="190">
        <v>0</v>
      </c>
    </row>
    <row r="136" spans="1:11">
      <c r="A136" s="185"/>
      <c r="B136" s="178"/>
      <c r="C136" s="178"/>
      <c r="D136" s="178"/>
      <c r="E136" s="178"/>
      <c r="F136" s="178"/>
      <c r="G136" s="178"/>
      <c r="H136" s="178"/>
      <c r="I136" s="178"/>
      <c r="J136" s="178"/>
      <c r="K136" s="178"/>
    </row>
    <row r="137" spans="1:11">
      <c r="A137" s="185" t="s">
        <v>163</v>
      </c>
      <c r="B137" s="181" t="s">
        <v>27</v>
      </c>
      <c r="C137" s="178"/>
      <c r="D137" s="178"/>
      <c r="E137" s="178"/>
      <c r="F137" s="196">
        <v>0</v>
      </c>
      <c r="G137" s="196">
        <v>0</v>
      </c>
      <c r="H137" s="190">
        <v>0</v>
      </c>
      <c r="I137" s="190">
        <v>0</v>
      </c>
      <c r="J137" s="190">
        <v>0</v>
      </c>
      <c r="K137" s="190">
        <v>0</v>
      </c>
    </row>
    <row r="138" spans="1:11">
      <c r="A138" s="178"/>
      <c r="B138" s="178"/>
      <c r="C138" s="178"/>
      <c r="D138" s="178"/>
      <c r="E138" s="178"/>
      <c r="F138" s="178"/>
      <c r="G138" s="178"/>
      <c r="H138" s="178"/>
      <c r="I138" s="178"/>
      <c r="J138" s="178"/>
      <c r="K138" s="178"/>
    </row>
    <row r="139" spans="1:11" ht="26.25">
      <c r="A139" s="178"/>
      <c r="B139" s="178"/>
      <c r="C139" s="178"/>
      <c r="D139" s="178"/>
      <c r="E139" s="178"/>
      <c r="F139" s="184" t="s">
        <v>9</v>
      </c>
      <c r="G139" s="184" t="s">
        <v>37</v>
      </c>
      <c r="H139" s="184" t="s">
        <v>29</v>
      </c>
      <c r="I139" s="184" t="s">
        <v>30</v>
      </c>
      <c r="J139" s="184" t="s">
        <v>33</v>
      </c>
      <c r="K139" s="184" t="s">
        <v>34</v>
      </c>
    </row>
    <row r="140" spans="1:11">
      <c r="A140" s="185" t="s">
        <v>166</v>
      </c>
      <c r="B140" s="181" t="s">
        <v>26</v>
      </c>
      <c r="C140" s="178"/>
      <c r="D140" s="178"/>
      <c r="E140" s="178"/>
      <c r="F140" s="178"/>
      <c r="G140" s="178"/>
      <c r="H140" s="178"/>
      <c r="I140" s="178"/>
      <c r="J140" s="178"/>
      <c r="K140" s="178"/>
    </row>
    <row r="141" spans="1:11">
      <c r="A141" s="182" t="s">
        <v>137</v>
      </c>
      <c r="B141" s="181" t="s">
        <v>64</v>
      </c>
      <c r="C141" s="178"/>
      <c r="D141" s="178"/>
      <c r="E141" s="178"/>
      <c r="F141" s="239">
        <v>30673.499999999996</v>
      </c>
      <c r="G141" s="239">
        <v>340110</v>
      </c>
      <c r="H141" s="391">
        <v>3241277.0580450171</v>
      </c>
      <c r="I141" s="391">
        <v>920383.4101539331</v>
      </c>
      <c r="J141" s="391">
        <v>310945</v>
      </c>
      <c r="K141" s="391">
        <v>3850715.4681989513</v>
      </c>
    </row>
    <row r="142" spans="1:11">
      <c r="A142" s="182" t="s">
        <v>142</v>
      </c>
      <c r="B142" s="181" t="s">
        <v>65</v>
      </c>
      <c r="C142" s="178"/>
      <c r="D142" s="178"/>
      <c r="E142" s="178"/>
      <c r="F142" s="239">
        <v>49204.490000000005</v>
      </c>
      <c r="G142" s="239">
        <v>3740.7</v>
      </c>
      <c r="H142" s="391">
        <v>24294845.751821656</v>
      </c>
      <c r="I142" s="391">
        <v>0</v>
      </c>
      <c r="J142" s="391">
        <v>0</v>
      </c>
      <c r="K142" s="391">
        <v>24294845.751821656</v>
      </c>
    </row>
    <row r="143" spans="1:11">
      <c r="A143" s="182" t="s">
        <v>144</v>
      </c>
      <c r="B143" s="181" t="s">
        <v>66</v>
      </c>
      <c r="C143" s="178"/>
      <c r="D143" s="178"/>
      <c r="E143" s="178"/>
      <c r="F143" s="239">
        <v>2755</v>
      </c>
      <c r="G143" s="239">
        <v>1059</v>
      </c>
      <c r="H143" s="391">
        <v>4102883.3672219962</v>
      </c>
      <c r="I143" s="391">
        <v>0</v>
      </c>
      <c r="J143" s="391">
        <v>812374</v>
      </c>
      <c r="K143" s="391">
        <v>3290509.3672219962</v>
      </c>
    </row>
    <row r="144" spans="1:11">
      <c r="A144" s="182" t="s">
        <v>146</v>
      </c>
      <c r="B144" s="181" t="s">
        <v>67</v>
      </c>
      <c r="C144" s="178"/>
      <c r="D144" s="178"/>
      <c r="E144" s="178"/>
      <c r="F144" s="239">
        <v>4160</v>
      </c>
      <c r="G144" s="239">
        <v>0</v>
      </c>
      <c r="H144" s="391">
        <v>200573.91982193495</v>
      </c>
      <c r="I144" s="391">
        <v>0</v>
      </c>
      <c r="J144" s="391">
        <v>0</v>
      </c>
      <c r="K144" s="391">
        <v>200573.91982193495</v>
      </c>
    </row>
    <row r="145" spans="1:11">
      <c r="A145" s="182" t="s">
        <v>148</v>
      </c>
      <c r="B145" s="181" t="s">
        <v>68</v>
      </c>
      <c r="C145" s="178"/>
      <c r="D145" s="178"/>
      <c r="E145" s="178"/>
      <c r="F145" s="239">
        <v>6878.25</v>
      </c>
      <c r="G145" s="239">
        <v>26309</v>
      </c>
      <c r="H145" s="391">
        <v>1627883.2382281192</v>
      </c>
      <c r="I145" s="391">
        <v>83898.017090467707</v>
      </c>
      <c r="J145" s="391">
        <v>2463</v>
      </c>
      <c r="K145" s="391">
        <v>1709318.2553185867</v>
      </c>
    </row>
    <row r="146" spans="1:11">
      <c r="A146" s="182" t="s">
        <v>150</v>
      </c>
      <c r="B146" s="181" t="s">
        <v>69</v>
      </c>
      <c r="C146" s="178"/>
      <c r="D146" s="178"/>
      <c r="E146" s="178"/>
      <c r="F146" s="239">
        <v>240.5</v>
      </c>
      <c r="G146" s="239">
        <v>216</v>
      </c>
      <c r="H146" s="391">
        <v>191432.43637785889</v>
      </c>
      <c r="I146" s="391">
        <v>96559.513943037469</v>
      </c>
      <c r="J146" s="391">
        <v>0</v>
      </c>
      <c r="K146" s="391">
        <v>287991.95032089634</v>
      </c>
    </row>
    <row r="147" spans="1:11">
      <c r="A147" s="182" t="s">
        <v>153</v>
      </c>
      <c r="B147" s="181" t="s">
        <v>61</v>
      </c>
      <c r="C147" s="178"/>
      <c r="D147" s="178"/>
      <c r="E147" s="178"/>
      <c r="F147" s="196">
        <v>1256</v>
      </c>
      <c r="G147" s="196">
        <v>471</v>
      </c>
      <c r="H147" s="392">
        <v>89077.038053152079</v>
      </c>
      <c r="I147" s="392">
        <v>44930.92007103889</v>
      </c>
      <c r="J147" s="392">
        <v>0</v>
      </c>
      <c r="K147" s="392">
        <v>134007.95812419095</v>
      </c>
    </row>
    <row r="148" spans="1:11">
      <c r="A148" s="182" t="s">
        <v>155</v>
      </c>
      <c r="B148" s="181" t="s">
        <v>70</v>
      </c>
      <c r="C148" s="178"/>
      <c r="D148" s="178"/>
      <c r="E148" s="178"/>
      <c r="F148" s="240" t="s">
        <v>73</v>
      </c>
      <c r="G148" s="240" t="s">
        <v>73</v>
      </c>
      <c r="H148" s="241" t="s">
        <v>73</v>
      </c>
      <c r="I148" s="241" t="s">
        <v>73</v>
      </c>
      <c r="J148" s="241" t="s">
        <v>73</v>
      </c>
      <c r="K148" s="242">
        <v>22183000</v>
      </c>
    </row>
    <row r="149" spans="1:11">
      <c r="A149" s="182" t="s">
        <v>163</v>
      </c>
      <c r="B149" s="181" t="s">
        <v>71</v>
      </c>
      <c r="C149" s="178"/>
      <c r="D149" s="178"/>
      <c r="E149" s="178"/>
      <c r="F149" s="196">
        <v>0</v>
      </c>
      <c r="G149" s="196">
        <v>0</v>
      </c>
      <c r="H149" s="196">
        <v>0</v>
      </c>
      <c r="I149" s="196">
        <v>0</v>
      </c>
      <c r="J149" s="196">
        <v>0</v>
      </c>
      <c r="K149" s="196">
        <v>0</v>
      </c>
    </row>
    <row r="150" spans="1:11">
      <c r="A150" s="182" t="s">
        <v>185</v>
      </c>
      <c r="B150" s="181" t="s">
        <v>183</v>
      </c>
      <c r="C150" s="178"/>
      <c r="D150" s="178"/>
      <c r="E150" s="178"/>
      <c r="F150" s="240" t="s">
        <v>73</v>
      </c>
      <c r="G150" s="240" t="s">
        <v>73</v>
      </c>
      <c r="H150" s="196">
        <v>2208985</v>
      </c>
      <c r="I150" s="196">
        <v>0</v>
      </c>
      <c r="J150" s="196">
        <v>0</v>
      </c>
      <c r="K150" s="196">
        <v>2208985</v>
      </c>
    </row>
    <row r="151" spans="1:11">
      <c r="A151" s="178"/>
      <c r="B151" s="181"/>
      <c r="C151" s="178"/>
      <c r="D151" s="178"/>
      <c r="E151" s="178"/>
      <c r="F151" s="213"/>
      <c r="G151" s="213"/>
      <c r="H151" s="213"/>
      <c r="I151" s="213"/>
      <c r="J151" s="213"/>
      <c r="K151" s="213"/>
    </row>
    <row r="152" spans="1:11">
      <c r="A152" s="185" t="s">
        <v>165</v>
      </c>
      <c r="B152" s="181" t="s">
        <v>26</v>
      </c>
      <c r="C152" s="178"/>
      <c r="D152" s="178"/>
      <c r="E152" s="178"/>
      <c r="F152" s="243">
        <v>95167.74</v>
      </c>
      <c r="G152" s="243">
        <v>371905.7</v>
      </c>
      <c r="H152" s="392">
        <v>35956957.809569739</v>
      </c>
      <c r="I152" s="392">
        <v>1145771.8612584772</v>
      </c>
      <c r="J152" s="392">
        <v>1125782</v>
      </c>
      <c r="K152" s="392">
        <v>58159947.670828216</v>
      </c>
    </row>
    <row r="154" spans="1:11">
      <c r="A154" s="185" t="s">
        <v>168</v>
      </c>
      <c r="B154" s="181" t="s">
        <v>28</v>
      </c>
      <c r="C154" s="178"/>
      <c r="D154" s="178"/>
      <c r="E154" s="178"/>
      <c r="F154" s="393">
        <f>K152/F121</f>
        <v>0.10961104191048339</v>
      </c>
      <c r="G154" s="178"/>
      <c r="H154" s="178"/>
      <c r="I154" s="178"/>
      <c r="J154" s="178"/>
      <c r="K154" s="178"/>
    </row>
    <row r="155" spans="1:11">
      <c r="A155" s="185" t="s">
        <v>169</v>
      </c>
      <c r="B155" s="181" t="s">
        <v>72</v>
      </c>
      <c r="C155" s="178"/>
      <c r="D155" s="178"/>
      <c r="E155" s="178"/>
      <c r="F155" s="393">
        <f>K152/F127</f>
        <v>3.8529279675937871</v>
      </c>
      <c r="G155" s="181"/>
      <c r="H155" s="178"/>
      <c r="I155" s="178"/>
      <c r="J155" s="178"/>
      <c r="K155" s="178"/>
    </row>
    <row r="156" spans="1:11">
      <c r="A156" s="178"/>
      <c r="B156" s="178"/>
      <c r="C156" s="178"/>
      <c r="D156" s="178"/>
      <c r="E156" s="178"/>
      <c r="F156" s="178"/>
      <c r="G156" s="181"/>
      <c r="H156" s="178"/>
      <c r="I156" s="178"/>
      <c r="J156" s="178"/>
      <c r="K156" s="178"/>
    </row>
  </sheetData>
  <mergeCells count="28">
    <mergeCell ref="B106:D106"/>
    <mergeCell ref="B133:D133"/>
    <mergeCell ref="B134:D134"/>
    <mergeCell ref="B135:D135"/>
    <mergeCell ref="B94:D94"/>
    <mergeCell ref="B95:D95"/>
    <mergeCell ref="B96:D96"/>
    <mergeCell ref="B103:C103"/>
    <mergeCell ref="B104:D104"/>
    <mergeCell ref="B105:D105"/>
    <mergeCell ref="B90:C90"/>
    <mergeCell ref="C11:G11"/>
    <mergeCell ref="B13:H13"/>
    <mergeCell ref="A16:B16"/>
    <mergeCell ref="A19:B19"/>
    <mergeCell ref="B30:D30"/>
    <mergeCell ref="B31:D31"/>
    <mergeCell ref="B34:D34"/>
    <mergeCell ref="B41:C41"/>
    <mergeCell ref="B52:C52"/>
    <mergeCell ref="B60:D60"/>
    <mergeCell ref="B61:D61"/>
    <mergeCell ref="C10:G10"/>
    <mergeCell ref="D2:H2"/>
    <mergeCell ref="C5:G5"/>
    <mergeCell ref="C6:G6"/>
    <mergeCell ref="C7:G7"/>
    <mergeCell ref="C9:G9"/>
  </mergeCells>
  <pageMargins left="0.45" right="0.45" top="0.75" bottom="0.75" header="0.3" footer="0.3"/>
  <pageSetup scale="7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topLeftCell="A112" zoomScale="60" zoomScaleNormal="60" workbookViewId="0">
      <selection activeCell="A157" sqref="A157:XFD168"/>
    </sheetView>
  </sheetViews>
  <sheetFormatPr defaultRowHeight="18" customHeight="1"/>
  <cols>
    <col min="1" max="1" width="8.28515625" style="8" customWidth="1"/>
    <col min="2" max="2" width="55.42578125" bestFit="1" customWidth="1"/>
    <col min="3" max="3" width="6.5703125" customWidth="1"/>
    <col min="4" max="4" width="4.7109375" customWidth="1"/>
    <col min="5" max="5" width="12.42578125" customWidth="1"/>
    <col min="6" max="6" width="18.5703125" customWidth="1"/>
    <col min="7" max="7" width="23.5703125" customWidth="1"/>
    <col min="8" max="8" width="17.140625" style="425" customWidth="1"/>
    <col min="9" max="9" width="21.140625" style="425" customWidth="1"/>
    <col min="10" max="10" width="19.85546875" style="425" customWidth="1"/>
    <col min="11" max="11" width="17.5703125" customWidth="1"/>
  </cols>
  <sheetData>
    <row r="1" spans="1:11" ht="18" customHeight="1">
      <c r="C1" s="4"/>
      <c r="D1" s="3"/>
      <c r="E1" s="4"/>
      <c r="F1" s="4"/>
      <c r="G1" s="4"/>
      <c r="H1" s="423"/>
      <c r="I1" s="423"/>
      <c r="J1" s="423"/>
      <c r="K1" s="4"/>
    </row>
    <row r="2" spans="1:11" ht="18" customHeight="1">
      <c r="D2" s="424" t="s">
        <v>371</v>
      </c>
      <c r="E2" s="424"/>
      <c r="F2" s="424"/>
      <c r="G2" s="424"/>
      <c r="H2" s="424"/>
    </row>
    <row r="3" spans="1:11" ht="18" customHeight="1">
      <c r="B3" s="2" t="s">
        <v>0</v>
      </c>
    </row>
    <row r="5" spans="1:11" ht="18" customHeight="1">
      <c r="B5" s="5" t="s">
        <v>40</v>
      </c>
      <c r="C5" s="773" t="s">
        <v>796</v>
      </c>
      <c r="D5" s="774"/>
      <c r="E5" s="774"/>
      <c r="F5" s="774"/>
      <c r="G5" s="775"/>
    </row>
    <row r="6" spans="1:11" ht="18" customHeight="1">
      <c r="B6" s="5" t="s">
        <v>3</v>
      </c>
      <c r="C6" s="776">
        <v>210030</v>
      </c>
      <c r="D6" s="774"/>
      <c r="E6" s="774"/>
      <c r="F6" s="774"/>
      <c r="G6" s="775"/>
    </row>
    <row r="7" spans="1:11" ht="18" customHeight="1">
      <c r="B7" s="5" t="s">
        <v>4</v>
      </c>
      <c r="C7" s="777">
        <v>374</v>
      </c>
      <c r="D7" s="778"/>
      <c r="E7" s="778"/>
      <c r="F7" s="778"/>
      <c r="G7" s="778"/>
    </row>
    <row r="9" spans="1:11" ht="18" customHeight="1">
      <c r="B9" s="5" t="s">
        <v>1</v>
      </c>
      <c r="C9" s="771" t="s">
        <v>773</v>
      </c>
      <c r="D9" s="772"/>
      <c r="E9" s="772"/>
      <c r="F9" s="772"/>
      <c r="G9" s="772"/>
    </row>
    <row r="10" spans="1:11" ht="18" customHeight="1">
      <c r="B10" s="5" t="s">
        <v>2</v>
      </c>
      <c r="C10" s="771" t="s">
        <v>774</v>
      </c>
      <c r="D10" s="772"/>
      <c r="E10" s="772"/>
      <c r="F10" s="772"/>
      <c r="G10" s="772"/>
    </row>
    <row r="11" spans="1:11" ht="18" customHeight="1">
      <c r="B11" s="5" t="s">
        <v>32</v>
      </c>
      <c r="C11" s="771" t="s">
        <v>775</v>
      </c>
      <c r="D11" s="772"/>
      <c r="E11" s="772"/>
      <c r="F11" s="772"/>
      <c r="G11" s="772"/>
    </row>
    <row r="12" spans="1:11" ht="18" customHeight="1">
      <c r="B12" s="5"/>
      <c r="C12" s="5"/>
      <c r="D12" s="5"/>
      <c r="E12" s="5"/>
      <c r="F12" s="5"/>
      <c r="G12" s="5"/>
    </row>
    <row r="13" spans="1:11" ht="24.6" customHeight="1">
      <c r="B13" s="666"/>
      <c r="C13" s="667"/>
      <c r="D13" s="667"/>
      <c r="E13" s="667"/>
      <c r="F13" s="667"/>
      <c r="G13" s="667"/>
      <c r="H13" s="668"/>
      <c r="I13" s="423"/>
    </row>
    <row r="14" spans="1:11" ht="18" customHeight="1">
      <c r="B14" s="7"/>
    </row>
    <row r="15" spans="1:11" ht="18" customHeight="1">
      <c r="B15" s="7"/>
    </row>
    <row r="16" spans="1:11" ht="45.2" customHeight="1">
      <c r="A16" s="3" t="s">
        <v>181</v>
      </c>
      <c r="B16" s="4"/>
      <c r="C16" s="4"/>
      <c r="D16" s="4"/>
      <c r="E16" s="4"/>
      <c r="F16" s="9" t="s">
        <v>9</v>
      </c>
      <c r="G16" s="9" t="s">
        <v>37</v>
      </c>
      <c r="H16" s="426" t="s">
        <v>29</v>
      </c>
      <c r="I16" s="426" t="s">
        <v>30</v>
      </c>
      <c r="J16" s="426" t="s">
        <v>33</v>
      </c>
      <c r="K16" s="9" t="s">
        <v>34</v>
      </c>
    </row>
    <row r="17" spans="1:11" ht="18" customHeight="1">
      <c r="A17" s="6" t="s">
        <v>184</v>
      </c>
      <c r="B17" s="2" t="s">
        <v>182</v>
      </c>
    </row>
    <row r="18" spans="1:11" ht="18" customHeight="1">
      <c r="A18" s="5" t="s">
        <v>185</v>
      </c>
      <c r="B18" s="341" t="s">
        <v>183</v>
      </c>
      <c r="F18" s="14" t="s">
        <v>73</v>
      </c>
      <c r="G18" s="14" t="s">
        <v>73</v>
      </c>
      <c r="H18" s="427">
        <v>1520965</v>
      </c>
      <c r="I18" s="428">
        <v>0</v>
      </c>
      <c r="J18" s="427">
        <v>1300615</v>
      </c>
      <c r="K18" s="16">
        <f>(H18+I18)-J18</f>
        <v>220350</v>
      </c>
    </row>
    <row r="19" spans="1:11" ht="45.2" customHeight="1">
      <c r="A19" s="3" t="s">
        <v>8</v>
      </c>
      <c r="B19" s="4"/>
      <c r="C19" s="4"/>
      <c r="D19" s="4"/>
      <c r="E19" s="4"/>
      <c r="F19" s="9" t="s">
        <v>9</v>
      </c>
      <c r="G19" s="9" t="s">
        <v>37</v>
      </c>
      <c r="H19" s="426" t="s">
        <v>29</v>
      </c>
      <c r="I19" s="426" t="s">
        <v>30</v>
      </c>
      <c r="J19" s="426" t="s">
        <v>33</v>
      </c>
      <c r="K19" s="9" t="s">
        <v>34</v>
      </c>
    </row>
    <row r="20" spans="1:11" ht="18" customHeight="1">
      <c r="A20" s="6" t="s">
        <v>74</v>
      </c>
      <c r="B20" s="2" t="s">
        <v>41</v>
      </c>
    </row>
    <row r="21" spans="1:11" ht="18" customHeight="1">
      <c r="A21" s="5" t="s">
        <v>75</v>
      </c>
      <c r="B21" s="341" t="s">
        <v>42</v>
      </c>
      <c r="F21" s="14">
        <v>262</v>
      </c>
      <c r="G21" s="14">
        <v>3678</v>
      </c>
      <c r="H21" s="14">
        <v>11709.441285691997</v>
      </c>
      <c r="I21" s="14">
        <v>6523.3297402590115</v>
      </c>
      <c r="J21" s="14">
        <v>0</v>
      </c>
      <c r="K21" s="16">
        <f t="shared" ref="K21:K34" si="0">(H21+I21)-J21</f>
        <v>18232.77102595101</v>
      </c>
    </row>
    <row r="22" spans="1:11" ht="18" customHeight="1">
      <c r="A22" s="5" t="s">
        <v>76</v>
      </c>
      <c r="B22" t="s">
        <v>6</v>
      </c>
      <c r="F22" s="14">
        <v>145</v>
      </c>
      <c r="G22" s="14">
        <v>410</v>
      </c>
      <c r="H22" s="14">
        <v>7162.066742081448</v>
      </c>
      <c r="I22" s="14">
        <v>3989.9873820135758</v>
      </c>
      <c r="J22" s="14">
        <v>0</v>
      </c>
      <c r="K22" s="16">
        <f t="shared" si="0"/>
        <v>11152.054124095024</v>
      </c>
    </row>
    <row r="23" spans="1:11" ht="18" customHeight="1">
      <c r="A23" s="5" t="s">
        <v>77</v>
      </c>
      <c r="B23" t="s">
        <v>43</v>
      </c>
      <c r="F23" s="14"/>
      <c r="G23" s="14"/>
      <c r="H23" s="14"/>
      <c r="I23" s="14"/>
      <c r="J23" s="14"/>
      <c r="K23" s="16">
        <f t="shared" si="0"/>
        <v>0</v>
      </c>
    </row>
    <row r="24" spans="1:11" ht="18" customHeight="1">
      <c r="A24" s="5" t="s">
        <v>78</v>
      </c>
      <c r="B24" t="s">
        <v>44</v>
      </c>
      <c r="F24" s="14">
        <v>500</v>
      </c>
      <c r="G24" s="14">
        <v>60</v>
      </c>
      <c r="H24" s="14">
        <v>22110.574972694645</v>
      </c>
      <c r="I24" s="14">
        <v>12317.801317288187</v>
      </c>
      <c r="J24" s="14">
        <v>0.1</v>
      </c>
      <c r="K24" s="16">
        <f t="shared" si="0"/>
        <v>34428.27628998283</v>
      </c>
    </row>
    <row r="25" spans="1:11" ht="18" customHeight="1">
      <c r="A25" s="5" t="s">
        <v>79</v>
      </c>
      <c r="B25" t="s">
        <v>5</v>
      </c>
      <c r="F25" s="14"/>
      <c r="G25" s="14"/>
      <c r="H25" s="14"/>
      <c r="I25" s="14"/>
      <c r="J25" s="14"/>
      <c r="K25" s="16">
        <f t="shared" si="0"/>
        <v>0</v>
      </c>
    </row>
    <row r="26" spans="1:11" ht="18" customHeight="1">
      <c r="A26" s="5" t="s">
        <v>80</v>
      </c>
      <c r="B26" t="s">
        <v>45</v>
      </c>
      <c r="F26" s="14"/>
      <c r="G26" s="14"/>
      <c r="H26" s="14"/>
      <c r="I26" s="14"/>
      <c r="J26" s="14"/>
      <c r="K26" s="16">
        <f t="shared" si="0"/>
        <v>0</v>
      </c>
    </row>
    <row r="27" spans="1:11" ht="18" customHeight="1">
      <c r="A27" s="5" t="s">
        <v>81</v>
      </c>
      <c r="B27" t="s">
        <v>46</v>
      </c>
      <c r="F27" s="14"/>
      <c r="G27" s="14"/>
      <c r="H27" s="14"/>
      <c r="I27" s="14"/>
      <c r="J27" s="14"/>
      <c r="K27" s="16">
        <f t="shared" si="0"/>
        <v>0</v>
      </c>
    </row>
    <row r="28" spans="1:11" ht="18" customHeight="1">
      <c r="A28" s="5" t="s">
        <v>82</v>
      </c>
      <c r="B28" t="s">
        <v>47</v>
      </c>
      <c r="F28" s="14"/>
      <c r="G28" s="14"/>
      <c r="H28" s="14"/>
      <c r="I28" s="14"/>
      <c r="J28" s="14"/>
      <c r="K28" s="16">
        <f t="shared" si="0"/>
        <v>0</v>
      </c>
    </row>
    <row r="29" spans="1:11" ht="18" customHeight="1">
      <c r="A29" s="5" t="s">
        <v>83</v>
      </c>
      <c r="B29" t="s">
        <v>48</v>
      </c>
      <c r="F29" s="14"/>
      <c r="G29" s="14"/>
      <c r="H29" s="14"/>
      <c r="I29" s="14"/>
      <c r="J29" s="14"/>
      <c r="K29" s="16">
        <f t="shared" si="0"/>
        <v>0</v>
      </c>
    </row>
    <row r="30" spans="1:11" ht="18" customHeight="1">
      <c r="A30" s="5" t="s">
        <v>84</v>
      </c>
      <c r="B30" s="636"/>
      <c r="C30" s="637"/>
      <c r="D30" s="638"/>
      <c r="F30" s="14"/>
      <c r="G30" s="14"/>
      <c r="H30" s="14"/>
      <c r="I30" s="14"/>
      <c r="J30" s="14"/>
      <c r="K30" s="16">
        <f t="shared" si="0"/>
        <v>0</v>
      </c>
    </row>
    <row r="31" spans="1:11" ht="18" customHeight="1">
      <c r="A31" s="5" t="s">
        <v>133</v>
      </c>
      <c r="B31" s="636"/>
      <c r="C31" s="637"/>
      <c r="D31" s="638"/>
      <c r="F31" s="14"/>
      <c r="G31" s="14"/>
      <c r="H31" s="14"/>
      <c r="I31" s="14"/>
      <c r="J31" s="14"/>
      <c r="K31" s="16">
        <f t="shared" si="0"/>
        <v>0</v>
      </c>
    </row>
    <row r="32" spans="1:11" ht="18" customHeight="1">
      <c r="A32" s="5" t="s">
        <v>134</v>
      </c>
      <c r="B32" s="363"/>
      <c r="C32" s="364"/>
      <c r="D32" s="365"/>
      <c r="F32" s="14"/>
      <c r="G32" s="14"/>
      <c r="H32" s="14"/>
      <c r="I32" s="14"/>
      <c r="J32" s="14"/>
      <c r="K32" s="16">
        <f t="shared" si="0"/>
        <v>0</v>
      </c>
    </row>
    <row r="33" spans="1:11" ht="18" customHeight="1">
      <c r="A33" s="5" t="s">
        <v>135</v>
      </c>
      <c r="B33" s="363"/>
      <c r="C33" s="364"/>
      <c r="D33" s="365"/>
      <c r="F33" s="14"/>
      <c r="G33" s="14"/>
      <c r="H33" s="14"/>
      <c r="I33" s="14"/>
      <c r="J33" s="14"/>
      <c r="K33" s="16">
        <f t="shared" si="0"/>
        <v>0</v>
      </c>
    </row>
    <row r="34" spans="1:11" ht="18" customHeight="1">
      <c r="A34" s="5" t="s">
        <v>136</v>
      </c>
      <c r="B34" s="636"/>
      <c r="C34" s="637"/>
      <c r="D34" s="638"/>
      <c r="F34" s="14"/>
      <c r="G34" s="342" t="s">
        <v>85</v>
      </c>
      <c r="H34" s="427"/>
      <c r="I34" s="428">
        <f>H34*F$114</f>
        <v>0</v>
      </c>
      <c r="J34" s="427"/>
      <c r="K34" s="16">
        <f t="shared" si="0"/>
        <v>0</v>
      </c>
    </row>
    <row r="35" spans="1:11" ht="18" customHeight="1">
      <c r="K35" s="44"/>
    </row>
    <row r="36" spans="1:11" ht="18" customHeight="1">
      <c r="A36" s="6" t="s">
        <v>137</v>
      </c>
      <c r="B36" s="2" t="s">
        <v>138</v>
      </c>
      <c r="E36" s="2" t="s">
        <v>7</v>
      </c>
      <c r="F36" s="18">
        <f t="shared" ref="F36:K36" si="1">SUM(F21:F34)</f>
        <v>907</v>
      </c>
      <c r="G36" s="18">
        <f t="shared" si="1"/>
        <v>4148</v>
      </c>
      <c r="H36" s="429">
        <f t="shared" si="1"/>
        <v>40982.08300046809</v>
      </c>
      <c r="I36" s="429">
        <f t="shared" si="1"/>
        <v>22831.118439560774</v>
      </c>
      <c r="J36" s="429">
        <f t="shared" si="1"/>
        <v>0.1</v>
      </c>
      <c r="K36" s="16">
        <f t="shared" si="1"/>
        <v>63813.101440028862</v>
      </c>
    </row>
    <row r="37" spans="1:11" ht="18" customHeight="1" thickBot="1">
      <c r="B37" s="2"/>
      <c r="F37" s="19"/>
      <c r="G37" s="19"/>
      <c r="H37" s="430"/>
      <c r="I37" s="430"/>
      <c r="J37" s="430"/>
      <c r="K37" s="45"/>
    </row>
    <row r="38" spans="1:11" ht="42.75" customHeight="1">
      <c r="F38" s="9" t="s">
        <v>9</v>
      </c>
      <c r="G38" s="9" t="s">
        <v>37</v>
      </c>
      <c r="H38" s="426" t="s">
        <v>29</v>
      </c>
      <c r="I38" s="426" t="s">
        <v>30</v>
      </c>
      <c r="J38" s="426" t="s">
        <v>33</v>
      </c>
      <c r="K38" s="9" t="s">
        <v>34</v>
      </c>
    </row>
    <row r="39" spans="1:11" ht="18.75" customHeight="1">
      <c r="A39" s="6" t="s">
        <v>86</v>
      </c>
      <c r="B39" s="2" t="s">
        <v>49</v>
      </c>
    </row>
    <row r="40" spans="1:11" ht="18" customHeight="1">
      <c r="A40" s="5" t="s">
        <v>87</v>
      </c>
      <c r="B40" t="s">
        <v>31</v>
      </c>
      <c r="F40" s="14"/>
      <c r="G40" s="14"/>
      <c r="H40" s="427"/>
      <c r="I40" s="428">
        <v>0</v>
      </c>
      <c r="J40" s="427"/>
      <c r="K40" s="16">
        <f t="shared" ref="K40:K47" si="2">(H40+I40)-J40</f>
        <v>0</v>
      </c>
    </row>
    <row r="41" spans="1:11" ht="18" customHeight="1">
      <c r="A41" s="5" t="s">
        <v>88</v>
      </c>
      <c r="B41" s="641" t="s">
        <v>50</v>
      </c>
      <c r="C41" s="649"/>
      <c r="F41" s="14">
        <v>0</v>
      </c>
      <c r="G41" s="14">
        <v>0</v>
      </c>
      <c r="H41" s="427">
        <v>0</v>
      </c>
      <c r="I41" s="428">
        <v>0</v>
      </c>
      <c r="J41" s="427">
        <v>0</v>
      </c>
      <c r="K41" s="16">
        <f t="shared" si="2"/>
        <v>0</v>
      </c>
    </row>
    <row r="42" spans="1:11" ht="18" customHeight="1">
      <c r="A42" s="5" t="s">
        <v>89</v>
      </c>
      <c r="B42" s="341" t="s">
        <v>11</v>
      </c>
      <c r="F42" s="14"/>
      <c r="G42" s="14"/>
      <c r="H42" s="427"/>
      <c r="I42" s="428"/>
      <c r="J42" s="427"/>
      <c r="K42" s="16">
        <f t="shared" si="2"/>
        <v>0</v>
      </c>
    </row>
    <row r="43" spans="1:11" ht="18" customHeight="1">
      <c r="A43" s="5" t="s">
        <v>90</v>
      </c>
      <c r="B43" s="343" t="s">
        <v>10</v>
      </c>
      <c r="C43" s="10"/>
      <c r="D43" s="10"/>
      <c r="F43" s="14">
        <v>0</v>
      </c>
      <c r="G43" s="14">
        <v>0</v>
      </c>
      <c r="H43" s="14">
        <v>5000</v>
      </c>
      <c r="I43" s="14">
        <v>2785.5</v>
      </c>
      <c r="J43" s="14">
        <v>0</v>
      </c>
      <c r="K43" s="16">
        <f t="shared" si="2"/>
        <v>7785.5</v>
      </c>
    </row>
    <row r="44" spans="1:11" ht="18" customHeight="1">
      <c r="A44" s="5" t="s">
        <v>91</v>
      </c>
      <c r="B44" s="636" t="s">
        <v>797</v>
      </c>
      <c r="C44" s="637"/>
      <c r="D44" s="638"/>
      <c r="F44" s="14"/>
      <c r="G44" s="14"/>
      <c r="H44" s="14"/>
      <c r="I44" s="14"/>
      <c r="J44" s="14"/>
      <c r="K44" s="17">
        <f t="shared" si="2"/>
        <v>0</v>
      </c>
    </row>
    <row r="45" spans="1:11" ht="18" customHeight="1">
      <c r="A45" s="5" t="s">
        <v>139</v>
      </c>
      <c r="B45" s="636"/>
      <c r="C45" s="637"/>
      <c r="D45" s="638"/>
      <c r="F45" s="14"/>
      <c r="G45" s="14"/>
      <c r="H45" s="427"/>
      <c r="I45" s="428">
        <v>0</v>
      </c>
      <c r="J45" s="427"/>
      <c r="K45" s="16">
        <f t="shared" si="2"/>
        <v>0</v>
      </c>
    </row>
    <row r="46" spans="1:11" ht="18" customHeight="1">
      <c r="A46" s="5" t="s">
        <v>140</v>
      </c>
      <c r="B46" s="636"/>
      <c r="C46" s="637"/>
      <c r="D46" s="638"/>
      <c r="F46" s="14"/>
      <c r="G46" s="14"/>
      <c r="H46" s="427"/>
      <c r="I46" s="428">
        <v>0</v>
      </c>
      <c r="J46" s="427"/>
      <c r="K46" s="16">
        <f t="shared" si="2"/>
        <v>0</v>
      </c>
    </row>
    <row r="47" spans="1:11" ht="18" customHeight="1">
      <c r="A47" s="5" t="s">
        <v>141</v>
      </c>
      <c r="B47" s="636"/>
      <c r="C47" s="637"/>
      <c r="D47" s="638"/>
      <c r="F47" s="14"/>
      <c r="G47" s="14"/>
      <c r="H47" s="427"/>
      <c r="I47" s="428">
        <v>0</v>
      </c>
      <c r="J47" s="427"/>
      <c r="K47" s="16">
        <f t="shared" si="2"/>
        <v>0</v>
      </c>
    </row>
    <row r="49" spans="1:11" ht="18" customHeight="1">
      <c r="A49" s="6" t="s">
        <v>142</v>
      </c>
      <c r="B49" s="2" t="s">
        <v>143</v>
      </c>
      <c r="E49" s="2" t="s">
        <v>7</v>
      </c>
      <c r="F49" s="23">
        <f t="shared" ref="F49:K49" si="3">SUM(F40:F47)</f>
        <v>0</v>
      </c>
      <c r="G49" s="23">
        <f t="shared" si="3"/>
        <v>0</v>
      </c>
      <c r="H49" s="429">
        <f t="shared" si="3"/>
        <v>5000</v>
      </c>
      <c r="I49" s="429">
        <f t="shared" si="3"/>
        <v>2785.5</v>
      </c>
      <c r="J49" s="429">
        <f t="shared" si="3"/>
        <v>0</v>
      </c>
      <c r="K49" s="16">
        <f t="shared" si="3"/>
        <v>7785.5</v>
      </c>
    </row>
    <row r="50" spans="1:11" ht="18" customHeight="1" thickBot="1">
      <c r="G50" s="24"/>
      <c r="H50" s="431"/>
      <c r="I50" s="431"/>
      <c r="J50" s="431"/>
      <c r="K50" s="24"/>
    </row>
    <row r="51" spans="1:11" ht="42.75" customHeight="1">
      <c r="F51" s="9" t="s">
        <v>9</v>
      </c>
      <c r="G51" s="9" t="s">
        <v>37</v>
      </c>
      <c r="H51" s="426" t="s">
        <v>29</v>
      </c>
      <c r="I51" s="426" t="s">
        <v>30</v>
      </c>
      <c r="J51" s="426" t="s">
        <v>33</v>
      </c>
      <c r="K51" s="9" t="s">
        <v>34</v>
      </c>
    </row>
    <row r="52" spans="1:11" ht="18" customHeight="1">
      <c r="A52" s="6" t="s">
        <v>92</v>
      </c>
      <c r="B52" s="645" t="s">
        <v>38</v>
      </c>
      <c r="C52" s="646"/>
    </row>
    <row r="53" spans="1:11" ht="18" customHeight="1">
      <c r="A53" s="5" t="s">
        <v>51</v>
      </c>
      <c r="B53" s="369" t="s">
        <v>798</v>
      </c>
      <c r="C53" s="361"/>
      <c r="D53" s="362"/>
      <c r="F53" s="14">
        <v>2600</v>
      </c>
      <c r="G53" s="14">
        <v>281</v>
      </c>
      <c r="H53" s="14">
        <v>726368.52762659476</v>
      </c>
      <c r="I53" s="14">
        <v>404659.90674077591</v>
      </c>
      <c r="J53" s="14">
        <v>35289</v>
      </c>
      <c r="K53" s="16">
        <f t="shared" ref="K53:K62" si="4">(H53+I53)-J53</f>
        <v>1095739.4343673708</v>
      </c>
    </row>
    <row r="54" spans="1:11" ht="18" customHeight="1">
      <c r="A54" s="5" t="s">
        <v>93</v>
      </c>
      <c r="B54" s="360" t="s">
        <v>799</v>
      </c>
      <c r="C54" s="361"/>
      <c r="D54" s="362"/>
      <c r="F54" s="14"/>
      <c r="G54" s="14">
        <v>9624</v>
      </c>
      <c r="H54" s="427">
        <v>363735</v>
      </c>
      <c r="I54" s="428">
        <v>202636.76850000001</v>
      </c>
      <c r="J54" s="427"/>
      <c r="K54" s="16">
        <f t="shared" si="4"/>
        <v>566371.76850000001</v>
      </c>
    </row>
    <row r="55" spans="1:11" ht="18" customHeight="1">
      <c r="A55" s="5" t="s">
        <v>94</v>
      </c>
      <c r="B55" s="360" t="s">
        <v>800</v>
      </c>
      <c r="C55" s="361"/>
      <c r="D55" s="362"/>
      <c r="F55" s="14">
        <v>10950</v>
      </c>
      <c r="G55" s="14">
        <v>15260</v>
      </c>
      <c r="H55" s="427">
        <v>2770323</v>
      </c>
      <c r="I55" s="428">
        <v>1543346.9433000002</v>
      </c>
      <c r="J55" s="427">
        <v>2820435.5219999999</v>
      </c>
      <c r="K55" s="16">
        <f t="shared" si="4"/>
        <v>1493234.4213000005</v>
      </c>
    </row>
    <row r="56" spans="1:11" ht="18" customHeight="1">
      <c r="A56" s="5" t="s">
        <v>95</v>
      </c>
      <c r="B56" s="369" t="s">
        <v>801</v>
      </c>
      <c r="C56" s="361"/>
      <c r="D56" s="362"/>
      <c r="F56" s="14"/>
      <c r="G56" s="14"/>
      <c r="H56" s="427">
        <v>271921</v>
      </c>
      <c r="I56" s="428">
        <v>151487.18910000002</v>
      </c>
      <c r="J56" s="427"/>
      <c r="K56" s="16">
        <f t="shared" si="4"/>
        <v>423408.18910000002</v>
      </c>
    </row>
    <row r="57" spans="1:11" ht="18" customHeight="1">
      <c r="A57" s="5" t="s">
        <v>96</v>
      </c>
      <c r="B57" s="369" t="s">
        <v>802</v>
      </c>
      <c r="C57" s="370"/>
      <c r="D57" s="371"/>
      <c r="F57" s="14"/>
      <c r="G57" s="14"/>
      <c r="H57" s="427">
        <v>131060</v>
      </c>
      <c r="I57" s="428">
        <v>73013.525999999998</v>
      </c>
      <c r="J57" s="427"/>
      <c r="K57" s="16">
        <f t="shared" si="4"/>
        <v>204073.52600000001</v>
      </c>
    </row>
    <row r="58" spans="1:11" ht="18" customHeight="1">
      <c r="A58" s="5" t="s">
        <v>97</v>
      </c>
      <c r="B58" s="369" t="s">
        <v>803</v>
      </c>
      <c r="C58" s="361"/>
      <c r="D58" s="362"/>
      <c r="F58" s="14"/>
      <c r="G58" s="14"/>
      <c r="H58" s="427">
        <v>160387</v>
      </c>
      <c r="I58" s="428">
        <v>89351.597700000013</v>
      </c>
      <c r="J58" s="427"/>
      <c r="K58" s="16">
        <f t="shared" si="4"/>
        <v>249738.59770000001</v>
      </c>
    </row>
    <row r="59" spans="1:11" ht="18" customHeight="1">
      <c r="A59" s="5" t="s">
        <v>98</v>
      </c>
      <c r="B59" s="650" t="s">
        <v>804</v>
      </c>
      <c r="C59" s="643"/>
      <c r="D59" s="644"/>
      <c r="F59" s="14"/>
      <c r="G59" s="14"/>
      <c r="H59" s="14"/>
      <c r="I59" s="428">
        <v>0</v>
      </c>
      <c r="J59" s="14"/>
      <c r="K59" s="16">
        <f t="shared" si="4"/>
        <v>0</v>
      </c>
    </row>
    <row r="60" spans="1:11" ht="18" customHeight="1">
      <c r="A60" s="5" t="s">
        <v>99</v>
      </c>
      <c r="B60" s="369" t="s">
        <v>805</v>
      </c>
      <c r="C60" s="361"/>
      <c r="D60" s="362"/>
      <c r="F60" s="14">
        <v>1102.8904958677685</v>
      </c>
      <c r="G60" s="14">
        <v>1470.5206611570247</v>
      </c>
      <c r="H60" s="14">
        <v>889665</v>
      </c>
      <c r="I60" s="428">
        <v>495632.37150000001</v>
      </c>
      <c r="J60" s="427"/>
      <c r="K60" s="16">
        <f t="shared" si="4"/>
        <v>1385297.3714999999</v>
      </c>
    </row>
    <row r="61" spans="1:11" ht="18" customHeight="1">
      <c r="A61" s="5" t="s">
        <v>100</v>
      </c>
      <c r="B61" s="650"/>
      <c r="C61" s="643"/>
      <c r="D61" s="644"/>
      <c r="F61" s="14"/>
      <c r="G61" s="14"/>
      <c r="H61" s="427">
        <v>0</v>
      </c>
      <c r="I61" s="428">
        <v>0</v>
      </c>
      <c r="J61" s="427"/>
      <c r="K61" s="16">
        <f t="shared" si="4"/>
        <v>0</v>
      </c>
    </row>
    <row r="62" spans="1:11" ht="18" customHeight="1">
      <c r="A62" s="5" t="s">
        <v>101</v>
      </c>
      <c r="B62" s="650"/>
      <c r="C62" s="643"/>
      <c r="D62" s="644"/>
      <c r="F62" s="14"/>
      <c r="G62" s="14"/>
      <c r="H62" s="14"/>
      <c r="I62" s="428">
        <v>0</v>
      </c>
      <c r="J62" s="14"/>
      <c r="K62" s="16">
        <f t="shared" si="4"/>
        <v>0</v>
      </c>
    </row>
    <row r="63" spans="1:11" ht="18" customHeight="1">
      <c r="A63" s="5"/>
      <c r="I63" s="433"/>
    </row>
    <row r="64" spans="1:11" ht="18" customHeight="1">
      <c r="A64" s="5" t="s">
        <v>144</v>
      </c>
      <c r="B64" s="2" t="s">
        <v>145</v>
      </c>
      <c r="E64" s="2" t="s">
        <v>7</v>
      </c>
      <c r="F64" s="18">
        <f t="shared" ref="F64:K64" si="5">SUM(F53:F62)</f>
        <v>14652.890495867769</v>
      </c>
      <c r="G64" s="18">
        <f t="shared" si="5"/>
        <v>26635.520661157025</v>
      </c>
      <c r="H64" s="429">
        <f t="shared" si="5"/>
        <v>5313459.5276265945</v>
      </c>
      <c r="I64" s="429">
        <f t="shared" si="5"/>
        <v>2960128.3028407758</v>
      </c>
      <c r="J64" s="429">
        <f t="shared" si="5"/>
        <v>2855724.5219999999</v>
      </c>
      <c r="K64" s="16">
        <f t="shared" si="5"/>
        <v>5417863.3084673714</v>
      </c>
    </row>
    <row r="65" spans="1:11" ht="18" customHeight="1">
      <c r="F65" s="48"/>
      <c r="G65" s="48"/>
      <c r="H65" s="434"/>
      <c r="I65" s="434"/>
      <c r="J65" s="434"/>
      <c r="K65" s="48"/>
    </row>
    <row r="66" spans="1:11" ht="42.75" customHeight="1">
      <c r="F66" s="57" t="s">
        <v>9</v>
      </c>
      <c r="G66" s="57" t="s">
        <v>37</v>
      </c>
      <c r="H66" s="435" t="s">
        <v>29</v>
      </c>
      <c r="I66" s="435" t="s">
        <v>30</v>
      </c>
      <c r="J66" s="435" t="s">
        <v>33</v>
      </c>
      <c r="K66" s="57" t="s">
        <v>34</v>
      </c>
    </row>
    <row r="67" spans="1:11" ht="18" customHeight="1">
      <c r="A67" s="6" t="s">
        <v>102</v>
      </c>
      <c r="B67" s="2" t="s">
        <v>12</v>
      </c>
      <c r="F67" s="58"/>
      <c r="G67" s="58"/>
      <c r="H67" s="436"/>
      <c r="I67" s="437"/>
      <c r="J67" s="436"/>
      <c r="K67" s="60"/>
    </row>
    <row r="68" spans="1:11" ht="18" customHeight="1">
      <c r="A68" s="5" t="s">
        <v>103</v>
      </c>
      <c r="B68" t="s">
        <v>52</v>
      </c>
      <c r="F68" s="51"/>
      <c r="G68" s="51"/>
      <c r="H68" s="427"/>
      <c r="I68" s="428">
        <v>0</v>
      </c>
      <c r="J68" s="427"/>
      <c r="K68" s="16">
        <f>(H68+I68)-J68</f>
        <v>0</v>
      </c>
    </row>
    <row r="69" spans="1:11" ht="18" customHeight="1">
      <c r="A69" s="5" t="s">
        <v>104</v>
      </c>
      <c r="B69" s="341" t="s">
        <v>53</v>
      </c>
      <c r="F69" s="51"/>
      <c r="G69" s="51"/>
      <c r="H69" s="427"/>
      <c r="I69" s="428">
        <v>0</v>
      </c>
      <c r="J69" s="427"/>
      <c r="K69" s="16">
        <f>(H69+I69)-J69</f>
        <v>0</v>
      </c>
    </row>
    <row r="70" spans="1:11" ht="18" customHeight="1">
      <c r="A70" s="5" t="s">
        <v>178</v>
      </c>
      <c r="B70" s="360"/>
      <c r="C70" s="361"/>
      <c r="D70" s="362"/>
      <c r="E70" s="2"/>
      <c r="F70" s="35"/>
      <c r="G70" s="35"/>
      <c r="H70" s="438"/>
      <c r="I70" s="428">
        <v>0</v>
      </c>
      <c r="J70" s="438"/>
      <c r="K70" s="16">
        <f>(H70+I70)-J70</f>
        <v>0</v>
      </c>
    </row>
    <row r="71" spans="1:11" ht="18" customHeight="1">
      <c r="A71" s="5" t="s">
        <v>179</v>
      </c>
      <c r="B71" s="360"/>
      <c r="C71" s="361"/>
      <c r="D71" s="362"/>
      <c r="E71" s="2"/>
      <c r="F71" s="35"/>
      <c r="G71" s="35"/>
      <c r="H71" s="438"/>
      <c r="I71" s="428">
        <v>0</v>
      </c>
      <c r="J71" s="438"/>
      <c r="K71" s="16">
        <f>(H71+I71)-J71</f>
        <v>0</v>
      </c>
    </row>
    <row r="72" spans="1:11" ht="18" customHeight="1">
      <c r="A72" s="5" t="s">
        <v>180</v>
      </c>
      <c r="B72" s="366"/>
      <c r="C72" s="367"/>
      <c r="D72" s="34"/>
      <c r="E72" s="2"/>
      <c r="F72" s="14"/>
      <c r="G72" s="14"/>
      <c r="H72" s="427"/>
      <c r="I72" s="428">
        <v>0</v>
      </c>
      <c r="J72" s="427"/>
      <c r="K72" s="16">
        <f>(H72+I72)-J72</f>
        <v>0</v>
      </c>
    </row>
    <row r="73" spans="1:11" ht="18" customHeight="1">
      <c r="A73" s="5"/>
      <c r="B73" s="341"/>
      <c r="E73" s="2"/>
      <c r="F73" s="61"/>
      <c r="G73" s="61"/>
      <c r="H73" s="439"/>
      <c r="I73" s="437"/>
      <c r="J73" s="439"/>
      <c r="K73" s="60"/>
    </row>
    <row r="74" spans="1:11" ht="18" customHeight="1">
      <c r="A74" s="6" t="s">
        <v>146</v>
      </c>
      <c r="B74" s="2" t="s">
        <v>147</v>
      </c>
      <c r="E74" s="2" t="s">
        <v>7</v>
      </c>
      <c r="F74" s="21">
        <f t="shared" ref="F74:K74" si="6">SUM(F68:F72)</f>
        <v>0</v>
      </c>
      <c r="G74" s="21">
        <f t="shared" si="6"/>
        <v>0</v>
      </c>
      <c r="H74" s="440">
        <f t="shared" si="6"/>
        <v>0</v>
      </c>
      <c r="I74" s="441">
        <f t="shared" si="6"/>
        <v>0</v>
      </c>
      <c r="J74" s="440">
        <f t="shared" si="6"/>
        <v>0</v>
      </c>
      <c r="K74" s="17">
        <f t="shared" si="6"/>
        <v>0</v>
      </c>
    </row>
    <row r="75" spans="1:11" ht="42.75" customHeight="1">
      <c r="F75" s="9" t="s">
        <v>9</v>
      </c>
      <c r="G75" s="9" t="s">
        <v>37</v>
      </c>
      <c r="H75" s="426" t="s">
        <v>29</v>
      </c>
      <c r="I75" s="426" t="s">
        <v>30</v>
      </c>
      <c r="J75" s="426" t="s">
        <v>33</v>
      </c>
      <c r="K75" s="9" t="s">
        <v>34</v>
      </c>
    </row>
    <row r="76" spans="1:11" ht="18" customHeight="1">
      <c r="A76" s="6" t="s">
        <v>105</v>
      </c>
      <c r="B76" s="2" t="s">
        <v>106</v>
      </c>
    </row>
    <row r="77" spans="1:11" ht="18" customHeight="1">
      <c r="A77" s="5" t="s">
        <v>107</v>
      </c>
      <c r="B77" s="341" t="s">
        <v>54</v>
      </c>
      <c r="F77" s="14">
        <v>0</v>
      </c>
      <c r="G77" s="14">
        <v>0</v>
      </c>
      <c r="H77" s="14">
        <v>3500</v>
      </c>
      <c r="I77" s="14">
        <v>1949.8500000000001</v>
      </c>
      <c r="J77" s="14">
        <v>0</v>
      </c>
      <c r="K77" s="16">
        <f>(H77+I77)-J77</f>
        <v>5449.85</v>
      </c>
    </row>
    <row r="78" spans="1:11" ht="18" customHeight="1">
      <c r="A78" s="5" t="s">
        <v>108</v>
      </c>
      <c r="B78" s="341" t="s">
        <v>55</v>
      </c>
      <c r="F78" s="14"/>
      <c r="G78" s="14"/>
      <c r="H78" s="14"/>
      <c r="I78" s="14"/>
      <c r="J78" s="14"/>
      <c r="K78" s="16">
        <f>(H78+I78)-J78</f>
        <v>0</v>
      </c>
    </row>
    <row r="79" spans="1:11" ht="18" customHeight="1">
      <c r="A79" s="5" t="s">
        <v>109</v>
      </c>
      <c r="B79" s="341" t="s">
        <v>13</v>
      </c>
      <c r="F79" s="14">
        <v>0</v>
      </c>
      <c r="G79" s="14">
        <v>0</v>
      </c>
      <c r="H79" s="14">
        <v>36554</v>
      </c>
      <c r="I79" s="14">
        <v>20364.233400000001</v>
      </c>
      <c r="J79" s="14">
        <v>0</v>
      </c>
      <c r="K79" s="16">
        <f>(H79+I79)-J79</f>
        <v>56918.233399999997</v>
      </c>
    </row>
    <row r="80" spans="1:11" ht="18" customHeight="1">
      <c r="A80" s="5" t="s">
        <v>110</v>
      </c>
      <c r="B80" s="341" t="s">
        <v>56</v>
      </c>
      <c r="F80" s="14"/>
      <c r="G80" s="14"/>
      <c r="H80" s="427"/>
      <c r="I80" s="428">
        <v>0</v>
      </c>
      <c r="J80" s="427"/>
      <c r="K80" s="16">
        <f>(H80+I80)-J80</f>
        <v>0</v>
      </c>
    </row>
    <row r="81" spans="1:11" ht="18" customHeight="1">
      <c r="A81" s="5"/>
      <c r="K81" s="40"/>
    </row>
    <row r="82" spans="1:11" ht="18" customHeight="1">
      <c r="A82" s="5" t="s">
        <v>148</v>
      </c>
      <c r="B82" s="2" t="s">
        <v>149</v>
      </c>
      <c r="E82" s="2" t="s">
        <v>7</v>
      </c>
      <c r="F82" s="21">
        <f t="shared" ref="F82:K82" si="7">SUM(F77:F80)</f>
        <v>0</v>
      </c>
      <c r="G82" s="21">
        <f t="shared" si="7"/>
        <v>0</v>
      </c>
      <c r="H82" s="440">
        <f t="shared" si="7"/>
        <v>40054</v>
      </c>
      <c r="I82" s="440">
        <f t="shared" si="7"/>
        <v>22314.0834</v>
      </c>
      <c r="J82" s="440">
        <f t="shared" si="7"/>
        <v>0</v>
      </c>
      <c r="K82" s="17">
        <f t="shared" si="7"/>
        <v>62368.083399999996</v>
      </c>
    </row>
    <row r="83" spans="1:11" ht="18" customHeight="1" thickBot="1">
      <c r="A83" s="5"/>
      <c r="F83" s="24"/>
      <c r="G83" s="24"/>
      <c r="H83" s="431"/>
      <c r="I83" s="431"/>
      <c r="J83" s="431"/>
      <c r="K83" s="24"/>
    </row>
    <row r="84" spans="1:11" ht="42.75" customHeight="1">
      <c r="F84" s="9" t="s">
        <v>9</v>
      </c>
      <c r="G84" s="9" t="s">
        <v>37</v>
      </c>
      <c r="H84" s="426" t="s">
        <v>29</v>
      </c>
      <c r="I84" s="426" t="s">
        <v>30</v>
      </c>
      <c r="J84" s="426" t="s">
        <v>33</v>
      </c>
      <c r="K84" s="9" t="s">
        <v>34</v>
      </c>
    </row>
    <row r="85" spans="1:11" ht="18" customHeight="1">
      <c r="A85" s="6" t="s">
        <v>111</v>
      </c>
      <c r="B85" s="2" t="s">
        <v>57</v>
      </c>
    </row>
    <row r="86" spans="1:11" ht="18" customHeight="1">
      <c r="A86" s="5" t="s">
        <v>112</v>
      </c>
      <c r="B86" s="341" t="s">
        <v>113</v>
      </c>
      <c r="F86" s="14"/>
      <c r="G86" s="14"/>
      <c r="H86" s="427"/>
      <c r="I86" s="428">
        <v>0</v>
      </c>
      <c r="J86" s="427"/>
      <c r="K86" s="16">
        <f t="shared" ref="K86:K96" si="8">(H86+I86)-J86</f>
        <v>0</v>
      </c>
    </row>
    <row r="87" spans="1:11" ht="18" customHeight="1">
      <c r="A87" s="5" t="s">
        <v>114</v>
      </c>
      <c r="B87" s="341" t="s">
        <v>14</v>
      </c>
      <c r="F87" s="14">
        <v>18</v>
      </c>
      <c r="G87" s="14">
        <v>0</v>
      </c>
      <c r="H87" s="14">
        <v>795.9806990170074</v>
      </c>
      <c r="I87" s="14">
        <v>443.44084742237487</v>
      </c>
      <c r="J87" s="14">
        <v>0</v>
      </c>
      <c r="K87" s="16">
        <f t="shared" si="8"/>
        <v>1239.4215464393824</v>
      </c>
    </row>
    <row r="88" spans="1:11" ht="18" customHeight="1">
      <c r="A88" s="5" t="s">
        <v>115</v>
      </c>
      <c r="B88" s="341" t="s">
        <v>116</v>
      </c>
      <c r="F88" s="14">
        <v>197</v>
      </c>
      <c r="G88" s="14">
        <v>0</v>
      </c>
      <c r="H88" s="14">
        <v>8711.5665392416904</v>
      </c>
      <c r="I88" s="14">
        <v>4853.2137190115463</v>
      </c>
      <c r="J88" s="14">
        <v>0</v>
      </c>
      <c r="K88" s="16">
        <f t="shared" si="8"/>
        <v>13564.780258253237</v>
      </c>
    </row>
    <row r="89" spans="1:11" ht="18" customHeight="1">
      <c r="A89" s="5" t="s">
        <v>117</v>
      </c>
      <c r="B89" s="341" t="s">
        <v>58</v>
      </c>
      <c r="F89" s="14"/>
      <c r="G89" s="14"/>
      <c r="H89" s="14"/>
      <c r="I89" s="14"/>
      <c r="J89" s="14"/>
      <c r="K89" s="16">
        <f t="shared" si="8"/>
        <v>0</v>
      </c>
    </row>
    <row r="90" spans="1:11" ht="18" customHeight="1">
      <c r="A90" s="5" t="s">
        <v>118</v>
      </c>
      <c r="B90" s="641" t="s">
        <v>59</v>
      </c>
      <c r="C90" s="649"/>
      <c r="F90" s="14"/>
      <c r="G90" s="14"/>
      <c r="H90" s="14"/>
      <c r="I90" s="14"/>
      <c r="J90" s="14"/>
      <c r="K90" s="16">
        <f t="shared" si="8"/>
        <v>0</v>
      </c>
    </row>
    <row r="91" spans="1:11" ht="18" customHeight="1">
      <c r="A91" s="5" t="s">
        <v>119</v>
      </c>
      <c r="B91" s="341" t="s">
        <v>60</v>
      </c>
      <c r="F91" s="14">
        <v>56</v>
      </c>
      <c r="G91" s="14">
        <v>0</v>
      </c>
      <c r="H91" s="14">
        <v>2476.3843969418008</v>
      </c>
      <c r="I91" s="14">
        <v>1379.5937475362773</v>
      </c>
      <c r="J91" s="14">
        <v>0</v>
      </c>
      <c r="K91" s="16">
        <f t="shared" si="8"/>
        <v>3855.9781444780783</v>
      </c>
    </row>
    <row r="92" spans="1:11" ht="18" customHeight="1">
      <c r="A92" s="5" t="s">
        <v>120</v>
      </c>
      <c r="B92" s="341" t="s">
        <v>121</v>
      </c>
      <c r="F92" s="38">
        <v>54</v>
      </c>
      <c r="G92" s="38">
        <v>0</v>
      </c>
      <c r="H92" s="38">
        <v>2387.9420970510218</v>
      </c>
      <c r="I92" s="38">
        <v>1330.3225422671244</v>
      </c>
      <c r="J92" s="38">
        <v>0</v>
      </c>
      <c r="K92" s="16">
        <f t="shared" si="8"/>
        <v>3718.2646393181462</v>
      </c>
    </row>
    <row r="93" spans="1:11" ht="18" customHeight="1">
      <c r="A93" s="5" t="s">
        <v>122</v>
      </c>
      <c r="B93" s="341" t="s">
        <v>123</v>
      </c>
      <c r="F93" s="14">
        <v>0</v>
      </c>
      <c r="G93" s="14">
        <v>0</v>
      </c>
      <c r="H93" s="14">
        <v>0</v>
      </c>
      <c r="I93" s="14">
        <v>0</v>
      </c>
      <c r="J93" s="14">
        <v>0</v>
      </c>
      <c r="K93" s="16">
        <f t="shared" si="8"/>
        <v>0</v>
      </c>
    </row>
    <row r="94" spans="1:11" ht="18" customHeight="1">
      <c r="A94" s="5" t="s">
        <v>124</v>
      </c>
      <c r="B94" s="642"/>
      <c r="C94" s="643"/>
      <c r="D94" s="644"/>
      <c r="F94" s="14"/>
      <c r="G94" s="14"/>
      <c r="H94" s="427"/>
      <c r="I94" s="428">
        <v>0</v>
      </c>
      <c r="J94" s="427"/>
      <c r="K94" s="16">
        <f t="shared" si="8"/>
        <v>0</v>
      </c>
    </row>
    <row r="95" spans="1:11" ht="18" customHeight="1">
      <c r="A95" s="5" t="s">
        <v>125</v>
      </c>
      <c r="B95" s="642"/>
      <c r="C95" s="643"/>
      <c r="D95" s="644"/>
      <c r="F95" s="14"/>
      <c r="G95" s="14"/>
      <c r="H95" s="427"/>
      <c r="I95" s="428">
        <v>0</v>
      </c>
      <c r="J95" s="427"/>
      <c r="K95" s="16">
        <f t="shared" si="8"/>
        <v>0</v>
      </c>
    </row>
    <row r="96" spans="1:11" ht="18" customHeight="1">
      <c r="A96" s="5" t="s">
        <v>126</v>
      </c>
      <c r="B96" s="642"/>
      <c r="C96" s="643"/>
      <c r="D96" s="644"/>
      <c r="F96" s="14"/>
      <c r="G96" s="14"/>
      <c r="H96" s="427"/>
      <c r="I96" s="428">
        <v>0</v>
      </c>
      <c r="J96" s="427"/>
      <c r="K96" s="16">
        <f t="shared" si="8"/>
        <v>0</v>
      </c>
    </row>
    <row r="97" spans="1:11" ht="18" customHeight="1">
      <c r="A97" s="5"/>
      <c r="B97" s="341"/>
    </row>
    <row r="98" spans="1:11" ht="18" customHeight="1">
      <c r="A98" s="6" t="s">
        <v>150</v>
      </c>
      <c r="B98" s="2" t="s">
        <v>151</v>
      </c>
      <c r="E98" s="2" t="s">
        <v>7</v>
      </c>
      <c r="F98" s="18">
        <f t="shared" ref="F98:K98" si="9">SUM(F86:F96)</f>
        <v>325</v>
      </c>
      <c r="G98" s="18">
        <f t="shared" si="9"/>
        <v>0</v>
      </c>
      <c r="H98" s="429">
        <f t="shared" si="9"/>
        <v>14371.873732251521</v>
      </c>
      <c r="I98" s="429">
        <f t="shared" si="9"/>
        <v>8006.570856237322</v>
      </c>
      <c r="J98" s="429">
        <f t="shared" si="9"/>
        <v>0</v>
      </c>
      <c r="K98" s="18">
        <f t="shared" si="9"/>
        <v>22378.444588488845</v>
      </c>
    </row>
    <row r="99" spans="1:11" ht="18" customHeight="1" thickBot="1">
      <c r="B99" s="2"/>
      <c r="F99" s="24"/>
      <c r="G99" s="24"/>
      <c r="H99" s="431"/>
      <c r="I99" s="431"/>
      <c r="J99" s="431"/>
      <c r="K99" s="24"/>
    </row>
    <row r="100" spans="1:11" ht="42.75" customHeight="1">
      <c r="F100" s="9" t="s">
        <v>9</v>
      </c>
      <c r="G100" s="9" t="s">
        <v>37</v>
      </c>
      <c r="H100" s="426" t="s">
        <v>29</v>
      </c>
      <c r="I100" s="426" t="s">
        <v>30</v>
      </c>
      <c r="J100" s="426" t="s">
        <v>33</v>
      </c>
      <c r="K100" s="9" t="s">
        <v>34</v>
      </c>
    </row>
    <row r="101" spans="1:11" ht="18" customHeight="1">
      <c r="A101" s="6" t="s">
        <v>130</v>
      </c>
      <c r="B101" s="2" t="s">
        <v>63</v>
      </c>
    </row>
    <row r="102" spans="1:11" ht="18" customHeight="1">
      <c r="A102" s="5" t="s">
        <v>131</v>
      </c>
      <c r="B102" s="341" t="s">
        <v>152</v>
      </c>
      <c r="F102" s="14">
        <v>260</v>
      </c>
      <c r="G102" s="14">
        <v>0</v>
      </c>
      <c r="H102" s="14">
        <v>11497.498985801216</v>
      </c>
      <c r="I102" s="14">
        <v>6405.2566849898576</v>
      </c>
      <c r="J102" s="14">
        <v>0</v>
      </c>
      <c r="K102" s="16">
        <f>(H102+I102)-J102</f>
        <v>17902.755670791073</v>
      </c>
    </row>
    <row r="103" spans="1:11" ht="18" customHeight="1">
      <c r="A103" s="5" t="s">
        <v>132</v>
      </c>
      <c r="B103" s="641" t="s">
        <v>62</v>
      </c>
      <c r="C103" s="641"/>
      <c r="F103" s="14">
        <v>240</v>
      </c>
      <c r="G103" s="14">
        <v>0</v>
      </c>
      <c r="H103" s="14">
        <v>10613.075986893431</v>
      </c>
      <c r="I103" s="14">
        <v>5912.5446322983307</v>
      </c>
      <c r="J103" s="14">
        <v>0</v>
      </c>
      <c r="K103" s="16">
        <f>(H103+I103)-J103</f>
        <v>16525.620619191763</v>
      </c>
    </row>
    <row r="104" spans="1:11" ht="18" customHeight="1">
      <c r="A104" s="5" t="s">
        <v>128</v>
      </c>
      <c r="B104" s="642"/>
      <c r="C104" s="643"/>
      <c r="D104" s="644"/>
      <c r="F104" s="14"/>
      <c r="G104" s="14"/>
      <c r="H104" s="427"/>
      <c r="I104" s="428">
        <v>0</v>
      </c>
      <c r="J104" s="427"/>
      <c r="K104" s="16">
        <f>(H104+I104)-J104</f>
        <v>0</v>
      </c>
    </row>
    <row r="105" spans="1:11" ht="18" customHeight="1">
      <c r="A105" s="5" t="s">
        <v>127</v>
      </c>
      <c r="B105" s="642"/>
      <c r="C105" s="643"/>
      <c r="D105" s="644"/>
      <c r="F105" s="14"/>
      <c r="G105" s="14"/>
      <c r="H105" s="427"/>
      <c r="I105" s="428">
        <v>0</v>
      </c>
      <c r="J105" s="427"/>
      <c r="K105" s="16">
        <f>(H105+I105)-J105</f>
        <v>0</v>
      </c>
    </row>
    <row r="106" spans="1:11" ht="18" customHeight="1">
      <c r="A106" s="5" t="s">
        <v>129</v>
      </c>
      <c r="B106" s="642"/>
      <c r="C106" s="643"/>
      <c r="D106" s="644"/>
      <c r="F106" s="14"/>
      <c r="G106" s="14"/>
      <c r="H106" s="427"/>
      <c r="I106" s="428">
        <v>0</v>
      </c>
      <c r="J106" s="427"/>
      <c r="K106" s="16">
        <f>(H106+I106)-J106</f>
        <v>0</v>
      </c>
    </row>
    <row r="107" spans="1:11" ht="18" customHeight="1">
      <c r="B107" s="2"/>
    </row>
    <row r="108" spans="1:11" s="10" customFormat="1" ht="18" customHeight="1">
      <c r="A108" s="6" t="s">
        <v>153</v>
      </c>
      <c r="B108" s="63" t="s">
        <v>154</v>
      </c>
      <c r="C108"/>
      <c r="D108"/>
      <c r="E108" s="2" t="s">
        <v>7</v>
      </c>
      <c r="F108" s="18">
        <f t="shared" ref="F108:K108" si="10">SUM(F102:F106)</f>
        <v>500</v>
      </c>
      <c r="G108" s="18">
        <f t="shared" si="10"/>
        <v>0</v>
      </c>
      <c r="H108" s="429">
        <f t="shared" si="10"/>
        <v>22110.574972694645</v>
      </c>
      <c r="I108" s="429">
        <f t="shared" si="10"/>
        <v>12317.801317288187</v>
      </c>
      <c r="J108" s="429">
        <f t="shared" si="10"/>
        <v>0</v>
      </c>
      <c r="K108" s="16">
        <f t="shared" si="10"/>
        <v>34428.376289982836</v>
      </c>
    </row>
    <row r="109" spans="1:11" s="10" customFormat="1" ht="18" customHeight="1" thickBot="1">
      <c r="A109" s="11"/>
      <c r="B109" s="12"/>
      <c r="C109" s="13"/>
      <c r="D109" s="13"/>
      <c r="E109" s="13"/>
      <c r="F109" s="24"/>
      <c r="G109" s="24"/>
      <c r="H109" s="431"/>
      <c r="I109" s="431"/>
      <c r="J109" s="431"/>
      <c r="K109" s="24"/>
    </row>
    <row r="110" spans="1:11" s="10" customFormat="1" ht="18" customHeight="1">
      <c r="A110" s="6" t="s">
        <v>156</v>
      </c>
      <c r="B110" s="2" t="s">
        <v>39</v>
      </c>
      <c r="C110"/>
      <c r="D110"/>
      <c r="E110"/>
      <c r="F110"/>
      <c r="G110"/>
      <c r="H110" s="425"/>
      <c r="I110" s="425"/>
      <c r="J110" s="425"/>
      <c r="K110"/>
    </row>
    <row r="111" spans="1:11" ht="18" customHeight="1">
      <c r="A111" s="6" t="s">
        <v>155</v>
      </c>
      <c r="B111" s="2" t="s">
        <v>164</v>
      </c>
      <c r="E111" s="2" t="s">
        <v>7</v>
      </c>
      <c r="F111" s="467">
        <v>2067000</v>
      </c>
    </row>
    <row r="112" spans="1:11" ht="18" customHeight="1">
      <c r="B112" s="2"/>
      <c r="E112" s="2"/>
      <c r="F112" s="22"/>
    </row>
    <row r="113" spans="1:6" ht="18" customHeight="1">
      <c r="A113" s="6"/>
      <c r="B113" s="2" t="s">
        <v>15</v>
      </c>
    </row>
    <row r="114" spans="1:6" ht="18" customHeight="1">
      <c r="A114" s="5" t="s">
        <v>171</v>
      </c>
      <c r="B114" s="341" t="s">
        <v>35</v>
      </c>
      <c r="F114" s="25">
        <v>0.55710000000000004</v>
      </c>
    </row>
    <row r="115" spans="1:6" ht="18" customHeight="1">
      <c r="A115" s="5"/>
      <c r="B115" s="2"/>
    </row>
    <row r="116" spans="1:6" ht="18" customHeight="1">
      <c r="A116" s="5" t="s">
        <v>170</v>
      </c>
      <c r="B116" s="2" t="s">
        <v>16</v>
      </c>
    </row>
    <row r="117" spans="1:6" ht="18" customHeight="1">
      <c r="A117" s="5" t="s">
        <v>172</v>
      </c>
      <c r="B117" s="341" t="s">
        <v>17</v>
      </c>
      <c r="F117" s="442">
        <v>52649000</v>
      </c>
    </row>
    <row r="118" spans="1:6" ht="18" customHeight="1">
      <c r="A118" s="5" t="s">
        <v>173</v>
      </c>
      <c r="B118" t="s">
        <v>18</v>
      </c>
      <c r="F118" s="442">
        <v>284000</v>
      </c>
    </row>
    <row r="119" spans="1:6" ht="18" customHeight="1">
      <c r="A119" s="5" t="s">
        <v>174</v>
      </c>
      <c r="B119" s="2" t="s">
        <v>19</v>
      </c>
      <c r="F119" s="443">
        <f>SUM(F117:F118)</f>
        <v>52933000</v>
      </c>
    </row>
    <row r="120" spans="1:6" ht="18" customHeight="1">
      <c r="A120" s="5"/>
      <c r="B120" s="2"/>
      <c r="F120" s="444"/>
    </row>
    <row r="121" spans="1:6" ht="18" customHeight="1">
      <c r="A121" s="5" t="s">
        <v>167</v>
      </c>
      <c r="B121" s="2" t="s">
        <v>36</v>
      </c>
      <c r="F121" s="442">
        <v>47354000</v>
      </c>
    </row>
    <row r="122" spans="1:6" ht="18" customHeight="1">
      <c r="A122" s="5"/>
      <c r="F122" s="444"/>
    </row>
    <row r="123" spans="1:6" ht="18" customHeight="1">
      <c r="A123" s="5" t="s">
        <v>175</v>
      </c>
      <c r="B123" s="2" t="s">
        <v>20</v>
      </c>
      <c r="F123" s="442">
        <f>-F121+F119</f>
        <v>5579000</v>
      </c>
    </row>
    <row r="124" spans="1:6" ht="18" customHeight="1">
      <c r="A124" s="5"/>
    </row>
    <row r="125" spans="1:6" ht="18" customHeight="1">
      <c r="A125" s="5" t="s">
        <v>176</v>
      </c>
      <c r="B125" s="2" t="s">
        <v>21</v>
      </c>
      <c r="F125" s="442">
        <v>969000</v>
      </c>
    </row>
    <row r="126" spans="1:6" ht="18" customHeight="1">
      <c r="A126" s="5"/>
      <c r="F126" s="444"/>
    </row>
    <row r="127" spans="1:6" ht="18" customHeight="1">
      <c r="A127" s="5" t="s">
        <v>177</v>
      </c>
      <c r="B127" s="2" t="s">
        <v>22</v>
      </c>
      <c r="F127" s="442">
        <f>+F123+F125</f>
        <v>6548000</v>
      </c>
    </row>
    <row r="128" spans="1:6" ht="18" customHeight="1">
      <c r="A128" s="5"/>
    </row>
    <row r="129" spans="1:11" ht="42.75" customHeight="1">
      <c r="F129" s="9" t="s">
        <v>9</v>
      </c>
      <c r="G129" s="9" t="s">
        <v>37</v>
      </c>
      <c r="H129" s="426" t="s">
        <v>29</v>
      </c>
      <c r="I129" s="426" t="s">
        <v>30</v>
      </c>
      <c r="J129" s="426" t="s">
        <v>33</v>
      </c>
      <c r="K129" s="9" t="s">
        <v>34</v>
      </c>
    </row>
    <row r="130" spans="1:11" ht="18" customHeight="1">
      <c r="A130" s="6" t="s">
        <v>157</v>
      </c>
      <c r="B130" s="2" t="s">
        <v>23</v>
      </c>
    </row>
    <row r="131" spans="1:11" ht="18" customHeight="1">
      <c r="A131" s="5" t="s">
        <v>158</v>
      </c>
      <c r="B131" t="s">
        <v>24</v>
      </c>
      <c r="F131" s="14"/>
      <c r="G131" s="14"/>
      <c r="H131" s="427"/>
      <c r="I131" s="428">
        <v>0</v>
      </c>
      <c r="J131" s="427">
        <v>0</v>
      </c>
      <c r="K131" s="16">
        <f>(H131+I131)-J131</f>
        <v>0</v>
      </c>
    </row>
    <row r="132" spans="1:11" ht="18" customHeight="1">
      <c r="A132" s="5" t="s">
        <v>159</v>
      </c>
      <c r="B132" t="s">
        <v>25</v>
      </c>
      <c r="F132" s="14"/>
      <c r="G132" s="14"/>
      <c r="H132" s="427"/>
      <c r="I132" s="428">
        <v>0</v>
      </c>
      <c r="J132" s="427">
        <v>0</v>
      </c>
      <c r="K132" s="16">
        <f>(H132+I132)-J132</f>
        <v>0</v>
      </c>
    </row>
    <row r="133" spans="1:11" ht="18" customHeight="1">
      <c r="A133" s="5" t="s">
        <v>160</v>
      </c>
      <c r="B133" s="636"/>
      <c r="C133" s="637"/>
      <c r="D133" s="638"/>
      <c r="F133" s="14"/>
      <c r="G133" s="14"/>
      <c r="H133" s="427"/>
      <c r="I133" s="428">
        <v>0</v>
      </c>
      <c r="J133" s="427"/>
      <c r="K133" s="16">
        <f>(H133+I133)-J133</f>
        <v>0</v>
      </c>
    </row>
    <row r="134" spans="1:11" ht="18" customHeight="1">
      <c r="A134" s="5" t="s">
        <v>161</v>
      </c>
      <c r="B134" s="636"/>
      <c r="C134" s="637"/>
      <c r="D134" s="638"/>
      <c r="F134" s="14"/>
      <c r="G134" s="14"/>
      <c r="H134" s="427"/>
      <c r="I134" s="428">
        <v>0</v>
      </c>
      <c r="J134" s="427"/>
      <c r="K134" s="16">
        <f>(H134+I134)-J134</f>
        <v>0</v>
      </c>
    </row>
    <row r="135" spans="1:11" ht="18" customHeight="1">
      <c r="A135" s="5" t="s">
        <v>162</v>
      </c>
      <c r="B135" s="636"/>
      <c r="C135" s="637"/>
      <c r="D135" s="638"/>
      <c r="F135" s="14"/>
      <c r="G135" s="14"/>
      <c r="H135" s="427"/>
      <c r="I135" s="428">
        <v>0</v>
      </c>
      <c r="J135" s="427"/>
      <c r="K135" s="16">
        <f>(H135+I135)-J135</f>
        <v>0</v>
      </c>
    </row>
    <row r="136" spans="1:11" ht="18" customHeight="1">
      <c r="A136" s="6"/>
    </row>
    <row r="137" spans="1:11" ht="18" customHeight="1">
      <c r="A137" s="6" t="s">
        <v>163</v>
      </c>
      <c r="B137" s="2" t="s">
        <v>27</v>
      </c>
      <c r="F137" s="18">
        <f t="shared" ref="F137:K137" si="11">SUM(F131:F135)</f>
        <v>0</v>
      </c>
      <c r="G137" s="18">
        <f t="shared" si="11"/>
        <v>0</v>
      </c>
      <c r="H137" s="429">
        <f t="shared" si="11"/>
        <v>0</v>
      </c>
      <c r="I137" s="429">
        <f t="shared" si="11"/>
        <v>0</v>
      </c>
      <c r="J137" s="429">
        <f t="shared" si="11"/>
        <v>0</v>
      </c>
      <c r="K137" s="16">
        <f t="shared" si="11"/>
        <v>0</v>
      </c>
    </row>
    <row r="138" spans="1:11" ht="18" customHeight="1">
      <c r="A138"/>
    </row>
    <row r="139" spans="1:11" ht="42.75" customHeight="1">
      <c r="F139" s="9" t="s">
        <v>9</v>
      </c>
      <c r="G139" s="9" t="s">
        <v>37</v>
      </c>
      <c r="H139" s="426" t="s">
        <v>29</v>
      </c>
      <c r="I139" s="426" t="s">
        <v>30</v>
      </c>
      <c r="J139" s="426" t="s">
        <v>33</v>
      </c>
      <c r="K139" s="9" t="s">
        <v>34</v>
      </c>
    </row>
    <row r="140" spans="1:11" ht="18" customHeight="1">
      <c r="A140" s="6" t="s">
        <v>166</v>
      </c>
      <c r="B140" s="2" t="s">
        <v>26</v>
      </c>
    </row>
    <row r="141" spans="1:11" ht="18" customHeight="1">
      <c r="A141" s="5" t="s">
        <v>137</v>
      </c>
      <c r="B141" s="2" t="s">
        <v>64</v>
      </c>
      <c r="F141" s="41">
        <f t="shared" ref="F141:K141" si="12">F36</f>
        <v>907</v>
      </c>
      <c r="G141" s="41">
        <f t="shared" si="12"/>
        <v>4148</v>
      </c>
      <c r="H141" s="445">
        <f t="shared" si="12"/>
        <v>40982.08300046809</v>
      </c>
      <c r="I141" s="445">
        <f t="shared" si="12"/>
        <v>22831.118439560774</v>
      </c>
      <c r="J141" s="445">
        <f t="shared" si="12"/>
        <v>0.1</v>
      </c>
      <c r="K141" s="41">
        <f t="shared" si="12"/>
        <v>63813.101440028862</v>
      </c>
    </row>
    <row r="142" spans="1:11" ht="18" customHeight="1">
      <c r="A142" s="5" t="s">
        <v>142</v>
      </c>
      <c r="B142" s="2" t="s">
        <v>65</v>
      </c>
      <c r="F142" s="41">
        <f t="shared" ref="F142:K142" si="13">F49</f>
        <v>0</v>
      </c>
      <c r="G142" s="41">
        <f t="shared" si="13"/>
        <v>0</v>
      </c>
      <c r="H142" s="445">
        <f t="shared" si="13"/>
        <v>5000</v>
      </c>
      <c r="I142" s="445">
        <f t="shared" si="13"/>
        <v>2785.5</v>
      </c>
      <c r="J142" s="445">
        <f t="shared" si="13"/>
        <v>0</v>
      </c>
      <c r="K142" s="41">
        <f t="shared" si="13"/>
        <v>7785.5</v>
      </c>
    </row>
    <row r="143" spans="1:11" ht="18" customHeight="1">
      <c r="A143" s="5" t="s">
        <v>144</v>
      </c>
      <c r="B143" s="2" t="s">
        <v>66</v>
      </c>
      <c r="F143" s="41">
        <f t="shared" ref="F143:K143" si="14">F64</f>
        <v>14652.890495867769</v>
      </c>
      <c r="G143" s="41">
        <f t="shared" si="14"/>
        <v>26635.520661157025</v>
      </c>
      <c r="H143" s="445">
        <f t="shared" si="14"/>
        <v>5313459.5276265945</v>
      </c>
      <c r="I143" s="445">
        <f t="shared" si="14"/>
        <v>2960128.3028407758</v>
      </c>
      <c r="J143" s="445">
        <f t="shared" si="14"/>
        <v>2855724.5219999999</v>
      </c>
      <c r="K143" s="41">
        <f t="shared" si="14"/>
        <v>5417863.3084673714</v>
      </c>
    </row>
    <row r="144" spans="1:11" ht="18" customHeight="1">
      <c r="A144" s="5" t="s">
        <v>146</v>
      </c>
      <c r="B144" s="2" t="s">
        <v>67</v>
      </c>
      <c r="F144" s="41">
        <f t="shared" ref="F144:K144" si="15">F74</f>
        <v>0</v>
      </c>
      <c r="G144" s="41">
        <f t="shared" si="15"/>
        <v>0</v>
      </c>
      <c r="H144" s="445">
        <f t="shared" si="15"/>
        <v>0</v>
      </c>
      <c r="I144" s="445">
        <f t="shared" si="15"/>
        <v>0</v>
      </c>
      <c r="J144" s="445">
        <f t="shared" si="15"/>
        <v>0</v>
      </c>
      <c r="K144" s="41">
        <f t="shared" si="15"/>
        <v>0</v>
      </c>
    </row>
    <row r="145" spans="1:11" ht="18" customHeight="1">
      <c r="A145" s="5" t="s">
        <v>148</v>
      </c>
      <c r="B145" s="2" t="s">
        <v>68</v>
      </c>
      <c r="F145" s="41">
        <f t="shared" ref="F145:K145" si="16">F82</f>
        <v>0</v>
      </c>
      <c r="G145" s="41">
        <f t="shared" si="16"/>
        <v>0</v>
      </c>
      <c r="H145" s="445">
        <f t="shared" si="16"/>
        <v>40054</v>
      </c>
      <c r="I145" s="445">
        <f t="shared" si="16"/>
        <v>22314.0834</v>
      </c>
      <c r="J145" s="445">
        <f t="shared" si="16"/>
        <v>0</v>
      </c>
      <c r="K145" s="41">
        <f t="shared" si="16"/>
        <v>62368.083399999996</v>
      </c>
    </row>
    <row r="146" spans="1:11" ht="18" customHeight="1">
      <c r="A146" s="5" t="s">
        <v>150</v>
      </c>
      <c r="B146" s="2" t="s">
        <v>69</v>
      </c>
      <c r="F146" s="41">
        <f t="shared" ref="F146:K146" si="17">F98</f>
        <v>325</v>
      </c>
      <c r="G146" s="41">
        <f t="shared" si="17"/>
        <v>0</v>
      </c>
      <c r="H146" s="445">
        <f t="shared" si="17"/>
        <v>14371.873732251521</v>
      </c>
      <c r="I146" s="445">
        <f t="shared" si="17"/>
        <v>8006.570856237322</v>
      </c>
      <c r="J146" s="445">
        <f t="shared" si="17"/>
        <v>0</v>
      </c>
      <c r="K146" s="41">
        <f t="shared" si="17"/>
        <v>22378.444588488845</v>
      </c>
    </row>
    <row r="147" spans="1:11" ht="18" customHeight="1">
      <c r="A147" s="5" t="s">
        <v>153</v>
      </c>
      <c r="B147" s="2" t="s">
        <v>61</v>
      </c>
      <c r="F147" s="18">
        <f t="shared" ref="F147:K147" si="18">F108</f>
        <v>500</v>
      </c>
      <c r="G147" s="18">
        <f t="shared" si="18"/>
        <v>0</v>
      </c>
      <c r="H147" s="429">
        <f t="shared" si="18"/>
        <v>22110.574972694645</v>
      </c>
      <c r="I147" s="429">
        <f t="shared" si="18"/>
        <v>12317.801317288187</v>
      </c>
      <c r="J147" s="429">
        <f t="shared" si="18"/>
        <v>0</v>
      </c>
      <c r="K147" s="18">
        <f t="shared" si="18"/>
        <v>34428.376289982836</v>
      </c>
    </row>
    <row r="148" spans="1:11" ht="18" customHeight="1">
      <c r="A148" s="5" t="s">
        <v>155</v>
      </c>
      <c r="B148" s="2" t="s">
        <v>70</v>
      </c>
      <c r="F148" s="42" t="s">
        <v>73</v>
      </c>
      <c r="G148" s="42" t="s">
        <v>73</v>
      </c>
      <c r="H148" s="446" t="s">
        <v>73</v>
      </c>
      <c r="I148" s="446" t="s">
        <v>73</v>
      </c>
      <c r="J148" s="446" t="s">
        <v>73</v>
      </c>
      <c r="K148" s="37">
        <f>F111</f>
        <v>2067000</v>
      </c>
    </row>
    <row r="149" spans="1:11" ht="18" customHeight="1">
      <c r="A149" s="5" t="s">
        <v>163</v>
      </c>
      <c r="B149" s="2" t="s">
        <v>71</v>
      </c>
      <c r="F149" s="18">
        <f t="shared" ref="F149:K149" si="19">F137</f>
        <v>0</v>
      </c>
      <c r="G149" s="18">
        <f t="shared" si="19"/>
        <v>0</v>
      </c>
      <c r="H149" s="429">
        <f t="shared" si="19"/>
        <v>0</v>
      </c>
      <c r="I149" s="429">
        <f t="shared" si="19"/>
        <v>0</v>
      </c>
      <c r="J149" s="429">
        <f t="shared" si="19"/>
        <v>0</v>
      </c>
      <c r="K149" s="18">
        <f t="shared" si="19"/>
        <v>0</v>
      </c>
    </row>
    <row r="150" spans="1:11" ht="18" customHeight="1">
      <c r="A150" s="5" t="s">
        <v>185</v>
      </c>
      <c r="B150" s="2" t="s">
        <v>186</v>
      </c>
      <c r="F150" s="42" t="s">
        <v>73</v>
      </c>
      <c r="G150" s="42" t="s">
        <v>73</v>
      </c>
      <c r="H150" s="429">
        <f>H18</f>
        <v>1520965</v>
      </c>
      <c r="I150" s="429">
        <f>I18</f>
        <v>0</v>
      </c>
      <c r="J150" s="429">
        <f>J18</f>
        <v>1300615</v>
      </c>
      <c r="K150" s="18">
        <f>K18</f>
        <v>220350</v>
      </c>
    </row>
    <row r="151" spans="1:11" ht="18" customHeight="1">
      <c r="B151" s="2"/>
      <c r="F151" s="48"/>
      <c r="G151" s="48"/>
      <c r="H151" s="434"/>
      <c r="I151" s="434"/>
      <c r="J151" s="434"/>
      <c r="K151" s="48"/>
    </row>
    <row r="152" spans="1:11" ht="18" customHeight="1">
      <c r="A152" s="6" t="s">
        <v>165</v>
      </c>
      <c r="B152" s="2" t="s">
        <v>26</v>
      </c>
      <c r="F152" s="49">
        <f t="shared" ref="F152:K152" si="20">SUM(F141:F150)</f>
        <v>16384.890495867767</v>
      </c>
      <c r="G152" s="49">
        <f t="shared" si="20"/>
        <v>30783.520661157025</v>
      </c>
      <c r="H152" s="447">
        <f t="shared" si="20"/>
        <v>6956943.0593320085</v>
      </c>
      <c r="I152" s="447">
        <f t="shared" si="20"/>
        <v>3028383.3768538618</v>
      </c>
      <c r="J152" s="447">
        <f t="shared" si="20"/>
        <v>4156339.622</v>
      </c>
      <c r="K152" s="49">
        <f t="shared" si="20"/>
        <v>7895986.8141858727</v>
      </c>
    </row>
    <row r="154" spans="1:11" ht="18" customHeight="1">
      <c r="A154" s="6" t="s">
        <v>168</v>
      </c>
      <c r="B154" s="2" t="s">
        <v>28</v>
      </c>
      <c r="F154" s="448">
        <f>K152/F121</f>
        <v>0.16674381919554573</v>
      </c>
    </row>
    <row r="155" spans="1:11" ht="18" customHeight="1">
      <c r="A155" s="6" t="s">
        <v>169</v>
      </c>
      <c r="B155" s="2" t="s">
        <v>72</v>
      </c>
      <c r="F155" s="448">
        <f>K152/F127</f>
        <v>1.2058623723558144</v>
      </c>
      <c r="G155" s="2"/>
    </row>
    <row r="156" spans="1:11" ht="18" customHeight="1">
      <c r="G156" s="2"/>
    </row>
    <row r="157" spans="1:11" ht="35.25" hidden="1" customHeight="1">
      <c r="B157" s="449" t="s">
        <v>787</v>
      </c>
      <c r="F157" s="9" t="s">
        <v>9</v>
      </c>
      <c r="G157" s="9" t="s">
        <v>37</v>
      </c>
      <c r="H157" s="426" t="s">
        <v>29</v>
      </c>
      <c r="I157" s="426" t="s">
        <v>30</v>
      </c>
      <c r="J157" s="426" t="s">
        <v>33</v>
      </c>
      <c r="K157" s="9" t="s">
        <v>34</v>
      </c>
    </row>
    <row r="158" spans="1:11" ht="18" hidden="1" customHeight="1">
      <c r="B158" s="2" t="str">
        <f>+B152</f>
        <v>TOTAL HOSPITAL COMMUNITY BENEFIT</v>
      </c>
      <c r="F158" s="450">
        <f t="shared" ref="F158:K158" si="21">+F152</f>
        <v>16384.890495867767</v>
      </c>
      <c r="G158" s="450">
        <f t="shared" si="21"/>
        <v>30783.520661157025</v>
      </c>
      <c r="H158" s="450">
        <f t="shared" si="21"/>
        <v>6956943.0593320085</v>
      </c>
      <c r="I158" s="450">
        <f t="shared" si="21"/>
        <v>3028383.3768538618</v>
      </c>
      <c r="J158" s="450">
        <f t="shared" si="21"/>
        <v>4156339.622</v>
      </c>
      <c r="K158" s="450">
        <f t="shared" si="21"/>
        <v>7895986.8141858727</v>
      </c>
    </row>
    <row r="159" spans="1:11" ht="18" hidden="1" customHeight="1">
      <c r="B159" s="2" t="s">
        <v>788</v>
      </c>
    </row>
    <row r="160" spans="1:11" ht="18" hidden="1" customHeight="1">
      <c r="A160" s="3"/>
      <c r="B160" s="5" t="s">
        <v>181</v>
      </c>
      <c r="F160" s="451" t="str">
        <f t="shared" ref="F160:K160" si="22">+F18</f>
        <v>N/A</v>
      </c>
      <c r="G160" s="451" t="str">
        <f t="shared" si="22"/>
        <v>N/A</v>
      </c>
      <c r="H160" s="451">
        <f t="shared" si="22"/>
        <v>1520965</v>
      </c>
      <c r="I160" s="451">
        <f t="shared" si="22"/>
        <v>0</v>
      </c>
      <c r="J160" s="451">
        <f t="shared" si="22"/>
        <v>1300615</v>
      </c>
      <c r="K160" s="451">
        <f t="shared" si="22"/>
        <v>220350</v>
      </c>
    </row>
    <row r="161" spans="2:11" ht="18" hidden="1" customHeight="1">
      <c r="B161" s="5" t="s">
        <v>164</v>
      </c>
      <c r="F161" s="452"/>
      <c r="G161" s="453"/>
      <c r="H161" s="454"/>
      <c r="I161" s="454"/>
      <c r="J161" s="454"/>
      <c r="K161" s="468">
        <f>+K148</f>
        <v>2067000</v>
      </c>
    </row>
    <row r="162" spans="2:11" ht="18" hidden="1" customHeight="1">
      <c r="F162" s="453"/>
      <c r="G162" s="453"/>
      <c r="H162" s="454"/>
      <c r="I162" s="454"/>
      <c r="J162" s="454"/>
      <c r="K162" s="453"/>
    </row>
    <row r="163" spans="2:11" ht="18" hidden="1" customHeight="1">
      <c r="B163" s="2" t="s">
        <v>789</v>
      </c>
      <c r="F163" s="451">
        <f t="shared" ref="F163:K163" si="23">+F152-SUM(F160:F161)</f>
        <v>16384.890495867767</v>
      </c>
      <c r="G163" s="451">
        <f t="shared" si="23"/>
        <v>30783.520661157025</v>
      </c>
      <c r="H163" s="451">
        <f t="shared" si="23"/>
        <v>5435978.0593320085</v>
      </c>
      <c r="I163" s="451">
        <f t="shared" si="23"/>
        <v>3028383.3768538618</v>
      </c>
      <c r="J163" s="451">
        <f t="shared" si="23"/>
        <v>2855724.622</v>
      </c>
      <c r="K163" s="451">
        <f t="shared" si="23"/>
        <v>5608636.8141858727</v>
      </c>
    </row>
    <row r="164" spans="2:11" ht="18" hidden="1" customHeight="1">
      <c r="B164" s="2"/>
      <c r="F164" s="456"/>
      <c r="G164" s="456"/>
      <c r="H164" s="451"/>
      <c r="I164" s="451"/>
      <c r="J164" s="451"/>
      <c r="K164" s="451"/>
    </row>
    <row r="165" spans="2:11" ht="18" hidden="1" customHeight="1">
      <c r="B165" s="2" t="s">
        <v>28</v>
      </c>
      <c r="F165" s="2"/>
      <c r="G165" s="2"/>
      <c r="H165" s="457">
        <f>+H163/$F$121</f>
        <v>0.11479448535143828</v>
      </c>
      <c r="I165" s="457">
        <f>+I163/$F$121</f>
        <v>6.3952007789286267E-2</v>
      </c>
      <c r="J165" s="457">
        <f>+J163/$F$121</f>
        <v>6.0305879587785612E-2</v>
      </c>
      <c r="K165" s="457">
        <f>+K163/$F$121</f>
        <v>0.11844061355293899</v>
      </c>
    </row>
    <row r="166" spans="2:11" ht="18" hidden="1" customHeight="1">
      <c r="B166" s="2" t="s">
        <v>72</v>
      </c>
      <c r="F166" s="2"/>
      <c r="G166" s="2"/>
      <c r="H166" s="457">
        <f>+H163/$F$127</f>
        <v>0.83017380258582907</v>
      </c>
      <c r="I166" s="457">
        <f>+I163/$F$127</f>
        <v>0.46248982542056533</v>
      </c>
      <c r="J166" s="457">
        <f>+J163/$F$127</f>
        <v>0.43612165882712278</v>
      </c>
      <c r="K166" s="457">
        <f>+K163/$F$127</f>
        <v>0.85654196917927194</v>
      </c>
    </row>
    <row r="167" spans="2:11" ht="18" hidden="1" customHeight="1"/>
    <row r="168" spans="2:11" ht="18" hidden="1" customHeight="1"/>
  </sheetData>
  <mergeCells count="30">
    <mergeCell ref="C11:G11"/>
    <mergeCell ref="C5:G5"/>
    <mergeCell ref="C6:G6"/>
    <mergeCell ref="C7:G7"/>
    <mergeCell ref="C9:G9"/>
    <mergeCell ref="C10:G10"/>
    <mergeCell ref="B61:D61"/>
    <mergeCell ref="B13:H13"/>
    <mergeCell ref="B30:D30"/>
    <mergeCell ref="B31:D31"/>
    <mergeCell ref="B34:D34"/>
    <mergeCell ref="B41:C41"/>
    <mergeCell ref="B44:D44"/>
    <mergeCell ref="B45:D45"/>
    <mergeCell ref="B46:D46"/>
    <mergeCell ref="B47:D47"/>
    <mergeCell ref="B52:C52"/>
    <mergeCell ref="B59:D59"/>
    <mergeCell ref="B135:D135"/>
    <mergeCell ref="B62:D62"/>
    <mergeCell ref="B90:C90"/>
    <mergeCell ref="B94:D94"/>
    <mergeCell ref="B95:D95"/>
    <mergeCell ref="B96:D96"/>
    <mergeCell ref="B103:C103"/>
    <mergeCell ref="B104:D104"/>
    <mergeCell ref="B105:D105"/>
    <mergeCell ref="B106:D106"/>
    <mergeCell ref="B133:D133"/>
    <mergeCell ref="B134:D134"/>
  </mergeCells>
  <pageMargins left="0.75" right="0.75" top="1" bottom="1" header="0.5" footer="0.5"/>
  <pageSetup scale="59" fitToHeight="0" orientation="landscape" horizontalDpi="1200" verticalDpi="1200" r:id="rId1"/>
  <headerFooter alignWithMargins="0"/>
  <rowBreaks count="6" manualBreakCount="6">
    <brk id="37" max="16383" man="1"/>
    <brk id="65" max="16383" man="1"/>
    <brk id="83" max="16383" man="1"/>
    <brk id="109" max="16383" man="1"/>
    <brk id="128" max="16383" man="1"/>
    <brk id="156"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27" zoomScale="80" zoomScaleNormal="50" zoomScaleSheetLayoutView="80" workbookViewId="0">
      <selection activeCell="H115" sqref="H115"/>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318</v>
      </c>
      <c r="D5" s="654"/>
      <c r="E5" s="654"/>
      <c r="F5" s="654"/>
      <c r="G5" s="655"/>
    </row>
    <row r="6" spans="1:11" ht="18" customHeight="1">
      <c r="B6" s="5" t="s">
        <v>3</v>
      </c>
      <c r="C6" s="671">
        <v>210032</v>
      </c>
      <c r="D6" s="657"/>
      <c r="E6" s="657"/>
      <c r="F6" s="657"/>
      <c r="G6" s="658"/>
    </row>
    <row r="7" spans="1:11" ht="18" customHeight="1">
      <c r="B7" s="5" t="s">
        <v>4</v>
      </c>
      <c r="C7" s="659">
        <v>1109</v>
      </c>
      <c r="D7" s="660"/>
      <c r="E7" s="660"/>
      <c r="F7" s="660"/>
      <c r="G7" s="661"/>
    </row>
    <row r="9" spans="1:11" ht="18" customHeight="1">
      <c r="B9" s="5" t="s">
        <v>1</v>
      </c>
      <c r="C9" s="670" t="s">
        <v>894</v>
      </c>
      <c r="D9" s="654"/>
      <c r="E9" s="654"/>
      <c r="F9" s="654"/>
      <c r="G9" s="655"/>
    </row>
    <row r="10" spans="1:11" ht="18" customHeight="1">
      <c r="B10" s="5" t="s">
        <v>2</v>
      </c>
      <c r="C10" s="674" t="s">
        <v>895</v>
      </c>
      <c r="D10" s="663"/>
      <c r="E10" s="663"/>
      <c r="F10" s="663"/>
      <c r="G10" s="664"/>
    </row>
    <row r="11" spans="1:11" ht="18" customHeight="1">
      <c r="B11" s="5" t="s">
        <v>32</v>
      </c>
      <c r="C11" s="670" t="s">
        <v>896</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3950000</v>
      </c>
      <c r="I18" s="50">
        <v>0</v>
      </c>
      <c r="J18" s="15">
        <v>3377744</v>
      </c>
      <c r="K18" s="16">
        <f>(H18+I18)-J18</f>
        <v>572256</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907.41</v>
      </c>
      <c r="G21" s="14">
        <v>5227</v>
      </c>
      <c r="H21" s="15">
        <v>30170</v>
      </c>
      <c r="I21" s="50">
        <v>8067</v>
      </c>
      <c r="J21" s="15">
        <v>0</v>
      </c>
      <c r="K21" s="16">
        <f t="shared" ref="K21:K34" si="0">(H21+I21)-J21</f>
        <v>38237</v>
      </c>
    </row>
    <row r="22" spans="1:11" ht="18" customHeight="1">
      <c r="A22" s="5" t="s">
        <v>76</v>
      </c>
      <c r="B22" t="s">
        <v>6</v>
      </c>
      <c r="F22" s="14">
        <v>491.25</v>
      </c>
      <c r="G22" s="14">
        <v>1119</v>
      </c>
      <c r="H22" s="15">
        <v>17851</v>
      </c>
      <c r="I22" s="50">
        <v>12851</v>
      </c>
      <c r="J22" s="15">
        <v>0</v>
      </c>
      <c r="K22" s="16">
        <f t="shared" si="0"/>
        <v>30702</v>
      </c>
    </row>
    <row r="23" spans="1:11" ht="18" customHeight="1">
      <c r="A23" s="5" t="s">
        <v>77</v>
      </c>
      <c r="B23" t="s">
        <v>43</v>
      </c>
      <c r="F23" s="14">
        <v>0</v>
      </c>
      <c r="G23" s="14">
        <v>0</v>
      </c>
      <c r="H23" s="15">
        <v>0</v>
      </c>
      <c r="I23" s="50">
        <v>0</v>
      </c>
      <c r="J23" s="15">
        <v>0</v>
      </c>
      <c r="K23" s="16">
        <f t="shared" si="0"/>
        <v>0</v>
      </c>
    </row>
    <row r="24" spans="1:11" ht="18" customHeight="1">
      <c r="A24" s="5" t="s">
        <v>78</v>
      </c>
      <c r="B24" t="s">
        <v>44</v>
      </c>
      <c r="F24" s="14">
        <v>45.5</v>
      </c>
      <c r="G24" s="14">
        <v>268</v>
      </c>
      <c r="H24" s="15">
        <v>112034</v>
      </c>
      <c r="I24" s="50">
        <v>8664</v>
      </c>
      <c r="J24" s="15">
        <v>0</v>
      </c>
      <c r="K24" s="16">
        <f t="shared" si="0"/>
        <v>120698</v>
      </c>
    </row>
    <row r="25" spans="1:11" ht="18" customHeight="1">
      <c r="A25" s="5" t="s">
        <v>79</v>
      </c>
      <c r="B25" t="s">
        <v>5</v>
      </c>
      <c r="F25" s="14">
        <v>155.5</v>
      </c>
      <c r="G25" s="14">
        <v>273</v>
      </c>
      <c r="H25" s="15">
        <v>3894</v>
      </c>
      <c r="I25" s="50">
        <v>2574</v>
      </c>
      <c r="J25" s="15">
        <v>0</v>
      </c>
      <c r="K25" s="16">
        <f t="shared" si="0"/>
        <v>6468</v>
      </c>
    </row>
    <row r="26" spans="1:11" ht="18" customHeight="1">
      <c r="A26" s="5" t="s">
        <v>80</v>
      </c>
      <c r="B26" t="s">
        <v>45</v>
      </c>
      <c r="F26" s="14">
        <v>278.23</v>
      </c>
      <c r="G26" s="14">
        <v>461</v>
      </c>
      <c r="H26" s="15">
        <v>4720</v>
      </c>
      <c r="I26" s="50">
        <v>834</v>
      </c>
      <c r="J26" s="15">
        <v>0</v>
      </c>
      <c r="K26" s="16">
        <f t="shared" si="0"/>
        <v>5554</v>
      </c>
    </row>
    <row r="27" spans="1:11" ht="18" customHeight="1">
      <c r="A27" s="5" t="s">
        <v>81</v>
      </c>
      <c r="B27" t="s">
        <v>46</v>
      </c>
      <c r="F27" s="14">
        <v>584.5</v>
      </c>
      <c r="G27" s="14">
        <v>165</v>
      </c>
      <c r="H27" s="15">
        <v>25026</v>
      </c>
      <c r="I27" s="50">
        <v>0</v>
      </c>
      <c r="J27" s="15">
        <v>0</v>
      </c>
      <c r="K27" s="16">
        <f t="shared" si="0"/>
        <v>25026</v>
      </c>
    </row>
    <row r="28" spans="1:11" ht="18" customHeight="1">
      <c r="A28" s="5" t="s">
        <v>82</v>
      </c>
      <c r="B28" t="s">
        <v>47</v>
      </c>
      <c r="F28" s="14">
        <v>0</v>
      </c>
      <c r="G28" s="14">
        <v>0</v>
      </c>
      <c r="H28" s="15">
        <v>0</v>
      </c>
      <c r="I28" s="50">
        <f t="shared" ref="I28" si="1">H28*F$114</f>
        <v>0</v>
      </c>
      <c r="J28" s="15">
        <v>0</v>
      </c>
      <c r="K28" s="16">
        <f t="shared" si="0"/>
        <v>0</v>
      </c>
    </row>
    <row r="29" spans="1:11" ht="18" customHeight="1">
      <c r="A29" s="5" t="s">
        <v>83</v>
      </c>
      <c r="B29" t="s">
        <v>48</v>
      </c>
      <c r="F29" s="14">
        <v>473.2</v>
      </c>
      <c r="G29" s="14">
        <v>3495</v>
      </c>
      <c r="H29" s="15">
        <v>145069</v>
      </c>
      <c r="I29" s="50">
        <v>12603</v>
      </c>
      <c r="J29" s="15">
        <v>100941</v>
      </c>
      <c r="K29" s="16">
        <f t="shared" si="0"/>
        <v>56731</v>
      </c>
    </row>
    <row r="30" spans="1:11" ht="18" customHeight="1">
      <c r="A30" s="5" t="s">
        <v>84</v>
      </c>
      <c r="B30" s="636" t="s">
        <v>897</v>
      </c>
      <c r="C30" s="637"/>
      <c r="D30" s="638"/>
      <c r="F30" s="14">
        <v>549.9</v>
      </c>
      <c r="G30" s="14">
        <v>789</v>
      </c>
      <c r="H30" s="15">
        <v>20611</v>
      </c>
      <c r="I30" s="50">
        <v>2714</v>
      </c>
      <c r="J30" s="15">
        <v>0</v>
      </c>
      <c r="K30" s="16">
        <f t="shared" si="0"/>
        <v>23325</v>
      </c>
    </row>
    <row r="31" spans="1:11" ht="18" customHeight="1">
      <c r="A31" s="5" t="s">
        <v>133</v>
      </c>
      <c r="B31" s="636"/>
      <c r="C31" s="637"/>
      <c r="D31" s="638"/>
      <c r="F31" s="14"/>
      <c r="G31" s="14"/>
      <c r="H31" s="15"/>
      <c r="I31" s="50"/>
      <c r="J31" s="15"/>
      <c r="K31" s="16">
        <f t="shared" si="0"/>
        <v>0</v>
      </c>
    </row>
    <row r="32" spans="1:11" ht="18" customHeight="1">
      <c r="A32" s="5" t="s">
        <v>134</v>
      </c>
      <c r="B32" s="363"/>
      <c r="C32" s="364"/>
      <c r="D32" s="365"/>
      <c r="F32" s="14"/>
      <c r="G32" s="342" t="s">
        <v>85</v>
      </c>
      <c r="H32" s="15"/>
      <c r="I32" s="50"/>
      <c r="J32" s="15"/>
      <c r="K32" s="16">
        <f t="shared" si="0"/>
        <v>0</v>
      </c>
    </row>
    <row r="33" spans="1:11" ht="18" customHeight="1">
      <c r="A33" s="5" t="s">
        <v>135</v>
      </c>
      <c r="B33" s="363"/>
      <c r="C33" s="364"/>
      <c r="D33" s="365"/>
      <c r="F33" s="14"/>
      <c r="G33" s="342" t="s">
        <v>85</v>
      </c>
      <c r="H33" s="15"/>
      <c r="I33" s="50"/>
      <c r="J33" s="15"/>
      <c r="K33" s="16">
        <f t="shared" si="0"/>
        <v>0</v>
      </c>
    </row>
    <row r="34" spans="1:11" ht="18" customHeight="1">
      <c r="A34" s="5" t="s">
        <v>136</v>
      </c>
      <c r="B34" s="636"/>
      <c r="C34" s="637"/>
      <c r="D34" s="638"/>
      <c r="F34" s="14"/>
      <c r="G34" s="342" t="s">
        <v>85</v>
      </c>
      <c r="H34" s="15"/>
      <c r="I34" s="50"/>
      <c r="J34" s="15"/>
      <c r="K34" s="16">
        <f t="shared" si="0"/>
        <v>0</v>
      </c>
    </row>
    <row r="35" spans="1:11" ht="18" customHeight="1">
      <c r="K35" s="44"/>
    </row>
    <row r="36" spans="1:11" ht="18" customHeight="1">
      <c r="A36" s="6" t="s">
        <v>137</v>
      </c>
      <c r="B36" s="2" t="s">
        <v>138</v>
      </c>
      <c r="E36" s="2" t="s">
        <v>7</v>
      </c>
      <c r="F36" s="18">
        <f t="shared" ref="F36:K36" si="2">SUM(F21:F34)</f>
        <v>3485.49</v>
      </c>
      <c r="G36" s="18">
        <f t="shared" si="2"/>
        <v>11797</v>
      </c>
      <c r="H36" s="18">
        <f t="shared" si="2"/>
        <v>359375</v>
      </c>
      <c r="I36" s="16">
        <f t="shared" si="2"/>
        <v>48307</v>
      </c>
      <c r="J36" s="16">
        <f t="shared" si="2"/>
        <v>100941</v>
      </c>
      <c r="K36" s="16">
        <f t="shared" si="2"/>
        <v>306741</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100</v>
      </c>
      <c r="G40" s="14">
        <v>7</v>
      </c>
      <c r="H40" s="15">
        <v>10723</v>
      </c>
      <c r="I40" s="50">
        <v>7720</v>
      </c>
      <c r="J40" s="15">
        <v>0</v>
      </c>
      <c r="K40" s="16">
        <f t="shared" ref="K40:K47" si="3">(H40+I40)-J40</f>
        <v>18443</v>
      </c>
    </row>
    <row r="41" spans="1:11" ht="18" customHeight="1">
      <c r="A41" s="5" t="s">
        <v>88</v>
      </c>
      <c r="B41" s="641" t="s">
        <v>50</v>
      </c>
      <c r="C41" s="649"/>
      <c r="F41" s="14">
        <v>1363.2</v>
      </c>
      <c r="G41" s="14">
        <v>201</v>
      </c>
      <c r="H41" s="15">
        <v>45078</v>
      </c>
      <c r="I41" s="50">
        <v>32915</v>
      </c>
      <c r="J41" s="15">
        <v>0</v>
      </c>
      <c r="K41" s="16">
        <f t="shared" si="3"/>
        <v>77993</v>
      </c>
    </row>
    <row r="42" spans="1:11" ht="18" customHeight="1">
      <c r="A42" s="5" t="s">
        <v>89</v>
      </c>
      <c r="B42" s="341" t="s">
        <v>11</v>
      </c>
      <c r="F42" s="14">
        <v>5442.5</v>
      </c>
      <c r="G42" s="14">
        <v>247</v>
      </c>
      <c r="H42" s="15">
        <v>178644</v>
      </c>
      <c r="I42" s="50">
        <v>128044</v>
      </c>
      <c r="J42" s="15">
        <v>0</v>
      </c>
      <c r="K42" s="16">
        <f t="shared" si="3"/>
        <v>306688</v>
      </c>
    </row>
    <row r="43" spans="1:11" ht="18" customHeight="1">
      <c r="A43" s="5" t="s">
        <v>90</v>
      </c>
      <c r="B43" s="343" t="s">
        <v>10</v>
      </c>
      <c r="C43" s="10"/>
      <c r="D43" s="10"/>
      <c r="F43" s="14">
        <v>196</v>
      </c>
      <c r="G43" s="14">
        <v>358</v>
      </c>
      <c r="H43" s="15">
        <v>14624</v>
      </c>
      <c r="I43" s="50">
        <v>7449</v>
      </c>
      <c r="J43" s="15">
        <v>0</v>
      </c>
      <c r="K43" s="16">
        <f t="shared" si="3"/>
        <v>22073</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7101.7</v>
      </c>
      <c r="G49" s="23">
        <f t="shared" si="4"/>
        <v>813</v>
      </c>
      <c r="H49" s="16">
        <f t="shared" si="4"/>
        <v>249069</v>
      </c>
      <c r="I49" s="16">
        <f t="shared" si="4"/>
        <v>176128</v>
      </c>
      <c r="J49" s="16">
        <f t="shared" si="4"/>
        <v>0</v>
      </c>
      <c r="K49" s="16">
        <f t="shared" si="4"/>
        <v>425197</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c r="C53" s="648"/>
      <c r="D53" s="644"/>
      <c r="F53" s="14"/>
      <c r="G53" s="14"/>
      <c r="H53" s="15"/>
      <c r="I53" s="50">
        <v>0</v>
      </c>
      <c r="J53" s="15"/>
      <c r="K53" s="16">
        <f t="shared" ref="K53:K62" si="5">(H53+I53)-J53</f>
        <v>0</v>
      </c>
    </row>
    <row r="54" spans="1:11" ht="18" customHeight="1">
      <c r="A54" s="5" t="s">
        <v>93</v>
      </c>
      <c r="B54" s="360"/>
      <c r="C54" s="361"/>
      <c r="D54" s="362"/>
      <c r="F54" s="14"/>
      <c r="G54" s="14"/>
      <c r="H54" s="15"/>
      <c r="I54" s="50">
        <v>0</v>
      </c>
      <c r="J54" s="15"/>
      <c r="K54" s="16">
        <f t="shared" si="5"/>
        <v>0</v>
      </c>
    </row>
    <row r="55" spans="1:11" ht="18" customHeight="1">
      <c r="A55" s="5" t="s">
        <v>94</v>
      </c>
      <c r="B55" s="650" t="s">
        <v>627</v>
      </c>
      <c r="C55" s="643"/>
      <c r="D55" s="644"/>
      <c r="F55" s="14">
        <v>238</v>
      </c>
      <c r="G55" s="14">
        <v>15</v>
      </c>
      <c r="H55" s="15">
        <v>10256950</v>
      </c>
      <c r="I55" s="50">
        <v>14507</v>
      </c>
      <c r="J55" s="15">
        <v>5246481</v>
      </c>
      <c r="K55" s="16">
        <f t="shared" si="5"/>
        <v>5024976</v>
      </c>
    </row>
    <row r="56" spans="1:11" ht="18" customHeight="1">
      <c r="A56" s="5" t="s">
        <v>95</v>
      </c>
      <c r="B56" s="642"/>
      <c r="C56" s="643"/>
      <c r="D56" s="644"/>
      <c r="F56" s="14"/>
      <c r="G56" s="14"/>
      <c r="H56" s="15"/>
      <c r="I56" s="50">
        <v>0</v>
      </c>
      <c r="J56" s="15"/>
      <c r="K56" s="16">
        <f t="shared" si="5"/>
        <v>0</v>
      </c>
    </row>
    <row r="57" spans="1:11" ht="18" customHeight="1">
      <c r="A57" s="5" t="s">
        <v>96</v>
      </c>
      <c r="B57" s="650" t="s">
        <v>628</v>
      </c>
      <c r="C57" s="643"/>
      <c r="D57" s="644"/>
      <c r="F57" s="14">
        <v>2080</v>
      </c>
      <c r="G57" s="14">
        <v>0</v>
      </c>
      <c r="H57" s="15">
        <v>218040</v>
      </c>
      <c r="I57" s="50">
        <v>156989</v>
      </c>
      <c r="J57" s="15">
        <v>0</v>
      </c>
      <c r="K57" s="16">
        <f t="shared" si="5"/>
        <v>375029</v>
      </c>
    </row>
    <row r="58" spans="1:11" ht="18" customHeight="1">
      <c r="A58" s="5" t="s">
        <v>97</v>
      </c>
      <c r="B58" s="360"/>
      <c r="C58" s="361"/>
      <c r="D58" s="362"/>
      <c r="F58" s="14"/>
      <c r="G58" s="14"/>
      <c r="H58" s="15"/>
      <c r="I58" s="50">
        <v>0</v>
      </c>
      <c r="J58" s="15"/>
      <c r="K58" s="16">
        <f t="shared" si="5"/>
        <v>0</v>
      </c>
    </row>
    <row r="59" spans="1:11" ht="18" customHeight="1">
      <c r="A59" s="5" t="s">
        <v>98</v>
      </c>
      <c r="B59" s="650" t="s">
        <v>683</v>
      </c>
      <c r="C59" s="643"/>
      <c r="D59" s="644"/>
      <c r="F59" s="14">
        <v>23594</v>
      </c>
      <c r="G59" s="14">
        <v>104</v>
      </c>
      <c r="H59" s="15">
        <v>888064</v>
      </c>
      <c r="I59" s="50">
        <v>0</v>
      </c>
      <c r="J59" s="15">
        <v>634566</v>
      </c>
      <c r="K59" s="16">
        <f t="shared" si="5"/>
        <v>253498</v>
      </c>
    </row>
    <row r="60" spans="1:11" ht="18" customHeight="1">
      <c r="A60" s="5" t="s">
        <v>99</v>
      </c>
      <c r="B60" s="360"/>
      <c r="C60" s="361"/>
      <c r="D60" s="362"/>
      <c r="F60" s="14"/>
      <c r="G60" s="14"/>
      <c r="H60" s="15"/>
      <c r="I60" s="50">
        <v>0</v>
      </c>
      <c r="J60" s="15"/>
      <c r="K60" s="16">
        <f t="shared" si="5"/>
        <v>0</v>
      </c>
    </row>
    <row r="61" spans="1:11" ht="18" customHeight="1">
      <c r="A61" s="5" t="s">
        <v>100</v>
      </c>
      <c r="B61" s="369" t="s">
        <v>898</v>
      </c>
      <c r="C61" s="361"/>
      <c r="D61" s="362"/>
      <c r="F61" s="14">
        <v>0</v>
      </c>
      <c r="G61" s="14">
        <v>61</v>
      </c>
      <c r="H61" s="15">
        <v>128171</v>
      </c>
      <c r="I61" s="50">
        <v>0</v>
      </c>
      <c r="J61" s="15">
        <v>0</v>
      </c>
      <c r="K61" s="16">
        <f t="shared" si="5"/>
        <v>128171</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25912</v>
      </c>
      <c r="G64" s="18">
        <f t="shared" si="6"/>
        <v>180</v>
      </c>
      <c r="H64" s="16">
        <f t="shared" si="6"/>
        <v>11491225</v>
      </c>
      <c r="I64" s="16">
        <f t="shared" si="6"/>
        <v>171496</v>
      </c>
      <c r="J64" s="16">
        <f t="shared" si="6"/>
        <v>5881047</v>
      </c>
      <c r="K64" s="16">
        <f t="shared" si="6"/>
        <v>5781674</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v>0</v>
      </c>
      <c r="G68" s="51">
        <v>0</v>
      </c>
      <c r="H68" s="51">
        <v>7568</v>
      </c>
      <c r="I68" s="50">
        <v>0</v>
      </c>
      <c r="J68" s="51">
        <v>0</v>
      </c>
      <c r="K68" s="16">
        <f>(H68+I68)-J68</f>
        <v>7568</v>
      </c>
    </row>
    <row r="69" spans="1:11" ht="18" customHeight="1">
      <c r="A69" s="5" t="s">
        <v>104</v>
      </c>
      <c r="B69" s="341" t="s">
        <v>53</v>
      </c>
      <c r="F69" s="51">
        <v>0</v>
      </c>
      <c r="G69" s="51">
        <v>0</v>
      </c>
      <c r="H69" s="51">
        <v>0</v>
      </c>
      <c r="I69" s="50">
        <v>0</v>
      </c>
      <c r="J69" s="51">
        <v>0</v>
      </c>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7568</v>
      </c>
      <c r="I74" s="53">
        <f t="shared" si="7"/>
        <v>0</v>
      </c>
      <c r="J74" s="21">
        <f t="shared" si="7"/>
        <v>0</v>
      </c>
      <c r="K74" s="17">
        <f t="shared" si="7"/>
        <v>7568</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v>4</v>
      </c>
      <c r="G77" s="14">
        <v>0</v>
      </c>
      <c r="H77" s="15">
        <v>103034</v>
      </c>
      <c r="I77" s="50">
        <v>0</v>
      </c>
      <c r="J77" s="15">
        <v>0</v>
      </c>
      <c r="K77" s="16">
        <f>(H77+I77)-J77</f>
        <v>103034</v>
      </c>
    </row>
    <row r="78" spans="1:11" ht="18" customHeight="1">
      <c r="A78" s="5" t="s">
        <v>108</v>
      </c>
      <c r="B78" s="341" t="s">
        <v>55</v>
      </c>
      <c r="F78" s="14">
        <v>0</v>
      </c>
      <c r="G78" s="14">
        <v>0</v>
      </c>
      <c r="H78" s="15">
        <v>0</v>
      </c>
      <c r="I78" s="50">
        <v>0</v>
      </c>
      <c r="J78" s="15">
        <v>0</v>
      </c>
      <c r="K78" s="16">
        <f>(H78+I78)-J78</f>
        <v>0</v>
      </c>
    </row>
    <row r="79" spans="1:11" ht="18" customHeight="1">
      <c r="A79" s="5" t="s">
        <v>109</v>
      </c>
      <c r="B79" s="341" t="s">
        <v>13</v>
      </c>
      <c r="F79" s="14">
        <v>2782.6</v>
      </c>
      <c r="G79" s="14">
        <v>37330</v>
      </c>
      <c r="H79" s="15">
        <v>314195</v>
      </c>
      <c r="I79" s="50">
        <v>5506</v>
      </c>
      <c r="J79" s="15">
        <v>155118</v>
      </c>
      <c r="K79" s="16">
        <f>(H79+I79)-J79</f>
        <v>164583</v>
      </c>
    </row>
    <row r="80" spans="1:11" ht="18" customHeight="1">
      <c r="A80" s="5" t="s">
        <v>110</v>
      </c>
      <c r="B80" s="341" t="s">
        <v>56</v>
      </c>
      <c r="F80" s="14">
        <v>10</v>
      </c>
      <c r="G80" s="14">
        <v>0</v>
      </c>
      <c r="H80" s="15">
        <v>431</v>
      </c>
      <c r="I80" s="50">
        <v>0</v>
      </c>
      <c r="J80" s="15">
        <v>0</v>
      </c>
      <c r="K80" s="16">
        <f>(H80+I80)-J80</f>
        <v>431</v>
      </c>
    </row>
    <row r="81" spans="1:11" ht="18" customHeight="1">
      <c r="A81" s="5"/>
      <c r="K81" s="40"/>
    </row>
    <row r="82" spans="1:11" ht="18" customHeight="1">
      <c r="A82" s="5" t="s">
        <v>148</v>
      </c>
      <c r="B82" s="2" t="s">
        <v>149</v>
      </c>
      <c r="E82" s="2" t="s">
        <v>7</v>
      </c>
      <c r="F82" s="21">
        <f t="shared" ref="F82:K82" si="8">SUM(F77:F80)</f>
        <v>2796.6</v>
      </c>
      <c r="G82" s="21">
        <f t="shared" si="8"/>
        <v>37330</v>
      </c>
      <c r="H82" s="17">
        <f t="shared" si="8"/>
        <v>417660</v>
      </c>
      <c r="I82" s="17">
        <f t="shared" si="8"/>
        <v>5506</v>
      </c>
      <c r="J82" s="17">
        <f t="shared" si="8"/>
        <v>155118</v>
      </c>
      <c r="K82" s="17">
        <f t="shared" si="8"/>
        <v>268048</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v>0</v>
      </c>
      <c r="G86" s="14">
        <v>0</v>
      </c>
      <c r="H86" s="15">
        <v>0</v>
      </c>
      <c r="I86" s="50">
        <f t="shared" ref="I86:I96" si="9">H86*F$114</f>
        <v>0</v>
      </c>
      <c r="J86" s="15">
        <v>0</v>
      </c>
      <c r="K86" s="16">
        <f t="shared" ref="K86:K96" si="10">(H86+I86)-J86</f>
        <v>0</v>
      </c>
    </row>
    <row r="87" spans="1:11" ht="18" customHeight="1">
      <c r="A87" s="5" t="s">
        <v>114</v>
      </c>
      <c r="B87" s="341" t="s">
        <v>14</v>
      </c>
      <c r="F87" s="14">
        <v>55</v>
      </c>
      <c r="G87" s="14">
        <v>330</v>
      </c>
      <c r="H87" s="15">
        <v>19553</v>
      </c>
      <c r="I87" s="50">
        <v>0</v>
      </c>
      <c r="J87" s="15">
        <v>0</v>
      </c>
      <c r="K87" s="16">
        <f t="shared" si="10"/>
        <v>19553</v>
      </c>
    </row>
    <row r="88" spans="1:11" ht="18" customHeight="1">
      <c r="A88" s="5" t="s">
        <v>115</v>
      </c>
      <c r="B88" s="341" t="s">
        <v>116</v>
      </c>
      <c r="F88" s="14">
        <v>51</v>
      </c>
      <c r="G88" s="14">
        <v>86</v>
      </c>
      <c r="H88" s="15">
        <v>6373</v>
      </c>
      <c r="I88" s="50">
        <v>1260</v>
      </c>
      <c r="J88" s="15">
        <v>0</v>
      </c>
      <c r="K88" s="16">
        <f t="shared" si="10"/>
        <v>7633</v>
      </c>
    </row>
    <row r="89" spans="1:11" ht="18" customHeight="1">
      <c r="A89" s="5" t="s">
        <v>117</v>
      </c>
      <c r="B89" s="341" t="s">
        <v>58</v>
      </c>
      <c r="F89" s="14">
        <v>0</v>
      </c>
      <c r="G89" s="14">
        <v>0</v>
      </c>
      <c r="H89" s="15">
        <v>0</v>
      </c>
      <c r="I89" s="50">
        <f t="shared" si="9"/>
        <v>0</v>
      </c>
      <c r="J89" s="15">
        <v>0</v>
      </c>
      <c r="K89" s="16">
        <f t="shared" si="10"/>
        <v>0</v>
      </c>
    </row>
    <row r="90" spans="1:11" ht="18" customHeight="1">
      <c r="A90" s="5" t="s">
        <v>118</v>
      </c>
      <c r="B90" s="641" t="s">
        <v>59</v>
      </c>
      <c r="C90" s="649"/>
      <c r="F90" s="14">
        <v>2.5</v>
      </c>
      <c r="G90" s="14">
        <v>100</v>
      </c>
      <c r="H90" s="15">
        <v>126</v>
      </c>
      <c r="I90" s="50">
        <v>0</v>
      </c>
      <c r="J90" s="15">
        <v>0</v>
      </c>
      <c r="K90" s="16">
        <f t="shared" si="10"/>
        <v>126</v>
      </c>
    </row>
    <row r="91" spans="1:11" ht="18" customHeight="1">
      <c r="A91" s="5" t="s">
        <v>119</v>
      </c>
      <c r="B91" s="341" t="s">
        <v>60</v>
      </c>
      <c r="F91" s="14">
        <v>0</v>
      </c>
      <c r="G91" s="14">
        <v>0</v>
      </c>
      <c r="H91" s="15">
        <v>0</v>
      </c>
      <c r="I91" s="50">
        <f t="shared" si="9"/>
        <v>0</v>
      </c>
      <c r="J91" s="15">
        <v>0</v>
      </c>
      <c r="K91" s="16">
        <f t="shared" si="10"/>
        <v>0</v>
      </c>
    </row>
    <row r="92" spans="1:11" ht="18" customHeight="1">
      <c r="A92" s="5" t="s">
        <v>120</v>
      </c>
      <c r="B92" s="341" t="s">
        <v>121</v>
      </c>
      <c r="F92" s="38">
        <v>0</v>
      </c>
      <c r="G92" s="38">
        <v>0</v>
      </c>
      <c r="H92" s="39">
        <v>0</v>
      </c>
      <c r="I92" s="50">
        <f t="shared" si="9"/>
        <v>0</v>
      </c>
      <c r="J92" s="39">
        <v>0</v>
      </c>
      <c r="K92" s="16">
        <f t="shared" si="10"/>
        <v>0</v>
      </c>
    </row>
    <row r="93" spans="1:11" ht="18" customHeight="1">
      <c r="A93" s="5" t="s">
        <v>122</v>
      </c>
      <c r="B93" s="341" t="s">
        <v>123</v>
      </c>
      <c r="F93" s="14">
        <v>1617.4</v>
      </c>
      <c r="G93" s="14">
        <v>378</v>
      </c>
      <c r="H93" s="15">
        <v>34706</v>
      </c>
      <c r="I93" s="50">
        <v>21526</v>
      </c>
      <c r="J93" s="15">
        <v>0</v>
      </c>
      <c r="K93" s="16">
        <f t="shared" si="10"/>
        <v>56232</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1725.9</v>
      </c>
      <c r="G98" s="18">
        <f t="shared" si="11"/>
        <v>894</v>
      </c>
      <c r="H98" s="18">
        <f t="shared" si="11"/>
        <v>60758</v>
      </c>
      <c r="I98" s="18">
        <f t="shared" si="11"/>
        <v>22786</v>
      </c>
      <c r="J98" s="18">
        <f t="shared" si="11"/>
        <v>0</v>
      </c>
      <c r="K98" s="18">
        <f t="shared" si="11"/>
        <v>83544</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2172</v>
      </c>
      <c r="G102" s="14">
        <v>0</v>
      </c>
      <c r="H102" s="15">
        <v>72263</v>
      </c>
      <c r="I102" s="50">
        <v>52030</v>
      </c>
      <c r="J102" s="15">
        <v>0</v>
      </c>
      <c r="K102" s="16">
        <f>(H102+I102)-J102</f>
        <v>124293</v>
      </c>
    </row>
    <row r="103" spans="1:11" ht="18" customHeight="1">
      <c r="A103" s="5" t="s">
        <v>132</v>
      </c>
      <c r="B103" s="641" t="s">
        <v>62</v>
      </c>
      <c r="C103" s="641"/>
      <c r="F103" s="14">
        <v>7</v>
      </c>
      <c r="G103" s="14">
        <v>10</v>
      </c>
      <c r="H103" s="15">
        <v>240</v>
      </c>
      <c r="I103" s="50">
        <v>173</v>
      </c>
      <c r="J103" s="15">
        <v>0</v>
      </c>
      <c r="K103" s="16">
        <f>(H103+I103)-J103</f>
        <v>413</v>
      </c>
    </row>
    <row r="104" spans="1:11" ht="18" customHeight="1">
      <c r="A104" s="5" t="s">
        <v>128</v>
      </c>
      <c r="B104" s="650" t="s">
        <v>630</v>
      </c>
      <c r="C104" s="643"/>
      <c r="D104" s="644"/>
      <c r="F104" s="14">
        <v>0</v>
      </c>
      <c r="G104" s="14">
        <v>73</v>
      </c>
      <c r="H104" s="15">
        <v>13981</v>
      </c>
      <c r="I104" s="50">
        <v>0</v>
      </c>
      <c r="J104" s="15">
        <v>0</v>
      </c>
      <c r="K104" s="16">
        <f>(H104+I104)-J104</f>
        <v>13981</v>
      </c>
    </row>
    <row r="105" spans="1:11" ht="18" customHeight="1">
      <c r="A105" s="5" t="s">
        <v>127</v>
      </c>
      <c r="B105" s="642"/>
      <c r="C105" s="643"/>
      <c r="D105" s="644"/>
      <c r="F105" s="14"/>
      <c r="G105" s="14"/>
      <c r="H105" s="15"/>
      <c r="I105" s="50"/>
      <c r="J105" s="15"/>
      <c r="K105" s="16">
        <f>(H105+I105)-J105</f>
        <v>0</v>
      </c>
    </row>
    <row r="106" spans="1:11" ht="18" customHeight="1">
      <c r="A106" s="5" t="s">
        <v>129</v>
      </c>
      <c r="B106" s="642"/>
      <c r="C106" s="643"/>
      <c r="D106" s="644"/>
      <c r="F106" s="14"/>
      <c r="G106" s="14"/>
      <c r="H106" s="15"/>
      <c r="I106" s="50"/>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2179</v>
      </c>
      <c r="G108" s="18">
        <f t="shared" si="12"/>
        <v>83</v>
      </c>
      <c r="H108" s="16">
        <f t="shared" si="12"/>
        <v>86484</v>
      </c>
      <c r="I108" s="16">
        <f t="shared" si="12"/>
        <v>52203</v>
      </c>
      <c r="J108" s="16">
        <f t="shared" si="12"/>
        <v>0</v>
      </c>
      <c r="K108" s="16">
        <f t="shared" si="12"/>
        <v>138687</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3064396</v>
      </c>
    </row>
    <row r="112" spans="1:11" ht="18" customHeight="1">
      <c r="B112" s="2"/>
      <c r="E112" s="2"/>
      <c r="F112" s="22"/>
    </row>
    <row r="113" spans="1:6" ht="18" customHeight="1">
      <c r="A113" s="6"/>
      <c r="B113" s="2" t="s">
        <v>15</v>
      </c>
    </row>
    <row r="114" spans="1:6" ht="18" customHeight="1">
      <c r="A114" s="5" t="s">
        <v>171</v>
      </c>
      <c r="B114" s="341" t="s">
        <v>35</v>
      </c>
      <c r="F114" s="25">
        <v>0.72</v>
      </c>
    </row>
    <row r="115" spans="1:6" ht="18" customHeight="1">
      <c r="A115" s="5"/>
      <c r="B115" s="2"/>
    </row>
    <row r="116" spans="1:6" ht="18" customHeight="1">
      <c r="A116" s="5" t="s">
        <v>170</v>
      </c>
      <c r="B116" s="2" t="s">
        <v>16</v>
      </c>
    </row>
    <row r="117" spans="1:6" ht="18" customHeight="1">
      <c r="A117" s="5" t="s">
        <v>172</v>
      </c>
      <c r="B117" s="341" t="s">
        <v>17</v>
      </c>
      <c r="F117" s="15">
        <v>154741270</v>
      </c>
    </row>
    <row r="118" spans="1:6" ht="18" customHeight="1">
      <c r="A118" s="5" t="s">
        <v>173</v>
      </c>
      <c r="B118" t="s">
        <v>18</v>
      </c>
      <c r="F118" s="15">
        <v>4301087</v>
      </c>
    </row>
    <row r="119" spans="1:6" ht="18" customHeight="1">
      <c r="A119" s="5" t="s">
        <v>174</v>
      </c>
      <c r="B119" s="2" t="s">
        <v>19</v>
      </c>
      <c r="F119" s="17">
        <f>SUM(F117:F118)</f>
        <v>159042357</v>
      </c>
    </row>
    <row r="120" spans="1:6" ht="18" customHeight="1">
      <c r="A120" s="5"/>
      <c r="B120" s="2"/>
    </row>
    <row r="121" spans="1:6" ht="18" customHeight="1">
      <c r="A121" s="5" t="s">
        <v>167</v>
      </c>
      <c r="B121" s="2" t="s">
        <v>36</v>
      </c>
      <c r="F121" s="15">
        <v>146635757</v>
      </c>
    </row>
    <row r="122" spans="1:6" ht="18" customHeight="1">
      <c r="A122" s="5"/>
    </row>
    <row r="123" spans="1:6" ht="18" customHeight="1">
      <c r="A123" s="5" t="s">
        <v>175</v>
      </c>
      <c r="B123" s="2" t="s">
        <v>20</v>
      </c>
      <c r="F123" s="15">
        <v>3234826</v>
      </c>
    </row>
    <row r="124" spans="1:6" ht="18" customHeight="1">
      <c r="A124" s="5"/>
    </row>
    <row r="125" spans="1:6" ht="18" customHeight="1">
      <c r="A125" s="5" t="s">
        <v>176</v>
      </c>
      <c r="B125" s="2" t="s">
        <v>21</v>
      </c>
      <c r="F125" s="15">
        <v>7575631</v>
      </c>
    </row>
    <row r="126" spans="1:6" ht="18" customHeight="1">
      <c r="A126" s="5"/>
    </row>
    <row r="127" spans="1:6" ht="18" customHeight="1">
      <c r="A127" s="5" t="s">
        <v>177</v>
      </c>
      <c r="B127" s="2" t="s">
        <v>22</v>
      </c>
      <c r="F127" s="15">
        <v>10810457</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v>0</v>
      </c>
      <c r="G131" s="14">
        <v>0</v>
      </c>
      <c r="H131" s="15">
        <v>0</v>
      </c>
      <c r="I131" s="50">
        <v>0</v>
      </c>
      <c r="J131" s="15">
        <v>0</v>
      </c>
      <c r="K131" s="16">
        <f>(H131+I131)-J131</f>
        <v>0</v>
      </c>
    </row>
    <row r="132" spans="1:11" ht="18" customHeight="1">
      <c r="A132" s="5" t="s">
        <v>159</v>
      </c>
      <c r="B132" t="s">
        <v>25</v>
      </c>
      <c r="F132" s="14">
        <v>0</v>
      </c>
      <c r="G132" s="14">
        <v>0</v>
      </c>
      <c r="H132" s="15">
        <v>0</v>
      </c>
      <c r="I132" s="50">
        <v>0</v>
      </c>
      <c r="J132" s="15">
        <v>0</v>
      </c>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3485.49</v>
      </c>
      <c r="G141" s="41">
        <f t="shared" si="14"/>
        <v>11797</v>
      </c>
      <c r="H141" s="41">
        <f t="shared" si="14"/>
        <v>359375</v>
      </c>
      <c r="I141" s="41">
        <f t="shared" si="14"/>
        <v>48307</v>
      </c>
      <c r="J141" s="41">
        <f t="shared" si="14"/>
        <v>100941</v>
      </c>
      <c r="K141" s="41">
        <f t="shared" si="14"/>
        <v>306741</v>
      </c>
    </row>
    <row r="142" spans="1:11" ht="18" customHeight="1">
      <c r="A142" s="5" t="s">
        <v>142</v>
      </c>
      <c r="B142" s="2" t="s">
        <v>65</v>
      </c>
      <c r="F142" s="41">
        <f t="shared" ref="F142:K142" si="15">F49</f>
        <v>7101.7</v>
      </c>
      <c r="G142" s="41">
        <f t="shared" si="15"/>
        <v>813</v>
      </c>
      <c r="H142" s="41">
        <f t="shared" si="15"/>
        <v>249069</v>
      </c>
      <c r="I142" s="41">
        <f t="shared" si="15"/>
        <v>176128</v>
      </c>
      <c r="J142" s="41">
        <f t="shared" si="15"/>
        <v>0</v>
      </c>
      <c r="K142" s="41">
        <f t="shared" si="15"/>
        <v>425197</v>
      </c>
    </row>
    <row r="143" spans="1:11" ht="18" customHeight="1">
      <c r="A143" s="5" t="s">
        <v>144</v>
      </c>
      <c r="B143" s="2" t="s">
        <v>66</v>
      </c>
      <c r="F143" s="41">
        <f t="shared" ref="F143:K143" si="16">F64</f>
        <v>25912</v>
      </c>
      <c r="G143" s="41">
        <f t="shared" si="16"/>
        <v>180</v>
      </c>
      <c r="H143" s="41">
        <f t="shared" si="16"/>
        <v>11491225</v>
      </c>
      <c r="I143" s="41">
        <f t="shared" si="16"/>
        <v>171496</v>
      </c>
      <c r="J143" s="41">
        <f t="shared" si="16"/>
        <v>5881047</v>
      </c>
      <c r="K143" s="41">
        <f t="shared" si="16"/>
        <v>5781674</v>
      </c>
    </row>
    <row r="144" spans="1:11" ht="18" customHeight="1">
      <c r="A144" s="5" t="s">
        <v>146</v>
      </c>
      <c r="B144" s="2" t="s">
        <v>67</v>
      </c>
      <c r="F144" s="41">
        <f t="shared" ref="F144:K144" si="17">F74</f>
        <v>0</v>
      </c>
      <c r="G144" s="41">
        <f t="shared" si="17"/>
        <v>0</v>
      </c>
      <c r="H144" s="41">
        <f t="shared" si="17"/>
        <v>7568</v>
      </c>
      <c r="I144" s="41">
        <f t="shared" si="17"/>
        <v>0</v>
      </c>
      <c r="J144" s="41">
        <f t="shared" si="17"/>
        <v>0</v>
      </c>
      <c r="K144" s="41">
        <f t="shared" si="17"/>
        <v>7568</v>
      </c>
    </row>
    <row r="145" spans="1:11" ht="18" customHeight="1">
      <c r="A145" s="5" t="s">
        <v>148</v>
      </c>
      <c r="B145" s="2" t="s">
        <v>68</v>
      </c>
      <c r="F145" s="41">
        <f t="shared" ref="F145:K145" si="18">F82</f>
        <v>2796.6</v>
      </c>
      <c r="G145" s="41">
        <f t="shared" si="18"/>
        <v>37330</v>
      </c>
      <c r="H145" s="41">
        <f t="shared" si="18"/>
        <v>417660</v>
      </c>
      <c r="I145" s="41">
        <f t="shared" si="18"/>
        <v>5506</v>
      </c>
      <c r="J145" s="41">
        <f t="shared" si="18"/>
        <v>155118</v>
      </c>
      <c r="K145" s="41">
        <f t="shared" si="18"/>
        <v>268048</v>
      </c>
    </row>
    <row r="146" spans="1:11" ht="18" customHeight="1">
      <c r="A146" s="5" t="s">
        <v>150</v>
      </c>
      <c r="B146" s="2" t="s">
        <v>69</v>
      </c>
      <c r="F146" s="41">
        <f t="shared" ref="F146:K146" si="19">F98</f>
        <v>1725.9</v>
      </c>
      <c r="G146" s="41">
        <f t="shared" si="19"/>
        <v>894</v>
      </c>
      <c r="H146" s="41">
        <f t="shared" si="19"/>
        <v>60758</v>
      </c>
      <c r="I146" s="41">
        <f t="shared" si="19"/>
        <v>22786</v>
      </c>
      <c r="J146" s="41">
        <f t="shared" si="19"/>
        <v>0</v>
      </c>
      <c r="K146" s="41">
        <f t="shared" si="19"/>
        <v>83544</v>
      </c>
    </row>
    <row r="147" spans="1:11" ht="18" customHeight="1">
      <c r="A147" s="5" t="s">
        <v>153</v>
      </c>
      <c r="B147" s="2" t="s">
        <v>61</v>
      </c>
      <c r="F147" s="18">
        <f t="shared" ref="F147:K147" si="20">F108</f>
        <v>2179</v>
      </c>
      <c r="G147" s="18">
        <f t="shared" si="20"/>
        <v>83</v>
      </c>
      <c r="H147" s="18">
        <f t="shared" si="20"/>
        <v>86484</v>
      </c>
      <c r="I147" s="18">
        <f t="shared" si="20"/>
        <v>52203</v>
      </c>
      <c r="J147" s="18">
        <f t="shared" si="20"/>
        <v>0</v>
      </c>
      <c r="K147" s="18">
        <f t="shared" si="20"/>
        <v>138687</v>
      </c>
    </row>
    <row r="148" spans="1:11" ht="18" customHeight="1">
      <c r="A148" s="5" t="s">
        <v>155</v>
      </c>
      <c r="B148" s="2" t="s">
        <v>70</v>
      </c>
      <c r="F148" s="42" t="s">
        <v>73</v>
      </c>
      <c r="G148" s="42" t="s">
        <v>73</v>
      </c>
      <c r="H148" s="43" t="s">
        <v>73</v>
      </c>
      <c r="I148" s="43" t="s">
        <v>73</v>
      </c>
      <c r="J148" s="43" t="s">
        <v>73</v>
      </c>
      <c r="K148" s="37">
        <f>F111</f>
        <v>3064396</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3950000</v>
      </c>
      <c r="I150" s="18">
        <f>I18</f>
        <v>0</v>
      </c>
      <c r="J150" s="18">
        <f>J18</f>
        <v>3377744</v>
      </c>
      <c r="K150" s="18">
        <f>K18</f>
        <v>572256</v>
      </c>
    </row>
    <row r="151" spans="1:11" ht="18" customHeight="1">
      <c r="B151" s="2"/>
      <c r="F151" s="48"/>
      <c r="G151" s="48"/>
      <c r="H151" s="48"/>
      <c r="I151" s="48"/>
      <c r="J151" s="48"/>
      <c r="K151" s="48"/>
    </row>
    <row r="152" spans="1:11" ht="18" customHeight="1">
      <c r="A152" s="6" t="s">
        <v>165</v>
      </c>
      <c r="B152" s="2" t="s">
        <v>26</v>
      </c>
      <c r="F152" s="49">
        <f t="shared" ref="F152:K152" si="22">SUM(F141:F150)</f>
        <v>43200.69</v>
      </c>
      <c r="G152" s="49">
        <f t="shared" si="22"/>
        <v>51097</v>
      </c>
      <c r="H152" s="49">
        <f t="shared" si="22"/>
        <v>16622139</v>
      </c>
      <c r="I152" s="49">
        <f t="shared" si="22"/>
        <v>476426</v>
      </c>
      <c r="J152" s="49">
        <f t="shared" si="22"/>
        <v>9514850</v>
      </c>
      <c r="K152" s="49">
        <f t="shared" si="22"/>
        <v>10648111</v>
      </c>
    </row>
    <row r="154" spans="1:11" ht="18" customHeight="1">
      <c r="A154" s="6" t="s">
        <v>168</v>
      </c>
      <c r="B154" s="2" t="s">
        <v>28</v>
      </c>
      <c r="F154" s="348">
        <f>K152/F121</f>
        <v>7.2616060487893139E-2</v>
      </c>
    </row>
    <row r="155" spans="1:11" ht="18" customHeight="1">
      <c r="A155" s="6" t="s">
        <v>169</v>
      </c>
      <c r="B155" s="2" t="s">
        <v>72</v>
      </c>
      <c r="F155" s="348">
        <f>K152/F127</f>
        <v>0.98498250351488381</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27" zoomScale="80" zoomScaleNormal="50" zoomScaleSheetLayoutView="80" workbookViewId="0">
      <selection activeCell="K91" sqref="K91"/>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319</v>
      </c>
      <c r="D5" s="654"/>
      <c r="E5" s="654"/>
      <c r="F5" s="654"/>
      <c r="G5" s="655"/>
    </row>
    <row r="6" spans="1:11" ht="18" customHeight="1">
      <c r="B6" s="5" t="s">
        <v>3</v>
      </c>
      <c r="C6" s="671" t="s">
        <v>483</v>
      </c>
      <c r="D6" s="657"/>
      <c r="E6" s="657"/>
      <c r="F6" s="657"/>
      <c r="G6" s="658"/>
    </row>
    <row r="7" spans="1:11" ht="18" customHeight="1">
      <c r="B7" s="5" t="s">
        <v>4</v>
      </c>
      <c r="C7" s="659">
        <v>2027</v>
      </c>
      <c r="D7" s="660"/>
      <c r="E7" s="660"/>
      <c r="F7" s="660"/>
      <c r="G7" s="661"/>
    </row>
    <row r="9" spans="1:11" ht="18" customHeight="1">
      <c r="B9" s="5" t="s">
        <v>1</v>
      </c>
      <c r="C9" s="670" t="s">
        <v>484</v>
      </c>
      <c r="D9" s="654"/>
      <c r="E9" s="654"/>
      <c r="F9" s="654"/>
      <c r="G9" s="655"/>
    </row>
    <row r="10" spans="1:11" ht="18" customHeight="1">
      <c r="B10" s="5" t="s">
        <v>2</v>
      </c>
      <c r="C10" s="674" t="s">
        <v>485</v>
      </c>
      <c r="D10" s="663"/>
      <c r="E10" s="663"/>
      <c r="F10" s="663"/>
      <c r="G10" s="664"/>
    </row>
    <row r="11" spans="1:11" ht="18" customHeight="1">
      <c r="B11" s="5" t="s">
        <v>32</v>
      </c>
      <c r="C11" s="670" t="s">
        <v>486</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6413735</v>
      </c>
      <c r="I18" s="50">
        <v>0</v>
      </c>
      <c r="J18" s="15">
        <v>5484546</v>
      </c>
      <c r="K18" s="16">
        <f>(H18+I18)-J18</f>
        <v>929189</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16163</v>
      </c>
      <c r="G21" s="14">
        <v>55552</v>
      </c>
      <c r="H21" s="15">
        <v>817430</v>
      </c>
      <c r="I21" s="50">
        <f t="shared" ref="I21:I34" si="0">H21*F$114</f>
        <v>408715</v>
      </c>
      <c r="J21" s="15"/>
      <c r="K21" s="16">
        <f t="shared" ref="K21:K34" si="1">(H21+I21)-J21</f>
        <v>1226145</v>
      </c>
    </row>
    <row r="22" spans="1:11" ht="18" customHeight="1">
      <c r="A22" s="5" t="s">
        <v>76</v>
      </c>
      <c r="B22" t="s">
        <v>6</v>
      </c>
      <c r="F22" s="14">
        <v>127</v>
      </c>
      <c r="G22" s="14">
        <v>2168</v>
      </c>
      <c r="H22" s="15">
        <v>9837</v>
      </c>
      <c r="I22" s="50">
        <v>4918.5</v>
      </c>
      <c r="J22" s="15"/>
      <c r="K22" s="16">
        <f t="shared" si="1"/>
        <v>14755.5</v>
      </c>
    </row>
    <row r="23" spans="1:11" ht="18" customHeight="1">
      <c r="A23" s="5" t="s">
        <v>77</v>
      </c>
      <c r="B23" t="s">
        <v>43</v>
      </c>
      <c r="F23" s="14"/>
      <c r="G23" s="14">
        <v>73</v>
      </c>
      <c r="H23" s="15"/>
      <c r="I23" s="50"/>
      <c r="J23" s="15"/>
      <c r="K23" s="16">
        <f t="shared" si="1"/>
        <v>0</v>
      </c>
    </row>
    <row r="24" spans="1:11" ht="18" customHeight="1">
      <c r="A24" s="5" t="s">
        <v>78</v>
      </c>
      <c r="B24" t="s">
        <v>44</v>
      </c>
      <c r="F24" s="14"/>
      <c r="G24" s="14"/>
      <c r="H24" s="15"/>
      <c r="I24" s="50">
        <v>0</v>
      </c>
      <c r="J24" s="15"/>
      <c r="K24" s="16">
        <f t="shared" si="1"/>
        <v>0</v>
      </c>
    </row>
    <row r="25" spans="1:11" ht="18" customHeight="1">
      <c r="A25" s="5" t="s">
        <v>79</v>
      </c>
      <c r="B25" t="s">
        <v>5</v>
      </c>
      <c r="F25" s="14">
        <v>57.5</v>
      </c>
      <c r="G25" s="14">
        <v>1882</v>
      </c>
      <c r="H25" s="15">
        <v>5425</v>
      </c>
      <c r="I25" s="50">
        <f t="shared" si="0"/>
        <v>2712.5</v>
      </c>
      <c r="J25" s="15">
        <v>1595</v>
      </c>
      <c r="K25" s="16">
        <f t="shared" si="1"/>
        <v>6542.5</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2288</v>
      </c>
      <c r="G29" s="14">
        <v>520</v>
      </c>
      <c r="H29" s="15">
        <v>492510</v>
      </c>
      <c r="I29" s="50">
        <f t="shared" si="0"/>
        <v>246255</v>
      </c>
      <c r="J29" s="15"/>
      <c r="K29" s="16">
        <f t="shared" si="1"/>
        <v>738765</v>
      </c>
    </row>
    <row r="30" spans="1:11" ht="18" customHeight="1">
      <c r="A30" s="5" t="s">
        <v>84</v>
      </c>
      <c r="B30" s="636" t="s">
        <v>487</v>
      </c>
      <c r="C30" s="637"/>
      <c r="D30" s="638"/>
      <c r="F30" s="14"/>
      <c r="G30" s="14">
        <v>157</v>
      </c>
      <c r="H30" s="15">
        <v>35500</v>
      </c>
      <c r="I30" s="50">
        <f t="shared" si="0"/>
        <v>17750</v>
      </c>
      <c r="J30" s="15"/>
      <c r="K30" s="16">
        <f t="shared" si="1"/>
        <v>53250</v>
      </c>
    </row>
    <row r="31" spans="1:11" ht="18" customHeight="1">
      <c r="A31" s="5" t="s">
        <v>133</v>
      </c>
      <c r="B31" s="636" t="s">
        <v>488</v>
      </c>
      <c r="C31" s="637"/>
      <c r="D31" s="638"/>
      <c r="F31" s="14">
        <v>1011</v>
      </c>
      <c r="G31" s="14">
        <v>23</v>
      </c>
      <c r="H31" s="15">
        <v>99261</v>
      </c>
      <c r="I31" s="50">
        <f t="shared" si="0"/>
        <v>49630.5</v>
      </c>
      <c r="J31" s="15"/>
      <c r="K31" s="16">
        <f t="shared" si="1"/>
        <v>148891.5</v>
      </c>
    </row>
    <row r="32" spans="1:11" ht="18" customHeight="1">
      <c r="A32" s="5" t="s">
        <v>134</v>
      </c>
      <c r="B32" s="247"/>
      <c r="C32" s="248"/>
      <c r="D32" s="249"/>
      <c r="F32" s="14"/>
      <c r="G32" s="342" t="s">
        <v>85</v>
      </c>
      <c r="H32" s="15"/>
      <c r="I32" s="50">
        <f t="shared" si="0"/>
        <v>0</v>
      </c>
      <c r="J32" s="15"/>
      <c r="K32" s="16">
        <f t="shared" si="1"/>
        <v>0</v>
      </c>
    </row>
    <row r="33" spans="1:11" ht="18" customHeight="1">
      <c r="A33" s="5" t="s">
        <v>135</v>
      </c>
      <c r="B33" s="247"/>
      <c r="C33" s="248"/>
      <c r="D33" s="249"/>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19646.5</v>
      </c>
      <c r="G36" s="18">
        <f t="shared" si="2"/>
        <v>60375</v>
      </c>
      <c r="H36" s="18">
        <f t="shared" si="2"/>
        <v>1459963</v>
      </c>
      <c r="I36" s="16">
        <f t="shared" si="2"/>
        <v>729981.5</v>
      </c>
      <c r="J36" s="16">
        <f t="shared" si="2"/>
        <v>1595</v>
      </c>
      <c r="K36" s="16">
        <f t="shared" si="2"/>
        <v>2188349.5</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v>0</v>
      </c>
      <c r="J40" s="15"/>
      <c r="K40" s="16">
        <f t="shared" ref="K40:K47" si="3">(H40+I40)-J40</f>
        <v>0</v>
      </c>
    </row>
    <row r="41" spans="1:11" ht="18" customHeight="1">
      <c r="A41" s="5" t="s">
        <v>88</v>
      </c>
      <c r="B41" s="641" t="s">
        <v>50</v>
      </c>
      <c r="C41" s="649"/>
      <c r="F41" s="14">
        <v>9414</v>
      </c>
      <c r="G41" s="14">
        <v>301</v>
      </c>
      <c r="H41" s="15">
        <v>289480</v>
      </c>
      <c r="I41" s="50">
        <v>0</v>
      </c>
      <c r="J41" s="15"/>
      <c r="K41" s="16">
        <f t="shared" si="3"/>
        <v>289480</v>
      </c>
    </row>
    <row r="42" spans="1:11" ht="18" customHeight="1">
      <c r="A42" s="5" t="s">
        <v>89</v>
      </c>
      <c r="B42" s="341" t="s">
        <v>11</v>
      </c>
      <c r="F42" s="14">
        <v>10921</v>
      </c>
      <c r="G42" s="14">
        <v>230</v>
      </c>
      <c r="H42" s="15">
        <v>335821</v>
      </c>
      <c r="I42" s="50">
        <v>0</v>
      </c>
      <c r="J42" s="15"/>
      <c r="K42" s="16">
        <f t="shared" si="3"/>
        <v>335821</v>
      </c>
    </row>
    <row r="43" spans="1:11" ht="18" customHeight="1">
      <c r="A43" s="5" t="s">
        <v>90</v>
      </c>
      <c r="B43" s="343" t="s">
        <v>10</v>
      </c>
      <c r="C43" s="10"/>
      <c r="D43" s="10"/>
      <c r="F43" s="14"/>
      <c r="G43" s="14">
        <v>10</v>
      </c>
      <c r="H43" s="15">
        <v>13500</v>
      </c>
      <c r="I43" s="50">
        <v>0</v>
      </c>
      <c r="J43" s="15"/>
      <c r="K43" s="16">
        <f t="shared" si="3"/>
        <v>13500</v>
      </c>
    </row>
    <row r="44" spans="1:11" ht="18" customHeight="1">
      <c r="A44" s="5" t="s">
        <v>91</v>
      </c>
      <c r="B44" s="636" t="s">
        <v>489</v>
      </c>
      <c r="C44" s="637"/>
      <c r="D44" s="638"/>
      <c r="F44" s="54">
        <v>304</v>
      </c>
      <c r="G44" s="54">
        <v>113</v>
      </c>
      <c r="H44" s="54">
        <v>5609</v>
      </c>
      <c r="I44" s="55">
        <v>0</v>
      </c>
      <c r="J44" s="54"/>
      <c r="K44" s="56">
        <f t="shared" si="3"/>
        <v>5609</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20639</v>
      </c>
      <c r="G49" s="23">
        <f t="shared" si="4"/>
        <v>654</v>
      </c>
      <c r="H49" s="16">
        <f t="shared" si="4"/>
        <v>644410</v>
      </c>
      <c r="I49" s="16">
        <f t="shared" si="4"/>
        <v>0</v>
      </c>
      <c r="J49" s="16">
        <f t="shared" si="4"/>
        <v>0</v>
      </c>
      <c r="K49" s="16">
        <f t="shared" si="4"/>
        <v>644410</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490</v>
      </c>
      <c r="C53" s="648"/>
      <c r="D53" s="644"/>
      <c r="F53" s="14">
        <v>4172</v>
      </c>
      <c r="G53" s="14">
        <v>12066</v>
      </c>
      <c r="H53" s="15">
        <v>272897</v>
      </c>
      <c r="I53" s="50">
        <v>0</v>
      </c>
      <c r="J53" s="15"/>
      <c r="K53" s="16">
        <f t="shared" ref="K53:K62" si="5">(H53+I53)-J53</f>
        <v>272897</v>
      </c>
    </row>
    <row r="54" spans="1:11" ht="18" customHeight="1">
      <c r="A54" s="5" t="s">
        <v>93</v>
      </c>
      <c r="B54" s="244" t="s">
        <v>491</v>
      </c>
      <c r="C54" s="245"/>
      <c r="D54" s="246"/>
      <c r="F54" s="14">
        <v>89324</v>
      </c>
      <c r="G54" s="14">
        <v>46348</v>
      </c>
      <c r="H54" s="15">
        <v>7910782</v>
      </c>
      <c r="I54" s="50">
        <v>0</v>
      </c>
      <c r="J54" s="15">
        <v>317000</v>
      </c>
      <c r="K54" s="16">
        <f>(H54+I54)-J54</f>
        <v>7593782</v>
      </c>
    </row>
    <row r="55" spans="1:11" ht="18" customHeight="1">
      <c r="A55" s="5" t="s">
        <v>94</v>
      </c>
      <c r="B55" s="642" t="s">
        <v>492</v>
      </c>
      <c r="C55" s="643"/>
      <c r="D55" s="644"/>
      <c r="F55" s="14"/>
      <c r="G55" s="14"/>
      <c r="H55" s="15">
        <v>185500</v>
      </c>
      <c r="I55" s="50">
        <v>18500</v>
      </c>
      <c r="J55" s="15"/>
      <c r="K55" s="16">
        <f t="shared" si="5"/>
        <v>204000</v>
      </c>
    </row>
    <row r="56" spans="1:11" ht="18" customHeight="1">
      <c r="A56" s="5" t="s">
        <v>95</v>
      </c>
      <c r="B56" s="642"/>
      <c r="C56" s="643"/>
      <c r="D56" s="644"/>
      <c r="F56" s="14"/>
      <c r="G56" s="14"/>
      <c r="H56" s="15"/>
      <c r="I56" s="50">
        <v>0</v>
      </c>
      <c r="J56" s="15"/>
      <c r="K56" s="16">
        <f t="shared" si="5"/>
        <v>0</v>
      </c>
    </row>
    <row r="57" spans="1:11" ht="18" customHeight="1">
      <c r="A57" s="5" t="s">
        <v>96</v>
      </c>
      <c r="B57" s="642"/>
      <c r="C57" s="643"/>
      <c r="D57" s="644"/>
      <c r="F57" s="14"/>
      <c r="G57" s="14"/>
      <c r="H57" s="15"/>
      <c r="I57" s="50">
        <v>0</v>
      </c>
      <c r="J57" s="15"/>
      <c r="K57" s="16">
        <f t="shared" si="5"/>
        <v>0</v>
      </c>
    </row>
    <row r="58" spans="1:11" ht="18" customHeight="1">
      <c r="A58" s="5" t="s">
        <v>97</v>
      </c>
      <c r="B58" s="244"/>
      <c r="C58" s="245"/>
      <c r="D58" s="246"/>
      <c r="F58" s="14"/>
      <c r="G58" s="14"/>
      <c r="H58" s="15"/>
      <c r="I58" s="50">
        <v>0</v>
      </c>
      <c r="J58" s="15"/>
      <c r="K58" s="16">
        <f t="shared" si="5"/>
        <v>0</v>
      </c>
    </row>
    <row r="59" spans="1:11" ht="18" customHeight="1">
      <c r="A59" s="5" t="s">
        <v>98</v>
      </c>
      <c r="B59" s="642"/>
      <c r="C59" s="643"/>
      <c r="D59" s="644"/>
      <c r="F59" s="14"/>
      <c r="G59" s="14"/>
      <c r="H59" s="15"/>
      <c r="I59" s="50">
        <v>0</v>
      </c>
      <c r="J59" s="15"/>
      <c r="K59" s="16">
        <f t="shared" si="5"/>
        <v>0</v>
      </c>
    </row>
    <row r="60" spans="1:11" ht="18" customHeight="1">
      <c r="A60" s="5" t="s">
        <v>99</v>
      </c>
      <c r="B60" s="244"/>
      <c r="C60" s="245"/>
      <c r="D60" s="246"/>
      <c r="F60" s="14"/>
      <c r="G60" s="14"/>
      <c r="H60" s="15"/>
      <c r="I60" s="50">
        <v>0</v>
      </c>
      <c r="J60" s="15"/>
      <c r="K60" s="16">
        <f t="shared" si="5"/>
        <v>0</v>
      </c>
    </row>
    <row r="61" spans="1:11" ht="18" customHeight="1">
      <c r="A61" s="5" t="s">
        <v>100</v>
      </c>
      <c r="B61" s="244"/>
      <c r="C61" s="245"/>
      <c r="D61" s="246"/>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93496</v>
      </c>
      <c r="G64" s="18">
        <f t="shared" si="6"/>
        <v>58414</v>
      </c>
      <c r="H64" s="16">
        <f t="shared" si="6"/>
        <v>8369179</v>
      </c>
      <c r="I64" s="16">
        <f t="shared" si="6"/>
        <v>18500</v>
      </c>
      <c r="J64" s="16">
        <f t="shared" si="6"/>
        <v>317000</v>
      </c>
      <c r="K64" s="16">
        <f t="shared" si="6"/>
        <v>8070679</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244"/>
      <c r="C70" s="245"/>
      <c r="D70" s="246"/>
      <c r="E70" s="2"/>
      <c r="F70" s="35"/>
      <c r="G70" s="35"/>
      <c r="H70" s="36"/>
      <c r="I70" s="50">
        <v>0</v>
      </c>
      <c r="J70" s="36"/>
      <c r="K70" s="16">
        <f>(H70+I70)-J70</f>
        <v>0</v>
      </c>
    </row>
    <row r="71" spans="1:11" ht="18" customHeight="1">
      <c r="A71" s="5" t="s">
        <v>179</v>
      </c>
      <c r="B71" s="244"/>
      <c r="C71" s="245"/>
      <c r="D71" s="246"/>
      <c r="E71" s="2"/>
      <c r="F71" s="35"/>
      <c r="G71" s="35"/>
      <c r="H71" s="36"/>
      <c r="I71" s="50">
        <v>0</v>
      </c>
      <c r="J71" s="36"/>
      <c r="K71" s="16">
        <f>(H71+I71)-J71</f>
        <v>0</v>
      </c>
    </row>
    <row r="72" spans="1:11" ht="18" customHeight="1">
      <c r="A72" s="5" t="s">
        <v>180</v>
      </c>
      <c r="B72" s="32"/>
      <c r="C72" s="33"/>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0</v>
      </c>
      <c r="I74" s="53">
        <f t="shared" si="7"/>
        <v>0</v>
      </c>
      <c r="J74" s="21">
        <f t="shared" si="7"/>
        <v>0</v>
      </c>
      <c r="K74" s="17">
        <f t="shared" si="7"/>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v>162936</v>
      </c>
      <c r="I77" s="50">
        <v>0</v>
      </c>
      <c r="J77" s="15"/>
      <c r="K77" s="16">
        <f>(H77+I77)-J77</f>
        <v>162936</v>
      </c>
    </row>
    <row r="78" spans="1:11" ht="18" customHeight="1">
      <c r="A78" s="5" t="s">
        <v>108</v>
      </c>
      <c r="B78" s="341" t="s">
        <v>55</v>
      </c>
      <c r="F78" s="14"/>
      <c r="G78" s="14"/>
      <c r="H78" s="15"/>
      <c r="I78" s="50">
        <v>0</v>
      </c>
      <c r="J78" s="15"/>
      <c r="K78" s="16">
        <f>(H78+I78)-J78</f>
        <v>0</v>
      </c>
    </row>
    <row r="79" spans="1:11" ht="18" customHeight="1">
      <c r="A79" s="5" t="s">
        <v>109</v>
      </c>
      <c r="B79" s="341" t="s">
        <v>13</v>
      </c>
      <c r="F79" s="14">
        <v>959</v>
      </c>
      <c r="G79" s="14">
        <v>8382</v>
      </c>
      <c r="H79" s="15">
        <v>113233</v>
      </c>
      <c r="I79" s="50">
        <v>0</v>
      </c>
      <c r="J79" s="15"/>
      <c r="K79" s="16">
        <f>(H79+I79)-J79</f>
        <v>113233</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8">SUM(F77:F80)</f>
        <v>959</v>
      </c>
      <c r="G82" s="21">
        <f t="shared" si="8"/>
        <v>8382</v>
      </c>
      <c r="H82" s="17">
        <f t="shared" si="8"/>
        <v>276169</v>
      </c>
      <c r="I82" s="17">
        <f t="shared" si="8"/>
        <v>0</v>
      </c>
      <c r="J82" s="17">
        <f t="shared" si="8"/>
        <v>0</v>
      </c>
      <c r="K82" s="17">
        <f t="shared" si="8"/>
        <v>276169</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14"/>
      <c r="G87" s="14"/>
      <c r="H87" s="15"/>
      <c r="I87" s="50">
        <f t="shared" si="9"/>
        <v>0</v>
      </c>
      <c r="J87" s="15"/>
      <c r="K87" s="16">
        <f t="shared" si="10"/>
        <v>0</v>
      </c>
    </row>
    <row r="88" spans="1:11" ht="18" customHeight="1">
      <c r="A88" s="5" t="s">
        <v>115</v>
      </c>
      <c r="B88" s="341" t="s">
        <v>116</v>
      </c>
      <c r="F88" s="14"/>
      <c r="G88" s="14"/>
      <c r="H88" s="15"/>
      <c r="I88" s="50">
        <f t="shared" si="9"/>
        <v>0</v>
      </c>
      <c r="J88" s="15"/>
      <c r="K88" s="16">
        <f t="shared" si="10"/>
        <v>0</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v>2160</v>
      </c>
      <c r="G91" s="14">
        <v>2416</v>
      </c>
      <c r="H91" s="15">
        <v>256408</v>
      </c>
      <c r="I91" s="50">
        <v>128204</v>
      </c>
      <c r="J91" s="15"/>
      <c r="K91" s="16">
        <f>(H91+I91)-J91</f>
        <v>384612</v>
      </c>
    </row>
    <row r="92" spans="1:11" ht="18" customHeight="1">
      <c r="A92" s="5" t="s">
        <v>120</v>
      </c>
      <c r="B92" s="341" t="s">
        <v>121</v>
      </c>
      <c r="F92" s="38"/>
      <c r="G92" s="38"/>
      <c r="H92" s="39"/>
      <c r="I92" s="50">
        <f t="shared" si="9"/>
        <v>0</v>
      </c>
      <c r="J92" s="39"/>
      <c r="K92" s="16">
        <f t="shared" si="10"/>
        <v>0</v>
      </c>
    </row>
    <row r="93" spans="1:11" ht="18" customHeight="1">
      <c r="A93" s="5" t="s">
        <v>122</v>
      </c>
      <c r="B93" s="341" t="s">
        <v>123</v>
      </c>
      <c r="F93" s="14"/>
      <c r="G93" s="14"/>
      <c r="H93" s="15"/>
      <c r="I93" s="50">
        <f t="shared" si="9"/>
        <v>0</v>
      </c>
      <c r="J93" s="15"/>
      <c r="K93" s="16">
        <f t="shared" si="10"/>
        <v>0</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2160</v>
      </c>
      <c r="G98" s="18">
        <f t="shared" si="11"/>
        <v>2416</v>
      </c>
      <c r="H98" s="18">
        <f t="shared" si="11"/>
        <v>256408</v>
      </c>
      <c r="I98" s="18">
        <f t="shared" si="11"/>
        <v>128204</v>
      </c>
      <c r="J98" s="18">
        <f t="shared" si="11"/>
        <v>0</v>
      </c>
      <c r="K98" s="18">
        <f t="shared" si="11"/>
        <v>384612</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2080</v>
      </c>
      <c r="G102" s="14"/>
      <c r="H102" s="15">
        <v>127920</v>
      </c>
      <c r="I102" s="50">
        <v>63960</v>
      </c>
      <c r="J102" s="15"/>
      <c r="K102" s="16">
        <f>(H102+I102)-J102</f>
        <v>191880</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2080</v>
      </c>
      <c r="G108" s="18">
        <f t="shared" si="12"/>
        <v>0</v>
      </c>
      <c r="H108" s="16">
        <f t="shared" si="12"/>
        <v>127920</v>
      </c>
      <c r="I108" s="16">
        <f t="shared" si="12"/>
        <v>63960</v>
      </c>
      <c r="J108" s="16">
        <f t="shared" si="12"/>
        <v>0</v>
      </c>
      <c r="K108" s="16">
        <f t="shared" si="12"/>
        <v>191880</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3355681</v>
      </c>
    </row>
    <row r="112" spans="1:11" ht="18" customHeight="1">
      <c r="B112" s="2"/>
      <c r="E112" s="2"/>
      <c r="F112" s="22"/>
    </row>
    <row r="113" spans="1:6" ht="18" customHeight="1">
      <c r="A113" s="6"/>
      <c r="B113" s="2" t="s">
        <v>15</v>
      </c>
    </row>
    <row r="114" spans="1:6" ht="18" customHeight="1">
      <c r="A114" s="5" t="s">
        <v>171</v>
      </c>
      <c r="B114" s="341" t="s">
        <v>35</v>
      </c>
      <c r="F114" s="25">
        <v>0.5</v>
      </c>
    </row>
    <row r="115" spans="1:6" ht="18" customHeight="1">
      <c r="A115" s="5"/>
      <c r="B115" s="2"/>
    </row>
    <row r="116" spans="1:6" ht="18" customHeight="1">
      <c r="A116" s="5" t="s">
        <v>170</v>
      </c>
      <c r="B116" s="2" t="s">
        <v>16</v>
      </c>
    </row>
    <row r="117" spans="1:6" ht="18" customHeight="1">
      <c r="A117" s="5" t="s">
        <v>172</v>
      </c>
      <c r="B117" s="341" t="s">
        <v>17</v>
      </c>
      <c r="F117" s="15">
        <v>217438000</v>
      </c>
    </row>
    <row r="118" spans="1:6" ht="18" customHeight="1">
      <c r="A118" s="5" t="s">
        <v>173</v>
      </c>
      <c r="B118" t="s">
        <v>18</v>
      </c>
      <c r="F118" s="15">
        <v>5584000</v>
      </c>
    </row>
    <row r="119" spans="1:6" ht="18" customHeight="1">
      <c r="A119" s="5" t="s">
        <v>174</v>
      </c>
      <c r="B119" s="2" t="s">
        <v>19</v>
      </c>
      <c r="F119" s="17">
        <f>SUM(F117:F118)</f>
        <v>223022000</v>
      </c>
    </row>
    <row r="120" spans="1:6" ht="18" customHeight="1">
      <c r="A120" s="5"/>
      <c r="B120" s="2"/>
    </row>
    <row r="121" spans="1:6" ht="18" customHeight="1">
      <c r="A121" s="5" t="s">
        <v>167</v>
      </c>
      <c r="B121" s="2" t="s">
        <v>36</v>
      </c>
      <c r="F121" s="15">
        <v>209384000</v>
      </c>
    </row>
    <row r="122" spans="1:6" ht="18" customHeight="1">
      <c r="A122" s="5"/>
    </row>
    <row r="123" spans="1:6" ht="18" customHeight="1">
      <c r="A123" s="5" t="s">
        <v>175</v>
      </c>
      <c r="B123" s="2" t="s">
        <v>20</v>
      </c>
      <c r="F123" s="15">
        <v>13638000</v>
      </c>
    </row>
    <row r="124" spans="1:6" ht="18" customHeight="1">
      <c r="A124" s="5"/>
    </row>
    <row r="125" spans="1:6" ht="18" customHeight="1">
      <c r="A125" s="5" t="s">
        <v>176</v>
      </c>
      <c r="B125" s="2" t="s">
        <v>21</v>
      </c>
      <c r="F125" s="15">
        <v>4321000</v>
      </c>
    </row>
    <row r="126" spans="1:6" ht="18" customHeight="1">
      <c r="A126" s="5"/>
    </row>
    <row r="127" spans="1:6" ht="18" customHeight="1">
      <c r="A127" s="5" t="s">
        <v>177</v>
      </c>
      <c r="B127" s="2" t="s">
        <v>22</v>
      </c>
      <c r="F127" s="15">
        <v>17959000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19646.5</v>
      </c>
      <c r="G141" s="41">
        <f t="shared" si="14"/>
        <v>60375</v>
      </c>
      <c r="H141" s="41">
        <f t="shared" si="14"/>
        <v>1459963</v>
      </c>
      <c r="I141" s="41">
        <f t="shared" si="14"/>
        <v>729981.5</v>
      </c>
      <c r="J141" s="41">
        <f t="shared" si="14"/>
        <v>1595</v>
      </c>
      <c r="K141" s="41">
        <f t="shared" si="14"/>
        <v>2188349.5</v>
      </c>
    </row>
    <row r="142" spans="1:11" ht="18" customHeight="1">
      <c r="A142" s="5" t="s">
        <v>142</v>
      </c>
      <c r="B142" s="2" t="s">
        <v>65</v>
      </c>
      <c r="F142" s="41">
        <f t="shared" ref="F142:K142" si="15">F49</f>
        <v>20639</v>
      </c>
      <c r="G142" s="41">
        <f t="shared" si="15"/>
        <v>654</v>
      </c>
      <c r="H142" s="41">
        <f t="shared" si="15"/>
        <v>644410</v>
      </c>
      <c r="I142" s="41">
        <f t="shared" si="15"/>
        <v>0</v>
      </c>
      <c r="J142" s="41">
        <f t="shared" si="15"/>
        <v>0</v>
      </c>
      <c r="K142" s="41">
        <f t="shared" si="15"/>
        <v>644410</v>
      </c>
    </row>
    <row r="143" spans="1:11" ht="18" customHeight="1">
      <c r="A143" s="5" t="s">
        <v>144</v>
      </c>
      <c r="B143" s="2" t="s">
        <v>66</v>
      </c>
      <c r="F143" s="41">
        <f t="shared" ref="F143:K143" si="16">F64</f>
        <v>93496</v>
      </c>
      <c r="G143" s="41">
        <f t="shared" si="16"/>
        <v>58414</v>
      </c>
      <c r="H143" s="41">
        <f t="shared" si="16"/>
        <v>8369179</v>
      </c>
      <c r="I143" s="41">
        <f t="shared" si="16"/>
        <v>18500</v>
      </c>
      <c r="J143" s="41">
        <f t="shared" si="16"/>
        <v>317000</v>
      </c>
      <c r="K143" s="41">
        <f t="shared" si="16"/>
        <v>8070679</v>
      </c>
    </row>
    <row r="144" spans="1:11" ht="18" customHeight="1">
      <c r="A144" s="5" t="s">
        <v>146</v>
      </c>
      <c r="B144" s="2" t="s">
        <v>67</v>
      </c>
      <c r="F144" s="41">
        <f t="shared" ref="F144:K144" si="17">F74</f>
        <v>0</v>
      </c>
      <c r="G144" s="41">
        <f t="shared" si="17"/>
        <v>0</v>
      </c>
      <c r="H144" s="41">
        <f t="shared" si="17"/>
        <v>0</v>
      </c>
      <c r="I144" s="41">
        <f t="shared" si="17"/>
        <v>0</v>
      </c>
      <c r="J144" s="41">
        <f t="shared" si="17"/>
        <v>0</v>
      </c>
      <c r="K144" s="41">
        <f t="shared" si="17"/>
        <v>0</v>
      </c>
    </row>
    <row r="145" spans="1:11" ht="18" customHeight="1">
      <c r="A145" s="5" t="s">
        <v>148</v>
      </c>
      <c r="B145" s="2" t="s">
        <v>68</v>
      </c>
      <c r="F145" s="41">
        <f t="shared" ref="F145:K145" si="18">F82</f>
        <v>959</v>
      </c>
      <c r="G145" s="41">
        <f t="shared" si="18"/>
        <v>8382</v>
      </c>
      <c r="H145" s="41">
        <f t="shared" si="18"/>
        <v>276169</v>
      </c>
      <c r="I145" s="41">
        <f t="shared" si="18"/>
        <v>0</v>
      </c>
      <c r="J145" s="41">
        <f t="shared" si="18"/>
        <v>0</v>
      </c>
      <c r="K145" s="41">
        <f t="shared" si="18"/>
        <v>276169</v>
      </c>
    </row>
    <row r="146" spans="1:11" ht="18" customHeight="1">
      <c r="A146" s="5" t="s">
        <v>150</v>
      </c>
      <c r="B146" s="2" t="s">
        <v>69</v>
      </c>
      <c r="F146" s="41">
        <f t="shared" ref="F146:K146" si="19">F98</f>
        <v>2160</v>
      </c>
      <c r="G146" s="41">
        <f t="shared" si="19"/>
        <v>2416</v>
      </c>
      <c r="H146" s="41">
        <f t="shared" si="19"/>
        <v>256408</v>
      </c>
      <c r="I146" s="41">
        <f t="shared" si="19"/>
        <v>128204</v>
      </c>
      <c r="J146" s="41">
        <f t="shared" si="19"/>
        <v>0</v>
      </c>
      <c r="K146" s="41">
        <f t="shared" si="19"/>
        <v>384612</v>
      </c>
    </row>
    <row r="147" spans="1:11" ht="18" customHeight="1">
      <c r="A147" s="5" t="s">
        <v>153</v>
      </c>
      <c r="B147" s="2" t="s">
        <v>61</v>
      </c>
      <c r="F147" s="18">
        <f t="shared" ref="F147:K147" si="20">F108</f>
        <v>2080</v>
      </c>
      <c r="G147" s="18">
        <f t="shared" si="20"/>
        <v>0</v>
      </c>
      <c r="H147" s="18">
        <f t="shared" si="20"/>
        <v>127920</v>
      </c>
      <c r="I147" s="18">
        <f t="shared" si="20"/>
        <v>63960</v>
      </c>
      <c r="J147" s="18">
        <f t="shared" si="20"/>
        <v>0</v>
      </c>
      <c r="K147" s="18">
        <f t="shared" si="20"/>
        <v>191880</v>
      </c>
    </row>
    <row r="148" spans="1:11" ht="18" customHeight="1">
      <c r="A148" s="5" t="s">
        <v>155</v>
      </c>
      <c r="B148" s="2" t="s">
        <v>70</v>
      </c>
      <c r="F148" s="42" t="s">
        <v>73</v>
      </c>
      <c r="G148" s="42" t="s">
        <v>73</v>
      </c>
      <c r="H148" s="43" t="s">
        <v>73</v>
      </c>
      <c r="I148" s="43" t="s">
        <v>73</v>
      </c>
      <c r="J148" s="43" t="s">
        <v>73</v>
      </c>
      <c r="K148" s="37">
        <f>F111</f>
        <v>3355681</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6413735</v>
      </c>
      <c r="I150" s="18">
        <f>I18</f>
        <v>0</v>
      </c>
      <c r="J150" s="18">
        <f>J18</f>
        <v>5484546</v>
      </c>
      <c r="K150" s="18">
        <f>K18</f>
        <v>929189</v>
      </c>
    </row>
    <row r="151" spans="1:11" ht="18" customHeight="1">
      <c r="B151" s="2"/>
      <c r="F151" s="48"/>
      <c r="G151" s="48"/>
      <c r="H151" s="48"/>
      <c r="I151" s="48"/>
      <c r="J151" s="48"/>
      <c r="K151" s="48"/>
    </row>
    <row r="152" spans="1:11" ht="18" customHeight="1">
      <c r="A152" s="6" t="s">
        <v>165</v>
      </c>
      <c r="B152" s="2" t="s">
        <v>26</v>
      </c>
      <c r="F152" s="49">
        <f t="shared" ref="F152:K152" si="22">SUM(F141:F150)</f>
        <v>138980.5</v>
      </c>
      <c r="G152" s="49">
        <f t="shared" si="22"/>
        <v>130241</v>
      </c>
      <c r="H152" s="49">
        <f t="shared" si="22"/>
        <v>17547784</v>
      </c>
      <c r="I152" s="49">
        <f t="shared" si="22"/>
        <v>940645.5</v>
      </c>
      <c r="J152" s="49">
        <f t="shared" si="22"/>
        <v>5803141</v>
      </c>
      <c r="K152" s="49">
        <f t="shared" si="22"/>
        <v>16040969.5</v>
      </c>
    </row>
    <row r="154" spans="1:11" ht="18" customHeight="1">
      <c r="A154" s="6" t="s">
        <v>168</v>
      </c>
      <c r="B154" s="2" t="s">
        <v>28</v>
      </c>
      <c r="F154" s="348">
        <f>K152/F121</f>
        <v>7.6610292572498379E-2</v>
      </c>
    </row>
    <row r="155" spans="1:11" ht="18" customHeight="1">
      <c r="A155" s="6" t="s">
        <v>169</v>
      </c>
      <c r="B155" s="2" t="s">
        <v>72</v>
      </c>
      <c r="F155" s="348">
        <f>K152/F127</f>
        <v>0.89319948215379474</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topLeftCell="A118" workbookViewId="0">
      <selection activeCell="C151" sqref="C151"/>
    </sheetView>
  </sheetViews>
  <sheetFormatPr defaultRowHeight="15"/>
  <cols>
    <col min="1" max="1" width="7.5703125" style="411" bestFit="1" customWidth="1"/>
    <col min="2" max="2" width="55.5703125" style="411" bestFit="1" customWidth="1"/>
    <col min="3" max="5" width="9.140625" style="411"/>
    <col min="6" max="7" width="17.5703125" style="411" bestFit="1" customWidth="1"/>
    <col min="8" max="8" width="15" style="411" bestFit="1" customWidth="1"/>
    <col min="9" max="9" width="16.7109375" style="411" bestFit="1" customWidth="1"/>
    <col min="10" max="10" width="23.42578125" style="411" bestFit="1" customWidth="1"/>
    <col min="11" max="11" width="24.7109375" style="411" bestFit="1" customWidth="1"/>
    <col min="12" max="16384" width="9.140625" style="411"/>
  </cols>
  <sheetData>
    <row r="1" spans="1:11">
      <c r="A1" s="410"/>
    </row>
    <row r="2" spans="1:11" ht="15.75">
      <c r="D2" s="733" t="s">
        <v>371</v>
      </c>
      <c r="E2" s="733"/>
      <c r="F2" s="733"/>
      <c r="G2" s="733"/>
      <c r="H2" s="733"/>
    </row>
    <row r="3" spans="1:11">
      <c r="B3" s="412" t="s">
        <v>0</v>
      </c>
    </row>
    <row r="5" spans="1:11">
      <c r="B5" s="413" t="s">
        <v>40</v>
      </c>
      <c r="C5" s="732" t="s">
        <v>644</v>
      </c>
      <c r="D5" s="732"/>
      <c r="E5" s="732"/>
      <c r="F5" s="732"/>
      <c r="G5" s="732"/>
    </row>
    <row r="6" spans="1:11">
      <c r="B6" s="413" t="s">
        <v>3</v>
      </c>
      <c r="C6" s="732">
        <v>34</v>
      </c>
      <c r="D6" s="732"/>
      <c r="E6" s="732"/>
      <c r="F6" s="732"/>
      <c r="G6" s="732"/>
    </row>
    <row r="7" spans="1:11">
      <c r="B7" s="413" t="s">
        <v>4</v>
      </c>
      <c r="C7" s="732">
        <v>1241</v>
      </c>
      <c r="D7" s="732"/>
      <c r="E7" s="732"/>
      <c r="F7" s="732"/>
      <c r="G7" s="732"/>
    </row>
    <row r="8" spans="1:11">
      <c r="B8" s="413"/>
    </row>
    <row r="9" spans="1:11">
      <c r="B9" s="413" t="s">
        <v>1</v>
      </c>
      <c r="C9" s="732" t="s">
        <v>645</v>
      </c>
      <c r="D9" s="732"/>
      <c r="E9" s="732"/>
      <c r="F9" s="732"/>
      <c r="G9" s="732"/>
    </row>
    <row r="10" spans="1:11">
      <c r="B10" s="413" t="s">
        <v>2</v>
      </c>
      <c r="C10" s="732" t="s">
        <v>623</v>
      </c>
      <c r="D10" s="732"/>
      <c r="E10" s="732"/>
      <c r="F10" s="732"/>
      <c r="G10" s="732"/>
    </row>
    <row r="11" spans="1:11">
      <c r="B11" s="413" t="s">
        <v>32</v>
      </c>
      <c r="C11" s="732" t="s">
        <v>633</v>
      </c>
      <c r="D11" s="732"/>
      <c r="E11" s="732"/>
      <c r="F11" s="732"/>
      <c r="G11" s="732"/>
    </row>
    <row r="16" spans="1:11">
      <c r="B16" s="412" t="s">
        <v>181</v>
      </c>
      <c r="F16" s="414" t="s">
        <v>9</v>
      </c>
      <c r="G16" s="414" t="s">
        <v>37</v>
      </c>
      <c r="H16" s="414" t="s">
        <v>29</v>
      </c>
      <c r="I16" s="414" t="s">
        <v>30</v>
      </c>
      <c r="J16" s="414" t="s">
        <v>33</v>
      </c>
      <c r="K16" s="414" t="s">
        <v>34</v>
      </c>
    </row>
    <row r="17" spans="1:11">
      <c r="A17" s="415" t="s">
        <v>184</v>
      </c>
      <c r="B17" s="414" t="s">
        <v>182</v>
      </c>
    </row>
    <row r="18" spans="1:11">
      <c r="A18" s="413" t="s">
        <v>408</v>
      </c>
      <c r="B18" s="413" t="s">
        <v>183</v>
      </c>
      <c r="F18" s="416" t="s">
        <v>73</v>
      </c>
      <c r="G18" s="416" t="s">
        <v>73</v>
      </c>
      <c r="H18" s="417">
        <v>5232286</v>
      </c>
      <c r="I18" s="417">
        <v>0</v>
      </c>
      <c r="J18" s="417">
        <v>4474258</v>
      </c>
      <c r="K18" s="417">
        <v>758028</v>
      </c>
    </row>
    <row r="19" spans="1:11">
      <c r="B19" s="412" t="s">
        <v>8</v>
      </c>
      <c r="F19" s="414" t="s">
        <v>9</v>
      </c>
      <c r="G19" s="414" t="s">
        <v>37</v>
      </c>
      <c r="H19" s="414" t="s">
        <v>29</v>
      </c>
      <c r="I19" s="414" t="s">
        <v>30</v>
      </c>
      <c r="J19" s="414" t="s">
        <v>33</v>
      </c>
      <c r="K19" s="414" t="s">
        <v>34</v>
      </c>
    </row>
    <row r="20" spans="1:11">
      <c r="A20" s="415" t="s">
        <v>409</v>
      </c>
      <c r="B20" s="414" t="s">
        <v>41</v>
      </c>
    </row>
    <row r="21" spans="1:11">
      <c r="A21" s="413" t="s">
        <v>410</v>
      </c>
      <c r="B21" s="413" t="s">
        <v>42</v>
      </c>
      <c r="F21" s="416">
        <v>2227.5</v>
      </c>
      <c r="G21" s="416">
        <v>6374</v>
      </c>
      <c r="H21" s="417">
        <v>144046</v>
      </c>
      <c r="I21" s="417">
        <v>106087</v>
      </c>
      <c r="J21" s="417">
        <v>86032</v>
      </c>
      <c r="K21" s="417">
        <v>164101</v>
      </c>
    </row>
    <row r="22" spans="1:11">
      <c r="A22" s="413" t="s">
        <v>411</v>
      </c>
      <c r="B22" s="413" t="s">
        <v>6</v>
      </c>
      <c r="F22" s="416">
        <v>0</v>
      </c>
      <c r="G22" s="416">
        <v>0</v>
      </c>
      <c r="H22" s="417">
        <v>0</v>
      </c>
      <c r="I22" s="417">
        <v>0</v>
      </c>
      <c r="J22" s="417">
        <v>0</v>
      </c>
      <c r="K22" s="417">
        <v>0</v>
      </c>
    </row>
    <row r="23" spans="1:11">
      <c r="A23" s="413" t="s">
        <v>412</v>
      </c>
      <c r="B23" s="413" t="s">
        <v>43</v>
      </c>
      <c r="F23" s="416">
        <v>0</v>
      </c>
      <c r="G23" s="416">
        <v>0</v>
      </c>
      <c r="H23" s="417">
        <v>0</v>
      </c>
      <c r="I23" s="417">
        <v>0</v>
      </c>
      <c r="J23" s="417">
        <v>0</v>
      </c>
      <c r="K23" s="417">
        <v>0</v>
      </c>
    </row>
    <row r="24" spans="1:11">
      <c r="A24" s="413" t="s">
        <v>413</v>
      </c>
      <c r="B24" s="413" t="s">
        <v>44</v>
      </c>
      <c r="F24" s="416">
        <v>7478</v>
      </c>
      <c r="G24" s="416">
        <v>645</v>
      </c>
      <c r="H24" s="417">
        <v>665016</v>
      </c>
      <c r="I24" s="417">
        <v>503034</v>
      </c>
      <c r="J24" s="417">
        <v>609329</v>
      </c>
      <c r="K24" s="417">
        <v>558721</v>
      </c>
    </row>
    <row r="25" spans="1:11">
      <c r="A25" s="413" t="s">
        <v>414</v>
      </c>
      <c r="B25" s="413" t="s">
        <v>5</v>
      </c>
      <c r="F25" s="416">
        <v>0</v>
      </c>
      <c r="G25" s="416">
        <v>0</v>
      </c>
      <c r="H25" s="417">
        <v>0</v>
      </c>
      <c r="I25" s="417">
        <v>0</v>
      </c>
      <c r="J25" s="417">
        <v>0</v>
      </c>
      <c r="K25" s="417">
        <v>0</v>
      </c>
    </row>
    <row r="26" spans="1:11">
      <c r="A26" s="413" t="s">
        <v>415</v>
      </c>
      <c r="B26" s="413" t="s">
        <v>45</v>
      </c>
      <c r="F26" s="416">
        <v>152</v>
      </c>
      <c r="G26" s="416">
        <v>570</v>
      </c>
      <c r="H26" s="417">
        <v>12038</v>
      </c>
      <c r="I26" s="417">
        <v>0</v>
      </c>
      <c r="J26" s="417">
        <v>0</v>
      </c>
      <c r="K26" s="417">
        <v>12038</v>
      </c>
    </row>
    <row r="27" spans="1:11">
      <c r="A27" s="413" t="s">
        <v>416</v>
      </c>
      <c r="B27" s="413" t="s">
        <v>46</v>
      </c>
      <c r="F27" s="416">
        <v>0</v>
      </c>
      <c r="G27" s="416">
        <v>0</v>
      </c>
      <c r="H27" s="417">
        <v>0</v>
      </c>
      <c r="I27" s="417">
        <v>0</v>
      </c>
      <c r="J27" s="417">
        <v>0</v>
      </c>
      <c r="K27" s="417">
        <v>0</v>
      </c>
    </row>
    <row r="28" spans="1:11">
      <c r="A28" s="413" t="s">
        <v>417</v>
      </c>
      <c r="B28" s="413" t="s">
        <v>47</v>
      </c>
      <c r="F28" s="416">
        <v>0</v>
      </c>
      <c r="G28" s="416">
        <v>0</v>
      </c>
      <c r="H28" s="417">
        <v>0</v>
      </c>
      <c r="I28" s="417">
        <v>0</v>
      </c>
      <c r="J28" s="417">
        <v>0</v>
      </c>
      <c r="K28" s="417">
        <v>0</v>
      </c>
    </row>
    <row r="29" spans="1:11">
      <c r="A29" s="413" t="s">
        <v>75</v>
      </c>
      <c r="B29" s="413" t="s">
        <v>48</v>
      </c>
      <c r="F29" s="416">
        <v>58</v>
      </c>
      <c r="G29" s="416">
        <v>0</v>
      </c>
      <c r="H29" s="417">
        <v>120146</v>
      </c>
      <c r="I29" s="417">
        <v>43323</v>
      </c>
      <c r="J29" s="417">
        <v>705</v>
      </c>
      <c r="K29" s="417">
        <v>162764</v>
      </c>
    </row>
    <row r="30" spans="1:11">
      <c r="A30" s="413" t="s">
        <v>76</v>
      </c>
      <c r="B30" s="413" t="s">
        <v>367</v>
      </c>
      <c r="F30" s="416">
        <v>0</v>
      </c>
      <c r="G30" s="416">
        <v>0</v>
      </c>
      <c r="H30" s="417">
        <v>12592</v>
      </c>
      <c r="I30" s="417">
        <v>9633</v>
      </c>
      <c r="J30" s="417">
        <v>0</v>
      </c>
      <c r="K30" s="417">
        <v>22225</v>
      </c>
    </row>
    <row r="31" spans="1:11">
      <c r="A31" s="413"/>
      <c r="B31" s="413"/>
      <c r="F31" s="416"/>
      <c r="G31" s="416"/>
      <c r="H31" s="417"/>
      <c r="I31" s="417"/>
      <c r="J31" s="417"/>
      <c r="K31" s="417"/>
    </row>
    <row r="32" spans="1:11">
      <c r="A32" s="413"/>
      <c r="B32" s="413"/>
      <c r="F32" s="416"/>
      <c r="G32" s="416"/>
      <c r="H32" s="417"/>
      <c r="I32" s="417"/>
      <c r="J32" s="417"/>
      <c r="K32" s="417"/>
    </row>
    <row r="33" spans="1:11">
      <c r="A33" s="413"/>
      <c r="B33" s="413"/>
      <c r="F33" s="416"/>
      <c r="G33" s="416"/>
      <c r="H33" s="417"/>
      <c r="I33" s="417"/>
      <c r="J33" s="417"/>
      <c r="K33" s="417"/>
    </row>
    <row r="34" spans="1:11">
      <c r="A34" s="413"/>
      <c r="B34" s="413"/>
      <c r="F34" s="416"/>
      <c r="G34" s="416"/>
      <c r="H34" s="417"/>
      <c r="I34" s="417"/>
      <c r="J34" s="417"/>
      <c r="K34" s="417"/>
    </row>
    <row r="35" spans="1:11">
      <c r="A35" s="413"/>
      <c r="B35" s="413"/>
      <c r="F35" s="416"/>
      <c r="G35" s="416"/>
      <c r="H35" s="417"/>
      <c r="I35" s="417"/>
      <c r="J35" s="417"/>
      <c r="K35" s="417"/>
    </row>
    <row r="36" spans="1:11">
      <c r="A36" s="415" t="s">
        <v>420</v>
      </c>
      <c r="B36" s="413" t="s">
        <v>138</v>
      </c>
      <c r="F36" s="416">
        <v>9915.5</v>
      </c>
      <c r="G36" s="416">
        <v>7589</v>
      </c>
      <c r="H36" s="417">
        <v>953838</v>
      </c>
      <c r="I36" s="417">
        <v>662077</v>
      </c>
      <c r="J36" s="417">
        <v>696066</v>
      </c>
      <c r="K36" s="417">
        <v>919849</v>
      </c>
    </row>
    <row r="39" spans="1:11">
      <c r="A39" s="415" t="s">
        <v>86</v>
      </c>
      <c r="B39" s="414" t="s">
        <v>49</v>
      </c>
    </row>
    <row r="40" spans="1:11">
      <c r="A40" s="413" t="s">
        <v>421</v>
      </c>
      <c r="B40" s="413" t="s">
        <v>31</v>
      </c>
      <c r="F40" s="416">
        <v>106649</v>
      </c>
      <c r="G40" s="416">
        <v>0</v>
      </c>
      <c r="H40" s="417">
        <v>4540515</v>
      </c>
      <c r="I40" s="417">
        <v>3473494</v>
      </c>
      <c r="J40" s="417">
        <v>0</v>
      </c>
      <c r="K40" s="417">
        <v>8014009</v>
      </c>
    </row>
    <row r="41" spans="1:11">
      <c r="A41" s="413" t="s">
        <v>422</v>
      </c>
      <c r="B41" s="413" t="s">
        <v>50</v>
      </c>
      <c r="F41" s="416">
        <v>873</v>
      </c>
      <c r="G41" s="416">
        <v>0</v>
      </c>
      <c r="H41" s="417">
        <v>48976</v>
      </c>
      <c r="I41" s="417">
        <v>37467</v>
      </c>
      <c r="J41" s="417">
        <v>0</v>
      </c>
      <c r="K41" s="417">
        <v>86443</v>
      </c>
    </row>
    <row r="42" spans="1:11">
      <c r="A42" s="413" t="s">
        <v>423</v>
      </c>
      <c r="B42" s="413" t="s">
        <v>11</v>
      </c>
      <c r="F42" s="416">
        <v>491</v>
      </c>
      <c r="G42" s="416">
        <v>0</v>
      </c>
      <c r="H42" s="417">
        <v>22465</v>
      </c>
      <c r="I42" s="417">
        <v>17185</v>
      </c>
      <c r="J42" s="417">
        <v>400</v>
      </c>
      <c r="K42" s="417">
        <v>39250</v>
      </c>
    </row>
    <row r="43" spans="1:11">
      <c r="A43" s="413" t="s">
        <v>424</v>
      </c>
      <c r="B43" s="413" t="s">
        <v>10</v>
      </c>
      <c r="F43" s="416">
        <v>0</v>
      </c>
      <c r="G43" s="416">
        <v>0</v>
      </c>
      <c r="H43" s="417">
        <v>0</v>
      </c>
      <c r="I43" s="417">
        <v>0</v>
      </c>
      <c r="J43" s="417">
        <v>0</v>
      </c>
      <c r="K43" s="417">
        <v>0</v>
      </c>
    </row>
    <row r="44" spans="1:11">
      <c r="A44" s="413" t="s">
        <v>646</v>
      </c>
      <c r="B44" s="413" t="s">
        <v>367</v>
      </c>
      <c r="F44" s="416">
        <v>180</v>
      </c>
      <c r="G44" s="416">
        <v>780</v>
      </c>
      <c r="H44" s="417">
        <v>11808</v>
      </c>
      <c r="I44" s="417">
        <v>9034</v>
      </c>
      <c r="J44" s="417">
        <v>2170</v>
      </c>
      <c r="K44" s="417">
        <v>18672</v>
      </c>
    </row>
    <row r="45" spans="1:11">
      <c r="A45" s="413"/>
      <c r="B45" s="413"/>
      <c r="F45" s="416"/>
      <c r="G45" s="416"/>
      <c r="H45" s="417"/>
      <c r="I45" s="417"/>
      <c r="J45" s="417"/>
      <c r="K45" s="417"/>
    </row>
    <row r="46" spans="1:11">
      <c r="A46" s="413"/>
      <c r="B46" s="413"/>
      <c r="F46" s="416"/>
      <c r="G46" s="416"/>
      <c r="H46" s="417"/>
      <c r="I46" s="417"/>
      <c r="J46" s="417"/>
      <c r="K46" s="417"/>
    </row>
    <row r="47" spans="1:11">
      <c r="A47" s="413"/>
      <c r="B47" s="413"/>
      <c r="F47" s="416"/>
      <c r="G47" s="416"/>
      <c r="H47" s="417"/>
      <c r="I47" s="417"/>
      <c r="J47" s="417"/>
      <c r="K47" s="417"/>
    </row>
    <row r="48" spans="1:11">
      <c r="A48" s="413"/>
      <c r="B48" s="413"/>
      <c r="F48" s="416"/>
      <c r="G48" s="416"/>
      <c r="H48" s="417"/>
      <c r="I48" s="417"/>
      <c r="J48" s="417"/>
      <c r="K48" s="417"/>
    </row>
    <row r="49" spans="1:11">
      <c r="A49" s="415" t="s">
        <v>425</v>
      </c>
      <c r="B49" s="413" t="s">
        <v>143</v>
      </c>
      <c r="F49" s="416">
        <v>108193</v>
      </c>
      <c r="G49" s="416">
        <v>780</v>
      </c>
      <c r="H49" s="417">
        <v>4623764</v>
      </c>
      <c r="I49" s="417">
        <v>3537180</v>
      </c>
      <c r="J49" s="417">
        <v>2570</v>
      </c>
      <c r="K49" s="417">
        <v>8158374</v>
      </c>
    </row>
    <row r="52" spans="1:11">
      <c r="A52" s="415" t="s">
        <v>92</v>
      </c>
      <c r="B52" s="414" t="s">
        <v>38</v>
      </c>
    </row>
    <row r="53" spans="1:11">
      <c r="A53" s="413" t="s">
        <v>426</v>
      </c>
      <c r="B53" s="413" t="s">
        <v>647</v>
      </c>
      <c r="F53" s="416">
        <v>0</v>
      </c>
      <c r="G53" s="416">
        <v>0</v>
      </c>
      <c r="H53" s="417">
        <v>419582</v>
      </c>
      <c r="I53" s="417">
        <v>0</v>
      </c>
      <c r="J53" s="417">
        <v>0</v>
      </c>
      <c r="K53" s="417">
        <v>419582</v>
      </c>
    </row>
    <row r="54" spans="1:11">
      <c r="A54" s="413" t="s">
        <v>635</v>
      </c>
      <c r="B54" s="413"/>
      <c r="F54" s="416">
        <v>0</v>
      </c>
      <c r="G54" s="416">
        <v>0</v>
      </c>
      <c r="H54" s="417">
        <v>0</v>
      </c>
      <c r="I54" s="417">
        <v>0</v>
      </c>
      <c r="J54" s="417">
        <v>0</v>
      </c>
      <c r="K54" s="417">
        <v>0</v>
      </c>
    </row>
    <row r="55" spans="1:11">
      <c r="A55" s="413" t="s">
        <v>636</v>
      </c>
      <c r="B55" s="413"/>
      <c r="F55" s="416">
        <v>0</v>
      </c>
      <c r="G55" s="416">
        <v>0</v>
      </c>
      <c r="H55" s="417">
        <v>0</v>
      </c>
      <c r="I55" s="417">
        <v>0</v>
      </c>
      <c r="J55" s="417">
        <v>0</v>
      </c>
      <c r="K55" s="417">
        <v>0</v>
      </c>
    </row>
    <row r="56" spans="1:11">
      <c r="A56" s="413" t="s">
        <v>638</v>
      </c>
      <c r="B56" s="413"/>
      <c r="F56" s="416">
        <v>0</v>
      </c>
      <c r="G56" s="416">
        <v>0</v>
      </c>
      <c r="H56" s="417">
        <v>0</v>
      </c>
      <c r="I56" s="417">
        <v>0</v>
      </c>
      <c r="J56" s="417">
        <v>0</v>
      </c>
      <c r="K56" s="417">
        <v>0</v>
      </c>
    </row>
    <row r="57" spans="1:11">
      <c r="A57" s="413" t="s">
        <v>640</v>
      </c>
      <c r="B57" s="413" t="s">
        <v>628</v>
      </c>
      <c r="F57" s="416">
        <v>77709</v>
      </c>
      <c r="G57" s="416">
        <v>0</v>
      </c>
      <c r="H57" s="417">
        <v>8767298</v>
      </c>
      <c r="I57" s="417">
        <v>0</v>
      </c>
      <c r="J57" s="417">
        <v>5685438</v>
      </c>
      <c r="K57" s="417">
        <v>3081860</v>
      </c>
    </row>
    <row r="58" spans="1:11">
      <c r="A58" s="413" t="s">
        <v>648</v>
      </c>
      <c r="B58" s="413"/>
      <c r="F58" s="416">
        <v>0</v>
      </c>
      <c r="G58" s="416">
        <v>0</v>
      </c>
      <c r="H58" s="417">
        <v>0</v>
      </c>
      <c r="I58" s="417">
        <v>0</v>
      </c>
      <c r="J58" s="417">
        <v>0</v>
      </c>
      <c r="K58" s="417">
        <v>0</v>
      </c>
    </row>
    <row r="59" spans="1:11">
      <c r="A59" s="413" t="s">
        <v>649</v>
      </c>
      <c r="B59" s="413"/>
      <c r="F59" s="416">
        <v>0</v>
      </c>
      <c r="G59" s="416">
        <v>0</v>
      </c>
      <c r="H59" s="417">
        <v>0</v>
      </c>
      <c r="I59" s="417">
        <v>0</v>
      </c>
      <c r="J59" s="417">
        <v>0</v>
      </c>
      <c r="K59" s="417">
        <v>0</v>
      </c>
    </row>
    <row r="60" spans="1:11">
      <c r="A60" s="413" t="s">
        <v>650</v>
      </c>
      <c r="B60" s="413" t="s">
        <v>651</v>
      </c>
      <c r="F60" s="416">
        <v>0</v>
      </c>
      <c r="G60" s="416">
        <v>0</v>
      </c>
      <c r="H60" s="417">
        <v>114570</v>
      </c>
      <c r="I60" s="417">
        <v>0</v>
      </c>
      <c r="J60" s="417">
        <v>0</v>
      </c>
      <c r="K60" s="417">
        <v>114570</v>
      </c>
    </row>
    <row r="61" spans="1:11">
      <c r="A61" s="413" t="s">
        <v>652</v>
      </c>
      <c r="B61" s="413"/>
      <c r="F61" s="416">
        <v>0</v>
      </c>
      <c r="G61" s="416">
        <v>0</v>
      </c>
      <c r="H61" s="417">
        <v>0</v>
      </c>
      <c r="I61" s="417">
        <v>0</v>
      </c>
      <c r="J61" s="417">
        <v>0</v>
      </c>
      <c r="K61" s="417">
        <v>0</v>
      </c>
    </row>
    <row r="62" spans="1:11">
      <c r="A62" s="413" t="s">
        <v>51</v>
      </c>
      <c r="B62" s="413" t="s">
        <v>367</v>
      </c>
      <c r="F62" s="416">
        <v>54080</v>
      </c>
      <c r="G62" s="416">
        <v>24089</v>
      </c>
      <c r="H62" s="417">
        <v>3390882</v>
      </c>
      <c r="I62" s="417">
        <v>0</v>
      </c>
      <c r="J62" s="417">
        <v>2749558</v>
      </c>
      <c r="K62" s="417">
        <v>641324</v>
      </c>
    </row>
    <row r="63" spans="1:11">
      <c r="A63" s="413"/>
      <c r="B63" s="413"/>
      <c r="F63" s="416"/>
      <c r="G63" s="416"/>
      <c r="H63" s="417"/>
      <c r="I63" s="417"/>
      <c r="J63" s="417"/>
      <c r="K63" s="417"/>
    </row>
    <row r="64" spans="1:11">
      <c r="A64" s="415" t="s">
        <v>428</v>
      </c>
      <c r="B64" s="413" t="s">
        <v>145</v>
      </c>
      <c r="F64" s="416">
        <v>131789</v>
      </c>
      <c r="G64" s="416">
        <v>24089</v>
      </c>
      <c r="H64" s="417">
        <v>12692332</v>
      </c>
      <c r="I64" s="417">
        <v>0</v>
      </c>
      <c r="J64" s="417">
        <v>8434996</v>
      </c>
      <c r="K64" s="417">
        <v>4257336</v>
      </c>
    </row>
    <row r="65" spans="1:11" ht="15.75" customHeight="1"/>
    <row r="66" spans="1:11" ht="15.75" customHeight="1"/>
    <row r="67" spans="1:11">
      <c r="A67" s="415" t="s">
        <v>102</v>
      </c>
      <c r="B67" s="414" t="s">
        <v>12</v>
      </c>
    </row>
    <row r="68" spans="1:11">
      <c r="A68" s="413" t="s">
        <v>429</v>
      </c>
      <c r="B68" s="413" t="s">
        <v>52</v>
      </c>
      <c r="F68" s="416">
        <v>0</v>
      </c>
      <c r="G68" s="416">
        <v>0</v>
      </c>
      <c r="H68" s="417">
        <v>0</v>
      </c>
      <c r="I68" s="417">
        <v>0</v>
      </c>
      <c r="J68" s="417">
        <v>0</v>
      </c>
      <c r="K68" s="417">
        <v>0</v>
      </c>
    </row>
    <row r="69" spans="1:11">
      <c r="A69" s="413" t="s">
        <v>430</v>
      </c>
      <c r="B69" s="413" t="s">
        <v>53</v>
      </c>
      <c r="F69" s="416">
        <v>0</v>
      </c>
      <c r="G69" s="416">
        <v>0</v>
      </c>
      <c r="H69" s="417">
        <v>0</v>
      </c>
      <c r="I69" s="417">
        <v>0</v>
      </c>
      <c r="J69" s="417">
        <v>0</v>
      </c>
      <c r="K69" s="417">
        <v>0</v>
      </c>
    </row>
    <row r="70" spans="1:11">
      <c r="A70" s="413" t="s">
        <v>653</v>
      </c>
      <c r="B70" s="413" t="s">
        <v>629</v>
      </c>
      <c r="F70" s="416">
        <v>2800</v>
      </c>
      <c r="G70" s="416">
        <v>0</v>
      </c>
      <c r="H70" s="417">
        <v>95343</v>
      </c>
      <c r="I70" s="417">
        <v>72937</v>
      </c>
      <c r="J70" s="417">
        <v>0</v>
      </c>
      <c r="K70" s="417">
        <v>168280</v>
      </c>
    </row>
    <row r="71" spans="1:11">
      <c r="A71" s="413"/>
      <c r="B71" s="413"/>
      <c r="F71" s="416"/>
      <c r="G71" s="416"/>
      <c r="H71" s="417"/>
      <c r="I71" s="417"/>
      <c r="J71" s="417"/>
      <c r="K71" s="417"/>
    </row>
    <row r="72" spans="1:11">
      <c r="A72" s="413"/>
      <c r="B72" s="413"/>
      <c r="F72" s="416"/>
      <c r="G72" s="416"/>
      <c r="H72" s="417"/>
      <c r="I72" s="417"/>
      <c r="J72" s="417"/>
      <c r="K72" s="417"/>
    </row>
    <row r="73" spans="1:11">
      <c r="A73" s="413"/>
      <c r="B73" s="413"/>
      <c r="F73" s="416"/>
      <c r="G73" s="416"/>
      <c r="H73" s="417"/>
      <c r="I73" s="417"/>
      <c r="J73" s="417"/>
      <c r="K73" s="417"/>
    </row>
    <row r="74" spans="1:11">
      <c r="A74" s="415" t="s">
        <v>431</v>
      </c>
      <c r="B74" s="413" t="s">
        <v>147</v>
      </c>
      <c r="F74" s="416">
        <v>2800</v>
      </c>
      <c r="G74" s="416">
        <v>0</v>
      </c>
      <c r="H74" s="417">
        <v>95343</v>
      </c>
      <c r="I74" s="417">
        <v>72937</v>
      </c>
      <c r="J74" s="417">
        <v>0</v>
      </c>
      <c r="K74" s="417">
        <v>168280</v>
      </c>
    </row>
    <row r="76" spans="1:11">
      <c r="A76" s="415" t="s">
        <v>105</v>
      </c>
      <c r="B76" s="414" t="s">
        <v>106</v>
      </c>
    </row>
    <row r="77" spans="1:11">
      <c r="A77" s="413" t="s">
        <v>432</v>
      </c>
      <c r="B77" s="413" t="s">
        <v>54</v>
      </c>
      <c r="F77" s="416">
        <v>0</v>
      </c>
      <c r="G77" s="416">
        <v>0</v>
      </c>
      <c r="H77" s="417">
        <v>23888</v>
      </c>
      <c r="I77" s="417">
        <v>0</v>
      </c>
      <c r="J77" s="417">
        <v>0</v>
      </c>
      <c r="K77" s="417">
        <v>23888</v>
      </c>
    </row>
    <row r="78" spans="1:11">
      <c r="A78" s="413" t="s">
        <v>433</v>
      </c>
      <c r="B78" s="413" t="s">
        <v>55</v>
      </c>
      <c r="F78" s="416">
        <v>0</v>
      </c>
      <c r="G78" s="416">
        <v>0</v>
      </c>
      <c r="H78" s="417">
        <v>0</v>
      </c>
      <c r="I78" s="417">
        <v>0</v>
      </c>
      <c r="J78" s="417">
        <v>0</v>
      </c>
      <c r="K78" s="417">
        <v>0</v>
      </c>
    </row>
    <row r="79" spans="1:11">
      <c r="A79" s="413" t="s">
        <v>434</v>
      </c>
      <c r="B79" s="413" t="s">
        <v>13</v>
      </c>
      <c r="F79" s="416">
        <v>100</v>
      </c>
      <c r="G79" s="416">
        <v>1462</v>
      </c>
      <c r="H79" s="417">
        <v>11008</v>
      </c>
      <c r="I79" s="417">
        <v>0</v>
      </c>
      <c r="J79" s="417">
        <v>0</v>
      </c>
      <c r="K79" s="417">
        <v>11008</v>
      </c>
    </row>
    <row r="80" spans="1:11">
      <c r="A80" s="413" t="s">
        <v>435</v>
      </c>
      <c r="B80" s="413" t="s">
        <v>436</v>
      </c>
      <c r="F80" s="416">
        <v>0</v>
      </c>
      <c r="G80" s="416">
        <v>0</v>
      </c>
      <c r="H80" s="417">
        <v>0</v>
      </c>
      <c r="I80" s="417">
        <v>0</v>
      </c>
      <c r="J80" s="417">
        <v>0</v>
      </c>
      <c r="K80" s="417">
        <v>0</v>
      </c>
    </row>
    <row r="81" spans="1:11">
      <c r="A81" s="413"/>
      <c r="B81" s="413"/>
      <c r="F81" s="416"/>
      <c r="G81" s="416"/>
      <c r="H81" s="417"/>
      <c r="I81" s="417"/>
      <c r="J81" s="417"/>
      <c r="K81" s="417"/>
    </row>
    <row r="82" spans="1:11">
      <c r="A82" s="415" t="s">
        <v>437</v>
      </c>
      <c r="B82" s="413" t="s">
        <v>54</v>
      </c>
      <c r="F82" s="416">
        <v>100</v>
      </c>
      <c r="G82" s="416">
        <v>1462</v>
      </c>
      <c r="H82" s="417">
        <v>34896</v>
      </c>
      <c r="I82" s="417">
        <v>0</v>
      </c>
      <c r="J82" s="417">
        <v>0</v>
      </c>
      <c r="K82" s="417">
        <v>34896</v>
      </c>
    </row>
    <row r="85" spans="1:11">
      <c r="A85" s="415" t="s">
        <v>111</v>
      </c>
      <c r="B85" s="414" t="s">
        <v>57</v>
      </c>
    </row>
    <row r="86" spans="1:11">
      <c r="A86" s="413" t="s">
        <v>438</v>
      </c>
      <c r="B86" s="413" t="s">
        <v>113</v>
      </c>
      <c r="F86" s="416">
        <v>0</v>
      </c>
      <c r="G86" s="416">
        <v>0</v>
      </c>
      <c r="H86" s="417">
        <v>0</v>
      </c>
      <c r="I86" s="417">
        <v>0</v>
      </c>
      <c r="J86" s="417">
        <v>0</v>
      </c>
      <c r="K86" s="417">
        <v>0</v>
      </c>
    </row>
    <row r="87" spans="1:11">
      <c r="A87" s="413" t="s">
        <v>439</v>
      </c>
      <c r="B87" s="413" t="s">
        <v>14</v>
      </c>
      <c r="F87" s="416">
        <v>37</v>
      </c>
      <c r="G87" s="416">
        <v>0</v>
      </c>
      <c r="H87" s="417">
        <v>5720</v>
      </c>
      <c r="I87" s="417">
        <v>0</v>
      </c>
      <c r="J87" s="417">
        <v>0</v>
      </c>
      <c r="K87" s="417">
        <v>5720</v>
      </c>
    </row>
    <row r="88" spans="1:11">
      <c r="A88" s="413" t="s">
        <v>440</v>
      </c>
      <c r="B88" s="413" t="s">
        <v>116</v>
      </c>
      <c r="F88" s="416">
        <v>52</v>
      </c>
      <c r="G88" s="416">
        <v>0</v>
      </c>
      <c r="H88" s="417">
        <v>44741</v>
      </c>
      <c r="I88" s="417">
        <v>30600</v>
      </c>
      <c r="J88" s="417">
        <v>40000</v>
      </c>
      <c r="K88" s="417">
        <v>35341</v>
      </c>
    </row>
    <row r="89" spans="1:11">
      <c r="A89" s="413" t="s">
        <v>441</v>
      </c>
      <c r="B89" s="413" t="s">
        <v>58</v>
      </c>
      <c r="F89" s="416">
        <v>0</v>
      </c>
      <c r="G89" s="416">
        <v>0</v>
      </c>
      <c r="H89" s="417">
        <v>533561</v>
      </c>
      <c r="I89" s="417">
        <v>360310</v>
      </c>
      <c r="J89" s="417">
        <v>0</v>
      </c>
      <c r="K89" s="417">
        <v>893871</v>
      </c>
    </row>
    <row r="90" spans="1:11">
      <c r="A90" s="413" t="s">
        <v>442</v>
      </c>
      <c r="B90" s="413" t="s">
        <v>59</v>
      </c>
      <c r="F90" s="416">
        <v>0</v>
      </c>
      <c r="G90" s="416">
        <v>0</v>
      </c>
      <c r="H90" s="417">
        <v>0</v>
      </c>
      <c r="I90" s="417">
        <v>0</v>
      </c>
      <c r="J90" s="417">
        <v>0</v>
      </c>
      <c r="K90" s="417">
        <v>0</v>
      </c>
    </row>
    <row r="91" spans="1:11">
      <c r="A91" s="413" t="s">
        <v>443</v>
      </c>
      <c r="B91" s="413" t="s">
        <v>60</v>
      </c>
      <c r="F91" s="416">
        <v>0</v>
      </c>
      <c r="G91" s="416">
        <v>0</v>
      </c>
      <c r="H91" s="417">
        <v>0</v>
      </c>
      <c r="I91" s="417">
        <v>0</v>
      </c>
      <c r="J91" s="417">
        <v>0</v>
      </c>
      <c r="K91" s="417">
        <v>0</v>
      </c>
    </row>
    <row r="92" spans="1:11">
      <c r="A92" s="413" t="s">
        <v>444</v>
      </c>
      <c r="B92" s="413" t="s">
        <v>121</v>
      </c>
      <c r="F92" s="416">
        <v>21.5</v>
      </c>
      <c r="G92" s="416">
        <v>0</v>
      </c>
      <c r="H92" s="417">
        <v>27396</v>
      </c>
      <c r="I92" s="417">
        <v>20185</v>
      </c>
      <c r="J92" s="417">
        <v>0</v>
      </c>
      <c r="K92" s="417">
        <v>47581</v>
      </c>
    </row>
    <row r="93" spans="1:11">
      <c r="A93" s="413" t="s">
        <v>445</v>
      </c>
      <c r="B93" s="413" t="s">
        <v>123</v>
      </c>
      <c r="F93" s="416">
        <v>33.5</v>
      </c>
      <c r="G93" s="416">
        <v>0</v>
      </c>
      <c r="H93" s="417">
        <v>9335</v>
      </c>
      <c r="I93" s="417">
        <v>6563</v>
      </c>
      <c r="J93" s="417">
        <v>0</v>
      </c>
      <c r="K93" s="417">
        <v>15898</v>
      </c>
    </row>
    <row r="94" spans="1:11">
      <c r="A94" s="413" t="s">
        <v>654</v>
      </c>
      <c r="B94" s="413" t="s">
        <v>367</v>
      </c>
      <c r="F94" s="416">
        <v>4</v>
      </c>
      <c r="G94" s="416">
        <v>0</v>
      </c>
      <c r="H94" s="417">
        <v>165</v>
      </c>
      <c r="I94" s="417">
        <v>0</v>
      </c>
      <c r="J94" s="417">
        <v>0</v>
      </c>
      <c r="K94" s="417">
        <v>165</v>
      </c>
    </row>
    <row r="95" spans="1:11">
      <c r="A95" s="413"/>
      <c r="B95" s="413"/>
      <c r="F95" s="416"/>
      <c r="G95" s="416"/>
      <c r="H95" s="417"/>
      <c r="I95" s="417"/>
      <c r="J95" s="417"/>
      <c r="K95" s="417"/>
    </row>
    <row r="96" spans="1:11">
      <c r="A96" s="413"/>
      <c r="B96" s="413"/>
      <c r="F96" s="416"/>
      <c r="G96" s="416"/>
      <c r="H96" s="417"/>
      <c r="I96" s="417"/>
      <c r="J96" s="417"/>
      <c r="K96" s="417"/>
    </row>
    <row r="97" spans="1:11">
      <c r="A97" s="413"/>
      <c r="B97" s="413"/>
      <c r="F97" s="416"/>
      <c r="G97" s="416"/>
      <c r="H97" s="417"/>
      <c r="I97" s="417"/>
      <c r="J97" s="417"/>
      <c r="K97" s="417"/>
    </row>
    <row r="98" spans="1:11">
      <c r="A98" s="415" t="s">
        <v>446</v>
      </c>
      <c r="B98" s="413" t="s">
        <v>151</v>
      </c>
      <c r="F98" s="416">
        <v>148</v>
      </c>
      <c r="G98" s="416">
        <v>0</v>
      </c>
      <c r="H98" s="417">
        <v>620918</v>
      </c>
      <c r="I98" s="417">
        <v>417658</v>
      </c>
      <c r="J98" s="417">
        <v>40000</v>
      </c>
      <c r="K98" s="417">
        <v>998576</v>
      </c>
    </row>
    <row r="101" spans="1:11">
      <c r="A101" s="415" t="s">
        <v>130</v>
      </c>
      <c r="B101" s="414" t="s">
        <v>63</v>
      </c>
    </row>
    <row r="102" spans="1:11">
      <c r="A102" s="413" t="s">
        <v>447</v>
      </c>
      <c r="B102" s="413" t="s">
        <v>152</v>
      </c>
      <c r="F102" s="416">
        <v>167</v>
      </c>
      <c r="G102" s="416">
        <v>0</v>
      </c>
      <c r="H102" s="417">
        <v>44773</v>
      </c>
      <c r="I102" s="417">
        <v>3868</v>
      </c>
      <c r="J102" s="417">
        <v>0</v>
      </c>
      <c r="K102" s="417">
        <v>48641</v>
      </c>
    </row>
    <row r="103" spans="1:11">
      <c r="A103" s="413" t="s">
        <v>448</v>
      </c>
      <c r="B103" s="413" t="s">
        <v>62</v>
      </c>
      <c r="F103" s="416">
        <v>10</v>
      </c>
      <c r="G103" s="416">
        <v>0</v>
      </c>
      <c r="H103" s="417">
        <v>380</v>
      </c>
      <c r="I103" s="417">
        <v>290</v>
      </c>
      <c r="J103" s="417">
        <v>0</v>
      </c>
      <c r="K103" s="417">
        <v>670</v>
      </c>
    </row>
    <row r="104" spans="1:11">
      <c r="A104" s="413" t="s">
        <v>642</v>
      </c>
      <c r="B104" s="413" t="s">
        <v>630</v>
      </c>
      <c r="F104" s="416">
        <v>0</v>
      </c>
      <c r="G104" s="416">
        <v>0</v>
      </c>
      <c r="H104" s="417">
        <v>30034</v>
      </c>
      <c r="I104" s="417">
        <v>0</v>
      </c>
      <c r="J104" s="417">
        <v>0</v>
      </c>
      <c r="K104" s="417">
        <v>30034</v>
      </c>
    </row>
    <row r="105" spans="1:11">
      <c r="A105" s="413"/>
      <c r="B105" s="413"/>
      <c r="F105" s="416"/>
      <c r="G105" s="416"/>
      <c r="H105" s="417"/>
      <c r="I105" s="417"/>
      <c r="J105" s="417"/>
      <c r="K105" s="417"/>
    </row>
    <row r="106" spans="1:11">
      <c r="A106" s="413"/>
      <c r="B106" s="413"/>
      <c r="F106" s="416"/>
      <c r="G106" s="416"/>
      <c r="H106" s="417"/>
      <c r="I106" s="417"/>
      <c r="J106" s="417"/>
      <c r="K106" s="417"/>
    </row>
    <row r="107" spans="1:11">
      <c r="A107" s="413"/>
      <c r="B107" s="413"/>
      <c r="F107" s="416"/>
      <c r="G107" s="416"/>
      <c r="H107" s="417"/>
      <c r="I107" s="417"/>
      <c r="J107" s="417"/>
      <c r="K107" s="417"/>
    </row>
    <row r="108" spans="1:11">
      <c r="A108" s="415" t="s">
        <v>449</v>
      </c>
      <c r="B108" s="413" t="s">
        <v>154</v>
      </c>
      <c r="F108" s="416">
        <v>177</v>
      </c>
      <c r="G108" s="416">
        <v>0</v>
      </c>
      <c r="H108" s="417">
        <v>75187</v>
      </c>
      <c r="I108" s="417">
        <v>4158</v>
      </c>
      <c r="J108" s="417">
        <v>0</v>
      </c>
      <c r="K108" s="417">
        <v>79345</v>
      </c>
    </row>
    <row r="110" spans="1:11">
      <c r="A110" s="414" t="s">
        <v>156</v>
      </c>
      <c r="B110" s="414" t="s">
        <v>39</v>
      </c>
    </row>
    <row r="111" spans="1:11">
      <c r="A111" s="413" t="s">
        <v>450</v>
      </c>
      <c r="B111" s="411" t="s">
        <v>164</v>
      </c>
      <c r="F111" s="417">
        <v>6997841.9000000004</v>
      </c>
    </row>
    <row r="113" spans="1:6">
      <c r="A113" s="414"/>
      <c r="B113" s="414" t="s">
        <v>15</v>
      </c>
    </row>
    <row r="114" spans="1:6">
      <c r="A114" s="413" t="s">
        <v>451</v>
      </c>
      <c r="B114" s="411" t="s">
        <v>452</v>
      </c>
      <c r="F114" s="418">
        <v>0.76</v>
      </c>
    </row>
    <row r="116" spans="1:6">
      <c r="A116" s="414" t="s">
        <v>170</v>
      </c>
      <c r="B116" s="414" t="s">
        <v>16</v>
      </c>
    </row>
    <row r="117" spans="1:6">
      <c r="A117" s="413" t="s">
        <v>453</v>
      </c>
      <c r="B117" s="411" t="s">
        <v>17</v>
      </c>
      <c r="F117" s="417">
        <v>196365264</v>
      </c>
    </row>
    <row r="118" spans="1:6">
      <c r="A118" s="413" t="s">
        <v>454</v>
      </c>
      <c r="B118" s="411" t="s">
        <v>18</v>
      </c>
      <c r="F118" s="417">
        <v>13567694</v>
      </c>
    </row>
    <row r="119" spans="1:6">
      <c r="A119" s="413" t="s">
        <v>455</v>
      </c>
      <c r="B119" s="414" t="s">
        <v>19</v>
      </c>
      <c r="F119" s="416">
        <v>209932958</v>
      </c>
    </row>
    <row r="121" spans="1:6">
      <c r="A121" s="413" t="s">
        <v>456</v>
      </c>
      <c r="B121" s="411" t="s">
        <v>282</v>
      </c>
      <c r="F121" s="417">
        <v>189700114</v>
      </c>
    </row>
    <row r="123" spans="1:6">
      <c r="A123" s="413" t="s">
        <v>457</v>
      </c>
      <c r="B123" s="411" t="s">
        <v>458</v>
      </c>
      <c r="F123" s="417">
        <v>20232844</v>
      </c>
    </row>
    <row r="125" spans="1:6">
      <c r="A125" s="413" t="s">
        <v>459</v>
      </c>
      <c r="B125" s="411" t="s">
        <v>460</v>
      </c>
      <c r="F125" s="417">
        <v>506890</v>
      </c>
    </row>
    <row r="127" spans="1:6">
      <c r="A127" s="413" t="s">
        <v>461</v>
      </c>
      <c r="B127" s="411" t="s">
        <v>462</v>
      </c>
      <c r="F127" s="417">
        <v>20739733</v>
      </c>
    </row>
    <row r="130" spans="1:11">
      <c r="A130" s="415" t="s">
        <v>157</v>
      </c>
      <c r="B130" s="414" t="s">
        <v>23</v>
      </c>
    </row>
    <row r="131" spans="1:11">
      <c r="A131" s="413" t="s">
        <v>463</v>
      </c>
      <c r="B131" s="413" t="s">
        <v>24</v>
      </c>
      <c r="F131" s="416">
        <v>0</v>
      </c>
      <c r="G131" s="416">
        <v>0</v>
      </c>
      <c r="H131" s="417">
        <v>0</v>
      </c>
      <c r="I131" s="417">
        <v>0</v>
      </c>
      <c r="J131" s="417">
        <v>0</v>
      </c>
      <c r="K131" s="417">
        <v>0</v>
      </c>
    </row>
    <row r="132" spans="1:11">
      <c r="A132" s="413" t="s">
        <v>464</v>
      </c>
      <c r="B132" s="413" t="s">
        <v>25</v>
      </c>
      <c r="F132" s="416">
        <v>0</v>
      </c>
      <c r="G132" s="416">
        <v>0</v>
      </c>
      <c r="H132" s="417">
        <v>0</v>
      </c>
      <c r="I132" s="417">
        <v>0</v>
      </c>
      <c r="J132" s="417">
        <v>0</v>
      </c>
      <c r="K132" s="417">
        <v>0</v>
      </c>
    </row>
    <row r="133" spans="1:11">
      <c r="A133" s="413"/>
      <c r="B133" s="413"/>
      <c r="F133" s="416"/>
      <c r="G133" s="416"/>
      <c r="H133" s="417"/>
      <c r="I133" s="417"/>
      <c r="J133" s="417"/>
      <c r="K133" s="417"/>
    </row>
    <row r="134" spans="1:11">
      <c r="A134" s="413"/>
      <c r="B134" s="413"/>
      <c r="F134" s="416"/>
      <c r="G134" s="416"/>
      <c r="H134" s="417"/>
      <c r="I134" s="417"/>
      <c r="J134" s="417"/>
      <c r="K134" s="417"/>
    </row>
    <row r="135" spans="1:11">
      <c r="A135" s="413"/>
      <c r="B135" s="413"/>
      <c r="F135" s="416"/>
      <c r="G135" s="416"/>
      <c r="H135" s="417"/>
      <c r="I135" s="417"/>
      <c r="J135" s="417"/>
      <c r="K135" s="417"/>
    </row>
    <row r="136" spans="1:11">
      <c r="A136" s="413"/>
      <c r="B136" s="413"/>
      <c r="F136" s="416"/>
      <c r="G136" s="416"/>
      <c r="H136" s="417"/>
      <c r="I136" s="417"/>
      <c r="J136" s="417"/>
      <c r="K136" s="417"/>
    </row>
    <row r="137" spans="1:11">
      <c r="A137" s="415" t="s">
        <v>465</v>
      </c>
      <c r="B137" s="413" t="s">
        <v>466</v>
      </c>
      <c r="F137" s="416">
        <v>0</v>
      </c>
      <c r="G137" s="416">
        <v>0</v>
      </c>
      <c r="H137" s="417">
        <v>0</v>
      </c>
      <c r="I137" s="417">
        <v>0</v>
      </c>
      <c r="J137" s="417">
        <v>0</v>
      </c>
      <c r="K137" s="417">
        <v>0</v>
      </c>
    </row>
    <row r="140" spans="1:11">
      <c r="A140" s="415" t="s">
        <v>166</v>
      </c>
      <c r="B140" s="414" t="s">
        <v>26</v>
      </c>
    </row>
    <row r="141" spans="1:11">
      <c r="A141" s="413" t="s">
        <v>420</v>
      </c>
      <c r="B141" s="413" t="s">
        <v>64</v>
      </c>
      <c r="F141" s="416">
        <v>9915.5</v>
      </c>
      <c r="G141" s="416">
        <v>7589</v>
      </c>
      <c r="H141" s="417">
        <v>953838</v>
      </c>
      <c r="I141" s="417">
        <v>662077</v>
      </c>
      <c r="J141" s="417">
        <v>696066</v>
      </c>
      <c r="K141" s="417">
        <v>919849</v>
      </c>
    </row>
    <row r="142" spans="1:11">
      <c r="A142" s="413" t="s">
        <v>425</v>
      </c>
      <c r="B142" s="413" t="s">
        <v>65</v>
      </c>
      <c r="F142" s="416">
        <v>108193</v>
      </c>
      <c r="G142" s="416">
        <v>780</v>
      </c>
      <c r="H142" s="417">
        <v>4623764</v>
      </c>
      <c r="I142" s="417">
        <v>3537180</v>
      </c>
      <c r="J142" s="417">
        <v>2570</v>
      </c>
      <c r="K142" s="417">
        <v>8158374</v>
      </c>
    </row>
    <row r="143" spans="1:11">
      <c r="A143" s="413" t="s">
        <v>428</v>
      </c>
      <c r="B143" s="413" t="s">
        <v>66</v>
      </c>
      <c r="F143" s="416">
        <v>131789</v>
      </c>
      <c r="G143" s="416">
        <v>24089</v>
      </c>
      <c r="H143" s="417">
        <v>12692332</v>
      </c>
      <c r="I143" s="417">
        <v>0</v>
      </c>
      <c r="J143" s="417">
        <v>8434996</v>
      </c>
      <c r="K143" s="417">
        <v>4257336</v>
      </c>
    </row>
    <row r="144" spans="1:11">
      <c r="A144" s="413" t="s">
        <v>431</v>
      </c>
      <c r="B144" s="413" t="s">
        <v>67</v>
      </c>
      <c r="F144" s="416">
        <v>2800</v>
      </c>
      <c r="G144" s="416">
        <v>0</v>
      </c>
      <c r="H144" s="417">
        <v>95343</v>
      </c>
      <c r="I144" s="417">
        <v>72937</v>
      </c>
      <c r="J144" s="417">
        <v>0</v>
      </c>
      <c r="K144" s="417">
        <v>168280</v>
      </c>
    </row>
    <row r="145" spans="1:11">
      <c r="A145" s="413" t="s">
        <v>437</v>
      </c>
      <c r="B145" s="413" t="s">
        <v>68</v>
      </c>
      <c r="F145" s="416">
        <v>100</v>
      </c>
      <c r="G145" s="416">
        <v>1462</v>
      </c>
      <c r="H145" s="417">
        <v>34896</v>
      </c>
      <c r="I145" s="417">
        <v>0</v>
      </c>
      <c r="J145" s="417">
        <v>0</v>
      </c>
      <c r="K145" s="417">
        <v>34896</v>
      </c>
    </row>
    <row r="146" spans="1:11">
      <c r="A146" s="413" t="s">
        <v>446</v>
      </c>
      <c r="B146" s="413" t="s">
        <v>69</v>
      </c>
      <c r="F146" s="416">
        <v>148</v>
      </c>
      <c r="G146" s="416">
        <v>0</v>
      </c>
      <c r="H146" s="417">
        <v>620918</v>
      </c>
      <c r="I146" s="417">
        <v>417658</v>
      </c>
      <c r="J146" s="417">
        <v>40000</v>
      </c>
      <c r="K146" s="417">
        <v>998576</v>
      </c>
    </row>
    <row r="147" spans="1:11">
      <c r="A147" s="413" t="s">
        <v>449</v>
      </c>
      <c r="B147" s="413" t="s">
        <v>61</v>
      </c>
      <c r="F147" s="416">
        <v>177</v>
      </c>
      <c r="G147" s="416">
        <v>0</v>
      </c>
      <c r="H147" s="417">
        <v>75187</v>
      </c>
      <c r="I147" s="417">
        <v>4158</v>
      </c>
      <c r="J147" s="417">
        <v>0</v>
      </c>
      <c r="K147" s="417">
        <v>79345</v>
      </c>
    </row>
    <row r="148" spans="1:11">
      <c r="A148" s="413" t="s">
        <v>450</v>
      </c>
      <c r="B148" s="413" t="s">
        <v>70</v>
      </c>
      <c r="F148" s="411" t="s">
        <v>73</v>
      </c>
      <c r="G148" s="411" t="s">
        <v>73</v>
      </c>
      <c r="H148" s="411" t="s">
        <v>73</v>
      </c>
      <c r="I148" s="411" t="s">
        <v>73</v>
      </c>
      <c r="J148" s="411" t="s">
        <v>73</v>
      </c>
      <c r="K148" s="417">
        <v>6997841.9000000004</v>
      </c>
    </row>
    <row r="149" spans="1:11">
      <c r="A149" s="413" t="s">
        <v>465</v>
      </c>
      <c r="B149" s="413" t="s">
        <v>71</v>
      </c>
      <c r="F149" s="416">
        <v>0</v>
      </c>
      <c r="G149" s="416">
        <v>0</v>
      </c>
      <c r="H149" s="417">
        <v>0</v>
      </c>
      <c r="I149" s="417">
        <v>0</v>
      </c>
      <c r="J149" s="417">
        <v>0</v>
      </c>
      <c r="K149" s="417">
        <v>0</v>
      </c>
    </row>
    <row r="150" spans="1:11">
      <c r="A150" s="413" t="s">
        <v>408</v>
      </c>
      <c r="B150" s="413" t="s">
        <v>186</v>
      </c>
      <c r="F150" s="411" t="s">
        <v>73</v>
      </c>
      <c r="G150" s="411" t="s">
        <v>73</v>
      </c>
      <c r="H150" s="417">
        <v>5232286</v>
      </c>
      <c r="I150" s="417">
        <v>0</v>
      </c>
      <c r="J150" s="417">
        <v>4474258</v>
      </c>
      <c r="K150" s="417">
        <v>758028</v>
      </c>
    </row>
    <row r="151" spans="1:11">
      <c r="A151" s="413"/>
      <c r="B151" s="413"/>
      <c r="H151" s="419"/>
      <c r="I151" s="419"/>
      <c r="J151" s="419"/>
      <c r="K151" s="419"/>
    </row>
    <row r="152" spans="1:11">
      <c r="A152" s="415" t="s">
        <v>467</v>
      </c>
      <c r="B152" s="413" t="s">
        <v>26</v>
      </c>
      <c r="F152" s="416">
        <v>253122.5</v>
      </c>
      <c r="G152" s="416">
        <v>33920</v>
      </c>
      <c r="H152" s="417">
        <v>24328564</v>
      </c>
      <c r="I152" s="417">
        <v>4694010</v>
      </c>
      <c r="J152" s="417">
        <v>13647890</v>
      </c>
      <c r="K152" s="417">
        <v>22372525.899999999</v>
      </c>
    </row>
    <row r="154" spans="1:11">
      <c r="A154" s="413" t="s">
        <v>468</v>
      </c>
      <c r="B154" s="414" t="s">
        <v>28</v>
      </c>
      <c r="F154" s="416">
        <v>11.79</v>
      </c>
    </row>
    <row r="155" spans="1:11">
      <c r="A155" s="413" t="s">
        <v>469</v>
      </c>
      <c r="B155" s="414" t="s">
        <v>72</v>
      </c>
      <c r="F155" s="416">
        <v>107.87</v>
      </c>
    </row>
  </sheetData>
  <mergeCells count="7">
    <mergeCell ref="C11:G11"/>
    <mergeCell ref="D2:H2"/>
    <mergeCell ref="C5:G5"/>
    <mergeCell ref="C6:G6"/>
    <mergeCell ref="C7:G7"/>
    <mergeCell ref="C9:G9"/>
    <mergeCell ref="C10:G10"/>
  </mergeCells>
  <pageMargins left="0.7" right="0.7" top="0.75" bottom="0.75" header="0.3" footer="0.3"/>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30" zoomScale="70" zoomScaleNormal="50" zoomScaleSheetLayoutView="70" workbookViewId="0">
      <selection activeCell="C7" sqref="C7:G7"/>
    </sheetView>
  </sheetViews>
  <sheetFormatPr defaultRowHeight="18" customHeight="1"/>
  <cols>
    <col min="1" max="1" width="8.425781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835</v>
      </c>
      <c r="D5" s="654"/>
      <c r="E5" s="654"/>
      <c r="F5" s="654"/>
      <c r="G5" s="655"/>
    </row>
    <row r="6" spans="1:11" ht="18" customHeight="1">
      <c r="B6" s="5" t="s">
        <v>3</v>
      </c>
      <c r="C6" s="671" t="s">
        <v>836</v>
      </c>
      <c r="D6" s="657"/>
      <c r="E6" s="657"/>
      <c r="F6" s="657"/>
      <c r="G6" s="658"/>
    </row>
    <row r="7" spans="1:11" ht="18" customHeight="1">
      <c r="B7" s="5" t="s">
        <v>4</v>
      </c>
      <c r="C7" s="659"/>
      <c r="D7" s="660"/>
      <c r="E7" s="660"/>
      <c r="F7" s="660"/>
      <c r="G7" s="661"/>
    </row>
    <row r="9" spans="1:11" ht="18" customHeight="1">
      <c r="B9" s="5" t="s">
        <v>1</v>
      </c>
      <c r="C9" s="670"/>
      <c r="D9" s="654"/>
      <c r="E9" s="654"/>
      <c r="F9" s="654"/>
      <c r="G9" s="655"/>
    </row>
    <row r="10" spans="1:11" ht="18" customHeight="1">
      <c r="B10" s="5" t="s">
        <v>2</v>
      </c>
      <c r="C10" s="674"/>
      <c r="D10" s="663"/>
      <c r="E10" s="663"/>
      <c r="F10" s="663"/>
      <c r="G10" s="664"/>
    </row>
    <row r="11" spans="1:11" ht="18" customHeight="1">
      <c r="B11" s="5" t="s">
        <v>32</v>
      </c>
      <c r="C11" s="670"/>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2"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3507173</v>
      </c>
      <c r="I18" s="50">
        <v>0</v>
      </c>
      <c r="J18" s="15">
        <v>2999071</v>
      </c>
      <c r="K18" s="16">
        <f>(H18+I18)-J18</f>
        <v>508102</v>
      </c>
    </row>
    <row r="19" spans="1:11" ht="45.2"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2646</v>
      </c>
      <c r="G21" s="14">
        <v>171164</v>
      </c>
      <c r="H21" s="15">
        <v>275853</v>
      </c>
      <c r="I21" s="50">
        <v>128931</v>
      </c>
      <c r="J21" s="15">
        <v>24400</v>
      </c>
      <c r="K21" s="16">
        <f t="shared" ref="K21:K34" si="0">(H21+I21)-J21</f>
        <v>380384</v>
      </c>
    </row>
    <row r="22" spans="1:11" ht="18" customHeight="1">
      <c r="A22" s="5" t="s">
        <v>76</v>
      </c>
      <c r="B22" t="s">
        <v>6</v>
      </c>
      <c r="F22" s="14"/>
      <c r="G22" s="14"/>
      <c r="H22" s="15"/>
      <c r="I22" s="50"/>
      <c r="J22" s="15"/>
      <c r="K22" s="16">
        <f t="shared" si="0"/>
        <v>0</v>
      </c>
    </row>
    <row r="23" spans="1:11" ht="18" customHeight="1">
      <c r="A23" s="5" t="s">
        <v>77</v>
      </c>
      <c r="B23" t="s">
        <v>43</v>
      </c>
      <c r="F23" s="14"/>
      <c r="G23" s="14"/>
      <c r="H23" s="15"/>
      <c r="I23" s="50">
        <f t="shared" ref="I23:I34" si="1">H23*F$114</f>
        <v>0</v>
      </c>
      <c r="J23" s="15"/>
      <c r="K23" s="16">
        <f t="shared" si="0"/>
        <v>0</v>
      </c>
    </row>
    <row r="24" spans="1:11" ht="18" customHeight="1">
      <c r="A24" s="5" t="s">
        <v>78</v>
      </c>
      <c r="B24" t="s">
        <v>44</v>
      </c>
      <c r="F24" s="14">
        <v>115</v>
      </c>
      <c r="G24" s="14">
        <v>386</v>
      </c>
      <c r="H24" s="15">
        <v>9039</v>
      </c>
      <c r="I24" s="50">
        <v>5432</v>
      </c>
      <c r="J24" s="15"/>
      <c r="K24" s="16">
        <f t="shared" si="0"/>
        <v>14471</v>
      </c>
    </row>
    <row r="25" spans="1:11" ht="18" customHeight="1">
      <c r="A25" s="5" t="s">
        <v>79</v>
      </c>
      <c r="B25" t="s">
        <v>5</v>
      </c>
      <c r="F25" s="14"/>
      <c r="G25" s="14"/>
      <c r="H25" s="15"/>
      <c r="I25" s="50">
        <f t="shared" si="1"/>
        <v>0</v>
      </c>
      <c r="J25" s="15"/>
      <c r="K25" s="16">
        <f t="shared" si="0"/>
        <v>0</v>
      </c>
    </row>
    <row r="26" spans="1:11" ht="18" customHeight="1">
      <c r="A26" s="5" t="s">
        <v>80</v>
      </c>
      <c r="B26" t="s">
        <v>45</v>
      </c>
      <c r="F26" s="14"/>
      <c r="G26" s="14"/>
      <c r="H26" s="15"/>
      <c r="I26" s="50">
        <f t="shared" si="1"/>
        <v>0</v>
      </c>
      <c r="J26" s="15"/>
      <c r="K26" s="16">
        <f t="shared" si="0"/>
        <v>0</v>
      </c>
    </row>
    <row r="27" spans="1:11" ht="18" customHeight="1">
      <c r="A27" s="5" t="s">
        <v>81</v>
      </c>
      <c r="B27" t="s">
        <v>46</v>
      </c>
      <c r="F27" s="14"/>
      <c r="G27" s="14"/>
      <c r="H27" s="15"/>
      <c r="I27" s="50">
        <f t="shared" si="1"/>
        <v>0</v>
      </c>
      <c r="J27" s="15"/>
      <c r="K27" s="16">
        <f t="shared" si="0"/>
        <v>0</v>
      </c>
    </row>
    <row r="28" spans="1:11" ht="18" customHeight="1">
      <c r="A28" s="5" t="s">
        <v>82</v>
      </c>
      <c r="B28" t="s">
        <v>47</v>
      </c>
      <c r="F28" s="14"/>
      <c r="G28" s="14"/>
      <c r="H28" s="15"/>
      <c r="I28" s="50">
        <f t="shared" si="1"/>
        <v>0</v>
      </c>
      <c r="J28" s="15"/>
      <c r="K28" s="16">
        <f t="shared" si="0"/>
        <v>0</v>
      </c>
    </row>
    <row r="29" spans="1:11" ht="18" customHeight="1">
      <c r="A29" s="5" t="s">
        <v>83</v>
      </c>
      <c r="B29" t="s">
        <v>48</v>
      </c>
      <c r="F29" s="14">
        <v>222</v>
      </c>
      <c r="G29" s="14">
        <v>558</v>
      </c>
      <c r="H29" s="15">
        <v>49625</v>
      </c>
      <c r="I29" s="50">
        <v>28933</v>
      </c>
      <c r="J29" s="15">
        <v>0</v>
      </c>
      <c r="K29" s="16">
        <f t="shared" si="0"/>
        <v>78558</v>
      </c>
    </row>
    <row r="30" spans="1:11" ht="18" customHeight="1">
      <c r="A30" s="5" t="s">
        <v>84</v>
      </c>
      <c r="B30" s="636" t="s">
        <v>367</v>
      </c>
      <c r="C30" s="637"/>
      <c r="D30" s="638"/>
      <c r="F30" s="14">
        <v>1471</v>
      </c>
      <c r="G30" s="14"/>
      <c r="H30" s="15">
        <v>90406</v>
      </c>
      <c r="I30" s="50">
        <v>59144</v>
      </c>
      <c r="J30" s="15"/>
      <c r="K30" s="16">
        <f t="shared" si="0"/>
        <v>149550</v>
      </c>
    </row>
    <row r="31" spans="1:11" ht="18" customHeight="1">
      <c r="A31" s="5" t="s">
        <v>133</v>
      </c>
      <c r="B31" s="636"/>
      <c r="C31" s="637"/>
      <c r="D31" s="638"/>
      <c r="F31" s="14"/>
      <c r="G31" s="14"/>
      <c r="H31" s="15"/>
      <c r="I31" s="50">
        <f t="shared" si="1"/>
        <v>0</v>
      </c>
      <c r="J31" s="15"/>
      <c r="K31" s="16">
        <f t="shared" si="0"/>
        <v>0</v>
      </c>
    </row>
    <row r="32" spans="1:11" ht="18" customHeight="1">
      <c r="A32" s="5" t="s">
        <v>134</v>
      </c>
      <c r="B32" s="363"/>
      <c r="C32" s="364"/>
      <c r="D32" s="365"/>
      <c r="F32" s="14"/>
      <c r="G32" s="342" t="s">
        <v>85</v>
      </c>
      <c r="H32" s="15"/>
      <c r="I32" s="50">
        <f t="shared" si="1"/>
        <v>0</v>
      </c>
      <c r="J32" s="15"/>
      <c r="K32" s="16">
        <f t="shared" si="0"/>
        <v>0</v>
      </c>
    </row>
    <row r="33" spans="1:11" ht="18" customHeight="1">
      <c r="A33" s="5" t="s">
        <v>135</v>
      </c>
      <c r="B33" s="363"/>
      <c r="C33" s="364"/>
      <c r="D33" s="365"/>
      <c r="F33" s="14"/>
      <c r="G33" s="342" t="s">
        <v>85</v>
      </c>
      <c r="H33" s="15"/>
      <c r="I33" s="50">
        <f t="shared" si="1"/>
        <v>0</v>
      </c>
      <c r="J33" s="15"/>
      <c r="K33" s="16">
        <f t="shared" si="0"/>
        <v>0</v>
      </c>
    </row>
    <row r="34" spans="1:11" ht="18" customHeight="1">
      <c r="A34" s="5" t="s">
        <v>136</v>
      </c>
      <c r="B34" s="636"/>
      <c r="C34" s="637"/>
      <c r="D34" s="638"/>
      <c r="F34" s="14"/>
      <c r="G34" s="342" t="s">
        <v>85</v>
      </c>
      <c r="H34" s="15"/>
      <c r="I34" s="50">
        <f t="shared" si="1"/>
        <v>0</v>
      </c>
      <c r="J34" s="15"/>
      <c r="K34" s="16">
        <f t="shared" si="0"/>
        <v>0</v>
      </c>
    </row>
    <row r="35" spans="1:11" ht="18" customHeight="1">
      <c r="K35" s="44"/>
    </row>
    <row r="36" spans="1:11" ht="18" customHeight="1">
      <c r="A36" s="6" t="s">
        <v>137</v>
      </c>
      <c r="B36" s="2" t="s">
        <v>138</v>
      </c>
      <c r="E36" s="2" t="s">
        <v>7</v>
      </c>
      <c r="F36" s="18">
        <f t="shared" ref="F36:K36" si="2">SUM(F21:F34)</f>
        <v>4454</v>
      </c>
      <c r="G36" s="18">
        <f t="shared" si="2"/>
        <v>172108</v>
      </c>
      <c r="H36" s="18">
        <f t="shared" si="2"/>
        <v>424923</v>
      </c>
      <c r="I36" s="16">
        <f t="shared" si="2"/>
        <v>222440</v>
      </c>
      <c r="J36" s="16">
        <f t="shared" si="2"/>
        <v>24400</v>
      </c>
      <c r="K36" s="16">
        <f t="shared" si="2"/>
        <v>622963</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v>0</v>
      </c>
      <c r="J40" s="15"/>
      <c r="K40" s="16">
        <f t="shared" ref="K40:K47" si="3">(H40+I40)-J40</f>
        <v>0</v>
      </c>
    </row>
    <row r="41" spans="1:11" ht="18" customHeight="1">
      <c r="A41" s="5" t="s">
        <v>88</v>
      </c>
      <c r="B41" s="641" t="s">
        <v>50</v>
      </c>
      <c r="C41" s="649"/>
      <c r="F41" s="14">
        <v>3193</v>
      </c>
      <c r="G41" s="14">
        <v>84</v>
      </c>
      <c r="H41" s="15">
        <v>98239</v>
      </c>
      <c r="I41" s="50">
        <v>65131</v>
      </c>
      <c r="J41" s="15"/>
      <c r="K41" s="16">
        <f t="shared" si="3"/>
        <v>163370</v>
      </c>
    </row>
    <row r="42" spans="1:11" ht="18" customHeight="1">
      <c r="A42" s="5" t="s">
        <v>89</v>
      </c>
      <c r="B42" s="341" t="s">
        <v>11</v>
      </c>
      <c r="F42" s="14">
        <v>1106</v>
      </c>
      <c r="G42" s="14">
        <v>1</v>
      </c>
      <c r="H42" s="15">
        <v>35958</v>
      </c>
      <c r="I42" s="50">
        <v>23841</v>
      </c>
      <c r="J42" s="15"/>
      <c r="K42" s="16">
        <f t="shared" si="3"/>
        <v>59799</v>
      </c>
    </row>
    <row r="43" spans="1:11" ht="18" customHeight="1">
      <c r="A43" s="5" t="s">
        <v>90</v>
      </c>
      <c r="B43" s="343" t="s">
        <v>10</v>
      </c>
      <c r="C43" s="10"/>
      <c r="D43" s="10"/>
      <c r="F43" s="14">
        <v>821</v>
      </c>
      <c r="G43" s="14"/>
      <c r="H43" s="15"/>
      <c r="I43" s="50">
        <v>0</v>
      </c>
      <c r="J43" s="15"/>
      <c r="K43" s="16">
        <f t="shared" si="3"/>
        <v>0</v>
      </c>
    </row>
    <row r="44" spans="1:11" ht="18" customHeight="1">
      <c r="A44" s="5" t="s">
        <v>91</v>
      </c>
      <c r="B44" s="636" t="s">
        <v>367</v>
      </c>
      <c r="C44" s="637"/>
      <c r="D44" s="638"/>
      <c r="F44" s="54"/>
      <c r="G44" s="54"/>
      <c r="H44" s="54">
        <v>25261</v>
      </c>
      <c r="I44" s="55">
        <v>16748</v>
      </c>
      <c r="J44" s="54"/>
      <c r="K44" s="56">
        <f t="shared" si="3"/>
        <v>42009</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5120</v>
      </c>
      <c r="G49" s="23">
        <f t="shared" si="4"/>
        <v>85</v>
      </c>
      <c r="H49" s="16">
        <f t="shared" si="4"/>
        <v>159458</v>
      </c>
      <c r="I49" s="16">
        <f t="shared" si="4"/>
        <v>105720</v>
      </c>
      <c r="J49" s="16">
        <f t="shared" si="4"/>
        <v>0</v>
      </c>
      <c r="K49" s="16">
        <f t="shared" si="4"/>
        <v>265178</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837</v>
      </c>
      <c r="C53" s="648"/>
      <c r="D53" s="644"/>
      <c r="F53" s="14">
        <v>6</v>
      </c>
      <c r="G53" s="14"/>
      <c r="H53" s="15">
        <v>1875865</v>
      </c>
      <c r="I53" s="50">
        <v>0</v>
      </c>
      <c r="J53" s="15"/>
      <c r="K53" s="16">
        <f t="shared" ref="K53:K62" si="5">(H53+I53)-J53</f>
        <v>1875865</v>
      </c>
    </row>
    <row r="54" spans="1:11" ht="18" customHeight="1">
      <c r="A54" s="5" t="s">
        <v>93</v>
      </c>
      <c r="B54" s="360" t="s">
        <v>628</v>
      </c>
      <c r="C54" s="361"/>
      <c r="D54" s="362"/>
      <c r="F54" s="14"/>
      <c r="G54" s="14"/>
      <c r="H54" s="15">
        <v>3598644</v>
      </c>
      <c r="I54" s="50">
        <v>82009</v>
      </c>
      <c r="J54" s="15">
        <v>2763446</v>
      </c>
      <c r="K54" s="16">
        <f t="shared" si="5"/>
        <v>917207</v>
      </c>
    </row>
    <row r="55" spans="1:11" ht="18" customHeight="1">
      <c r="A55" s="5" t="s">
        <v>94</v>
      </c>
      <c r="B55" s="642"/>
      <c r="C55" s="643"/>
      <c r="D55" s="644"/>
      <c r="F55" s="14"/>
      <c r="G55" s="14"/>
      <c r="H55" s="15"/>
      <c r="I55" s="50">
        <v>0</v>
      </c>
      <c r="J55" s="15"/>
      <c r="K55" s="16">
        <f t="shared" si="5"/>
        <v>0</v>
      </c>
    </row>
    <row r="56" spans="1:11" ht="18" customHeight="1">
      <c r="A56" s="5" t="s">
        <v>95</v>
      </c>
      <c r="B56" s="642"/>
      <c r="C56" s="643"/>
      <c r="D56" s="644"/>
      <c r="F56" s="14"/>
      <c r="G56" s="14"/>
      <c r="H56" s="15"/>
      <c r="I56" s="50">
        <v>0</v>
      </c>
      <c r="J56" s="15"/>
      <c r="K56" s="16">
        <f t="shared" si="5"/>
        <v>0</v>
      </c>
    </row>
    <row r="57" spans="1:11" ht="18" customHeight="1">
      <c r="A57" s="5" t="s">
        <v>96</v>
      </c>
      <c r="B57" s="642"/>
      <c r="C57" s="643"/>
      <c r="D57" s="644"/>
      <c r="F57" s="14"/>
      <c r="G57" s="14"/>
      <c r="H57" s="15"/>
      <c r="I57" s="50">
        <v>0</v>
      </c>
      <c r="J57" s="15"/>
      <c r="K57" s="16">
        <f t="shared" si="5"/>
        <v>0</v>
      </c>
    </row>
    <row r="58" spans="1:11" ht="18" customHeight="1">
      <c r="A58" s="5" t="s">
        <v>97</v>
      </c>
      <c r="B58" s="360"/>
      <c r="C58" s="361"/>
      <c r="D58" s="362"/>
      <c r="F58" s="14"/>
      <c r="G58" s="14"/>
      <c r="H58" s="15"/>
      <c r="I58" s="50">
        <v>0</v>
      </c>
      <c r="J58" s="15"/>
      <c r="K58" s="16">
        <f t="shared" si="5"/>
        <v>0</v>
      </c>
    </row>
    <row r="59" spans="1:11" ht="18" customHeight="1">
      <c r="A59" s="5" t="s">
        <v>98</v>
      </c>
      <c r="B59" s="642"/>
      <c r="C59" s="643"/>
      <c r="D59" s="644"/>
      <c r="F59" s="14"/>
      <c r="G59" s="14"/>
      <c r="H59" s="15"/>
      <c r="I59" s="50">
        <v>0</v>
      </c>
      <c r="J59" s="15"/>
      <c r="K59" s="16">
        <f t="shared" si="5"/>
        <v>0</v>
      </c>
    </row>
    <row r="60" spans="1:11" ht="18" customHeight="1">
      <c r="A60" s="5" t="s">
        <v>99</v>
      </c>
      <c r="B60" s="360"/>
      <c r="C60" s="361"/>
      <c r="D60" s="362"/>
      <c r="F60" s="14"/>
      <c r="G60" s="14"/>
      <c r="H60" s="15"/>
      <c r="I60" s="50">
        <v>0</v>
      </c>
      <c r="J60" s="15"/>
      <c r="K60" s="16">
        <f t="shared" si="5"/>
        <v>0</v>
      </c>
    </row>
    <row r="61" spans="1:11" ht="18" customHeight="1">
      <c r="A61" s="5" t="s">
        <v>100</v>
      </c>
      <c r="B61" s="369" t="s">
        <v>838</v>
      </c>
      <c r="C61" s="370"/>
      <c r="D61" s="362"/>
      <c r="F61" s="14"/>
      <c r="G61" s="14"/>
      <c r="H61" s="15">
        <v>3617963</v>
      </c>
      <c r="I61" s="50">
        <v>829781</v>
      </c>
      <c r="J61" s="15">
        <v>1495645</v>
      </c>
      <c r="K61" s="16">
        <f t="shared" si="5"/>
        <v>2952099</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6</v>
      </c>
      <c r="G64" s="18">
        <f t="shared" si="6"/>
        <v>0</v>
      </c>
      <c r="H64" s="16">
        <f t="shared" si="6"/>
        <v>9092472</v>
      </c>
      <c r="I64" s="16">
        <f t="shared" si="6"/>
        <v>911790</v>
      </c>
      <c r="J64" s="16">
        <f t="shared" si="6"/>
        <v>4259091</v>
      </c>
      <c r="K64" s="16">
        <f t="shared" si="6"/>
        <v>5745171</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0</v>
      </c>
      <c r="I74" s="53">
        <f t="shared" si="7"/>
        <v>0</v>
      </c>
      <c r="J74" s="21">
        <f t="shared" si="7"/>
        <v>0</v>
      </c>
      <c r="K74" s="17">
        <f t="shared" si="7"/>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v>964</v>
      </c>
      <c r="H77" s="15">
        <v>81050</v>
      </c>
      <c r="I77" s="50">
        <v>0</v>
      </c>
      <c r="J77" s="15"/>
      <c r="K77" s="16">
        <f>(H77+I77)-J77</f>
        <v>81050</v>
      </c>
    </row>
    <row r="78" spans="1:11" ht="18" customHeight="1">
      <c r="A78" s="5" t="s">
        <v>108</v>
      </c>
      <c r="B78" s="341" t="s">
        <v>55</v>
      </c>
      <c r="F78" s="14"/>
      <c r="G78" s="14"/>
      <c r="H78" s="15"/>
      <c r="I78" s="50">
        <v>0</v>
      </c>
      <c r="J78" s="15"/>
      <c r="K78" s="16">
        <f>(H78+I78)-J78</f>
        <v>0</v>
      </c>
    </row>
    <row r="79" spans="1:11" ht="18" customHeight="1">
      <c r="A79" s="5" t="s">
        <v>109</v>
      </c>
      <c r="B79" s="341" t="s">
        <v>13</v>
      </c>
      <c r="F79" s="14">
        <v>269</v>
      </c>
      <c r="G79" s="14">
        <v>117</v>
      </c>
      <c r="H79" s="15">
        <v>29364</v>
      </c>
      <c r="I79" s="50">
        <v>1438</v>
      </c>
      <c r="J79" s="15"/>
      <c r="K79" s="16">
        <f>(H79+I79)-J79</f>
        <v>30802</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8">SUM(F77:F80)</f>
        <v>269</v>
      </c>
      <c r="G82" s="21">
        <f t="shared" si="8"/>
        <v>1081</v>
      </c>
      <c r="H82" s="17">
        <f t="shared" si="8"/>
        <v>110414</v>
      </c>
      <c r="I82" s="17">
        <f t="shared" si="8"/>
        <v>1438</v>
      </c>
      <c r="J82" s="17">
        <f t="shared" si="8"/>
        <v>0</v>
      </c>
      <c r="K82" s="17">
        <f t="shared" si="8"/>
        <v>111852</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14">
        <v>13</v>
      </c>
      <c r="G87" s="14"/>
      <c r="H87" s="15">
        <v>1435</v>
      </c>
      <c r="I87" s="50">
        <v>73</v>
      </c>
      <c r="J87" s="15"/>
      <c r="K87" s="16">
        <f t="shared" si="10"/>
        <v>1508</v>
      </c>
    </row>
    <row r="88" spans="1:11" ht="18" customHeight="1">
      <c r="A88" s="5" t="s">
        <v>115</v>
      </c>
      <c r="B88" s="341" t="s">
        <v>116</v>
      </c>
      <c r="F88" s="14">
        <v>308</v>
      </c>
      <c r="G88" s="14"/>
      <c r="H88" s="15">
        <v>92756</v>
      </c>
      <c r="I88" s="50">
        <v>7003</v>
      </c>
      <c r="J88" s="15">
        <v>46120</v>
      </c>
      <c r="K88" s="16">
        <f t="shared" si="10"/>
        <v>53639</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v>30</v>
      </c>
      <c r="G91" s="14"/>
      <c r="H91" s="15">
        <v>3316</v>
      </c>
      <c r="I91" s="50">
        <v>146</v>
      </c>
      <c r="J91" s="15"/>
      <c r="K91" s="16">
        <f t="shared" si="10"/>
        <v>3462</v>
      </c>
    </row>
    <row r="92" spans="1:11" ht="18" customHeight="1">
      <c r="A92" s="5" t="s">
        <v>120</v>
      </c>
      <c r="B92" s="341" t="s">
        <v>121</v>
      </c>
      <c r="F92" s="38"/>
      <c r="G92" s="38"/>
      <c r="H92" s="39"/>
      <c r="I92" s="50">
        <f t="shared" si="9"/>
        <v>0</v>
      </c>
      <c r="J92" s="39"/>
      <c r="K92" s="16">
        <f t="shared" si="10"/>
        <v>0</v>
      </c>
    </row>
    <row r="93" spans="1:11" ht="18" customHeight="1">
      <c r="A93" s="5" t="s">
        <v>122</v>
      </c>
      <c r="B93" s="341" t="s">
        <v>123</v>
      </c>
      <c r="F93" s="14">
        <v>2045</v>
      </c>
      <c r="G93" s="14"/>
      <c r="H93" s="15">
        <v>237665</v>
      </c>
      <c r="I93" s="50">
        <v>42629</v>
      </c>
      <c r="J93" s="15"/>
      <c r="K93" s="16">
        <f t="shared" si="10"/>
        <v>280294</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2396</v>
      </c>
      <c r="G98" s="18">
        <f t="shared" si="11"/>
        <v>0</v>
      </c>
      <c r="H98" s="18">
        <f t="shared" si="11"/>
        <v>335172</v>
      </c>
      <c r="I98" s="18">
        <f t="shared" si="11"/>
        <v>49851</v>
      </c>
      <c r="J98" s="18">
        <f t="shared" si="11"/>
        <v>46120</v>
      </c>
      <c r="K98" s="18">
        <f t="shared" si="11"/>
        <v>338903</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1580</v>
      </c>
      <c r="G102" s="14"/>
      <c r="H102" s="15">
        <v>75089</v>
      </c>
      <c r="I102" s="50">
        <v>49784</v>
      </c>
      <c r="J102" s="15"/>
      <c r="K102" s="16">
        <f>(H102+I102)-J102</f>
        <v>124873</v>
      </c>
    </row>
    <row r="103" spans="1:11" ht="18" customHeight="1">
      <c r="A103" s="5" t="s">
        <v>132</v>
      </c>
      <c r="B103" s="641" t="s">
        <v>62</v>
      </c>
      <c r="C103" s="641"/>
      <c r="F103" s="14">
        <v>11</v>
      </c>
      <c r="G103" s="14"/>
      <c r="H103" s="15">
        <v>863</v>
      </c>
      <c r="I103" s="50">
        <v>440</v>
      </c>
      <c r="J103" s="15"/>
      <c r="K103" s="16">
        <f>(H103+I103)-J103</f>
        <v>1303</v>
      </c>
    </row>
    <row r="104" spans="1:11" ht="18" customHeight="1">
      <c r="A104" s="5" t="s">
        <v>128</v>
      </c>
      <c r="B104" s="642" t="s">
        <v>839</v>
      </c>
      <c r="C104" s="643"/>
      <c r="D104" s="644"/>
      <c r="F104" s="14">
        <v>31</v>
      </c>
      <c r="G104" s="14"/>
      <c r="H104" s="15">
        <v>954</v>
      </c>
      <c r="I104" s="50">
        <v>634</v>
      </c>
      <c r="J104" s="15"/>
      <c r="K104" s="16">
        <f>(H104+I104)-J104</f>
        <v>1588</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1622</v>
      </c>
      <c r="G108" s="18">
        <f t="shared" si="12"/>
        <v>0</v>
      </c>
      <c r="H108" s="16">
        <f t="shared" si="12"/>
        <v>76906</v>
      </c>
      <c r="I108" s="16">
        <f t="shared" si="12"/>
        <v>50858</v>
      </c>
      <c r="J108" s="16">
        <f t="shared" si="12"/>
        <v>0</v>
      </c>
      <c r="K108" s="16">
        <f t="shared" si="12"/>
        <v>127764</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1864000</v>
      </c>
    </row>
    <row r="112" spans="1:11" ht="18" customHeight="1">
      <c r="B112" s="2"/>
      <c r="E112" s="2"/>
      <c r="F112" s="22"/>
    </row>
    <row r="113" spans="1:6" ht="18" customHeight="1">
      <c r="A113" s="6"/>
      <c r="B113" s="2" t="s">
        <v>15</v>
      </c>
    </row>
    <row r="114" spans="1:6" ht="18" customHeight="1">
      <c r="A114" s="5" t="s">
        <v>171</v>
      </c>
      <c r="B114" s="341" t="s">
        <v>35</v>
      </c>
      <c r="F114" s="25">
        <v>0.67530000000000001</v>
      </c>
    </row>
    <row r="115" spans="1:6" ht="18" customHeight="1">
      <c r="A115" s="5"/>
      <c r="B115" s="2"/>
    </row>
    <row r="116" spans="1:6" ht="18" customHeight="1">
      <c r="A116" s="5" t="s">
        <v>170</v>
      </c>
      <c r="B116" s="2" t="s">
        <v>16</v>
      </c>
    </row>
    <row r="117" spans="1:6" ht="18" customHeight="1">
      <c r="A117" s="5" t="s">
        <v>172</v>
      </c>
      <c r="B117" s="341" t="s">
        <v>17</v>
      </c>
      <c r="F117" s="15">
        <v>119241000</v>
      </c>
    </row>
    <row r="118" spans="1:6" ht="18" customHeight="1">
      <c r="A118" s="5" t="s">
        <v>173</v>
      </c>
      <c r="B118" t="s">
        <v>18</v>
      </c>
      <c r="F118" s="15">
        <v>511000</v>
      </c>
    </row>
    <row r="119" spans="1:6" ht="18" customHeight="1">
      <c r="A119" s="5" t="s">
        <v>174</v>
      </c>
      <c r="B119" s="2" t="s">
        <v>19</v>
      </c>
      <c r="F119" s="17">
        <f>SUM(F117:F118)</f>
        <v>119752000</v>
      </c>
    </row>
    <row r="120" spans="1:6" ht="18" customHeight="1">
      <c r="A120" s="5"/>
      <c r="B120" s="2"/>
    </row>
    <row r="121" spans="1:6" ht="18" customHeight="1">
      <c r="A121" s="5" t="s">
        <v>167</v>
      </c>
      <c r="B121" s="2" t="s">
        <v>36</v>
      </c>
      <c r="F121" s="15">
        <v>108755000</v>
      </c>
    </row>
    <row r="122" spans="1:6" ht="18" customHeight="1">
      <c r="A122" s="5"/>
    </row>
    <row r="123" spans="1:6" ht="18" customHeight="1">
      <c r="A123" s="5" t="s">
        <v>175</v>
      </c>
      <c r="B123" s="2" t="s">
        <v>20</v>
      </c>
      <c r="F123" s="15">
        <f>+F119-F121</f>
        <v>10997000</v>
      </c>
    </row>
    <row r="124" spans="1:6" ht="18" customHeight="1">
      <c r="A124" s="5"/>
    </row>
    <row r="125" spans="1:6" ht="18" customHeight="1">
      <c r="A125" s="5" t="s">
        <v>176</v>
      </c>
      <c r="B125" s="2" t="s">
        <v>21</v>
      </c>
      <c r="F125" s="15">
        <v>-828000</v>
      </c>
    </row>
    <row r="126" spans="1:6" ht="18" customHeight="1">
      <c r="A126" s="5"/>
    </row>
    <row r="127" spans="1:6" ht="18" customHeight="1">
      <c r="A127" s="5" t="s">
        <v>177</v>
      </c>
      <c r="B127" s="2" t="s">
        <v>22</v>
      </c>
      <c r="F127" s="15">
        <f>+F123+F125</f>
        <v>10169000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4454</v>
      </c>
      <c r="G141" s="41">
        <f t="shared" si="14"/>
        <v>172108</v>
      </c>
      <c r="H141" s="41">
        <f t="shared" si="14"/>
        <v>424923</v>
      </c>
      <c r="I141" s="41">
        <f t="shared" si="14"/>
        <v>222440</v>
      </c>
      <c r="J141" s="41">
        <f t="shared" si="14"/>
        <v>24400</v>
      </c>
      <c r="K141" s="41">
        <f t="shared" si="14"/>
        <v>622963</v>
      </c>
    </row>
    <row r="142" spans="1:11" ht="18" customHeight="1">
      <c r="A142" s="5" t="s">
        <v>142</v>
      </c>
      <c r="B142" s="2" t="s">
        <v>65</v>
      </c>
      <c r="F142" s="41">
        <f t="shared" ref="F142:K142" si="15">F49</f>
        <v>5120</v>
      </c>
      <c r="G142" s="41">
        <f t="shared" si="15"/>
        <v>85</v>
      </c>
      <c r="H142" s="41">
        <f t="shared" si="15"/>
        <v>159458</v>
      </c>
      <c r="I142" s="41">
        <f t="shared" si="15"/>
        <v>105720</v>
      </c>
      <c r="J142" s="41">
        <f t="shared" si="15"/>
        <v>0</v>
      </c>
      <c r="K142" s="41">
        <f t="shared" si="15"/>
        <v>265178</v>
      </c>
    </row>
    <row r="143" spans="1:11" ht="18" customHeight="1">
      <c r="A143" s="5" t="s">
        <v>144</v>
      </c>
      <c r="B143" s="2" t="s">
        <v>66</v>
      </c>
      <c r="F143" s="41">
        <f t="shared" ref="F143:K143" si="16">F64</f>
        <v>6</v>
      </c>
      <c r="G143" s="41">
        <f t="shared" si="16"/>
        <v>0</v>
      </c>
      <c r="H143" s="41">
        <f t="shared" si="16"/>
        <v>9092472</v>
      </c>
      <c r="I143" s="41">
        <f t="shared" si="16"/>
        <v>911790</v>
      </c>
      <c r="J143" s="41">
        <f t="shared" si="16"/>
        <v>4259091</v>
      </c>
      <c r="K143" s="41">
        <f t="shared" si="16"/>
        <v>5745171</v>
      </c>
    </row>
    <row r="144" spans="1:11" ht="18" customHeight="1">
      <c r="A144" s="5" t="s">
        <v>146</v>
      </c>
      <c r="B144" s="2" t="s">
        <v>67</v>
      </c>
      <c r="F144" s="41">
        <f t="shared" ref="F144:K144" si="17">F74</f>
        <v>0</v>
      </c>
      <c r="G144" s="41">
        <f t="shared" si="17"/>
        <v>0</v>
      </c>
      <c r="H144" s="41">
        <f t="shared" si="17"/>
        <v>0</v>
      </c>
      <c r="I144" s="41">
        <f t="shared" si="17"/>
        <v>0</v>
      </c>
      <c r="J144" s="41">
        <f t="shared" si="17"/>
        <v>0</v>
      </c>
      <c r="K144" s="41">
        <f t="shared" si="17"/>
        <v>0</v>
      </c>
    </row>
    <row r="145" spans="1:11" ht="18" customHeight="1">
      <c r="A145" s="5" t="s">
        <v>148</v>
      </c>
      <c r="B145" s="2" t="s">
        <v>68</v>
      </c>
      <c r="F145" s="41">
        <f t="shared" ref="F145:K145" si="18">F82</f>
        <v>269</v>
      </c>
      <c r="G145" s="41">
        <f t="shared" si="18"/>
        <v>1081</v>
      </c>
      <c r="H145" s="41">
        <f t="shared" si="18"/>
        <v>110414</v>
      </c>
      <c r="I145" s="41">
        <f t="shared" si="18"/>
        <v>1438</v>
      </c>
      <c r="J145" s="41">
        <f t="shared" si="18"/>
        <v>0</v>
      </c>
      <c r="K145" s="41">
        <f t="shared" si="18"/>
        <v>111852</v>
      </c>
    </row>
    <row r="146" spans="1:11" ht="18" customHeight="1">
      <c r="A146" s="5" t="s">
        <v>150</v>
      </c>
      <c r="B146" s="2" t="s">
        <v>69</v>
      </c>
      <c r="F146" s="41">
        <f t="shared" ref="F146:K146" si="19">F98</f>
        <v>2396</v>
      </c>
      <c r="G146" s="41">
        <f t="shared" si="19"/>
        <v>0</v>
      </c>
      <c r="H146" s="41">
        <f t="shared" si="19"/>
        <v>335172</v>
      </c>
      <c r="I146" s="41">
        <f t="shared" si="19"/>
        <v>49851</v>
      </c>
      <c r="J146" s="41">
        <f t="shared" si="19"/>
        <v>46120</v>
      </c>
      <c r="K146" s="41">
        <f t="shared" si="19"/>
        <v>338903</v>
      </c>
    </row>
    <row r="147" spans="1:11" ht="18" customHeight="1">
      <c r="A147" s="5" t="s">
        <v>153</v>
      </c>
      <c r="B147" s="2" t="s">
        <v>61</v>
      </c>
      <c r="F147" s="18">
        <f t="shared" ref="F147:K147" si="20">F108</f>
        <v>1622</v>
      </c>
      <c r="G147" s="18">
        <f t="shared" si="20"/>
        <v>0</v>
      </c>
      <c r="H147" s="18">
        <f t="shared" si="20"/>
        <v>76906</v>
      </c>
      <c r="I147" s="18">
        <f t="shared" si="20"/>
        <v>50858</v>
      </c>
      <c r="J147" s="18">
        <f t="shared" si="20"/>
        <v>0</v>
      </c>
      <c r="K147" s="18">
        <f t="shared" si="20"/>
        <v>127764</v>
      </c>
    </row>
    <row r="148" spans="1:11" ht="18" customHeight="1">
      <c r="A148" s="5" t="s">
        <v>155</v>
      </c>
      <c r="B148" s="2" t="s">
        <v>70</v>
      </c>
      <c r="F148" s="42" t="s">
        <v>73</v>
      </c>
      <c r="G148" s="42" t="s">
        <v>73</v>
      </c>
      <c r="H148" s="43" t="s">
        <v>73</v>
      </c>
      <c r="I148" s="43" t="s">
        <v>73</v>
      </c>
      <c r="J148" s="43" t="s">
        <v>73</v>
      </c>
      <c r="K148" s="37">
        <f>F111</f>
        <v>1864000</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3507173</v>
      </c>
      <c r="I150" s="18">
        <f>I18</f>
        <v>0</v>
      </c>
      <c r="J150" s="18">
        <f>J18</f>
        <v>2999071</v>
      </c>
      <c r="K150" s="18">
        <f>K18</f>
        <v>508102</v>
      </c>
    </row>
    <row r="151" spans="1:11" ht="18" customHeight="1">
      <c r="B151" s="2"/>
      <c r="F151" s="48"/>
      <c r="G151" s="48"/>
      <c r="H151" s="48"/>
      <c r="I151" s="48"/>
      <c r="J151" s="48"/>
      <c r="K151" s="48"/>
    </row>
    <row r="152" spans="1:11" ht="18" customHeight="1">
      <c r="A152" s="6" t="s">
        <v>165</v>
      </c>
      <c r="B152" s="2" t="s">
        <v>26</v>
      </c>
      <c r="F152" s="49">
        <f t="shared" ref="F152:K152" si="22">SUM(F141:F150)</f>
        <v>13867</v>
      </c>
      <c r="G152" s="49">
        <f t="shared" si="22"/>
        <v>173274</v>
      </c>
      <c r="H152" s="49">
        <f t="shared" si="22"/>
        <v>13706518</v>
      </c>
      <c r="I152" s="49">
        <f t="shared" si="22"/>
        <v>1342097</v>
      </c>
      <c r="J152" s="49">
        <f t="shared" si="22"/>
        <v>7328682</v>
      </c>
      <c r="K152" s="49">
        <f t="shared" si="22"/>
        <v>9583933</v>
      </c>
    </row>
    <row r="154" spans="1:11" ht="18" customHeight="1">
      <c r="A154" s="6" t="s">
        <v>168</v>
      </c>
      <c r="B154" s="2" t="s">
        <v>28</v>
      </c>
      <c r="F154" s="64">
        <f>K152/F121</f>
        <v>8.812406785894901E-2</v>
      </c>
    </row>
    <row r="155" spans="1:11" ht="18" customHeight="1">
      <c r="A155" s="6" t="s">
        <v>169</v>
      </c>
      <c r="B155" s="2" t="s">
        <v>72</v>
      </c>
      <c r="F155" s="64">
        <f>K152/F127</f>
        <v>0.94246563083882384</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zoomScale="70" zoomScaleNormal="70" workbookViewId="0">
      <selection activeCell="H1" sqref="H1:N13"/>
    </sheetView>
  </sheetViews>
  <sheetFormatPr defaultRowHeight="15.75"/>
  <cols>
    <col min="1" max="1" width="11.85546875" style="567" customWidth="1"/>
    <col min="2" max="2" width="38.7109375" style="567" customWidth="1"/>
    <col min="3" max="3" width="24.42578125" style="572" bestFit="1" customWidth="1"/>
    <col min="4" max="4" width="13.140625" style="567" customWidth="1"/>
    <col min="5" max="5" width="22" style="573" bestFit="1" customWidth="1"/>
    <col min="6" max="6" width="14" style="551" bestFit="1" customWidth="1"/>
    <col min="7" max="7" width="20.7109375" style="551" bestFit="1" customWidth="1"/>
    <col min="8" max="8" width="11.140625" style="551" bestFit="1" customWidth="1"/>
    <col min="9" max="9" width="16.85546875" style="551" bestFit="1" customWidth="1"/>
    <col min="10" max="10" width="12" style="551" bestFit="1" customWidth="1"/>
    <col min="11" max="14" width="9.140625" style="551"/>
    <col min="15" max="15" width="13.85546875" style="551" bestFit="1" customWidth="1"/>
    <col min="16" max="16384" width="9.140625" style="551"/>
  </cols>
  <sheetData>
    <row r="1" spans="1:15" ht="61.5">
      <c r="A1" s="549" t="s">
        <v>951</v>
      </c>
      <c r="B1" s="549"/>
      <c r="C1" s="549"/>
      <c r="D1" s="549"/>
      <c r="E1" s="550"/>
    </row>
    <row r="2" spans="1:15" ht="31.5">
      <c r="A2" s="552" t="s">
        <v>201</v>
      </c>
      <c r="B2" s="552" t="s">
        <v>202</v>
      </c>
      <c r="C2" s="553" t="s">
        <v>952</v>
      </c>
      <c r="D2" s="554" t="s">
        <v>203</v>
      </c>
      <c r="E2" s="555" t="s">
        <v>953</v>
      </c>
      <c r="F2" s="554" t="s">
        <v>954</v>
      </c>
      <c r="G2" s="554" t="s">
        <v>955</v>
      </c>
      <c r="H2" s="556"/>
    </row>
    <row r="3" spans="1:15">
      <c r="A3" s="557">
        <v>1</v>
      </c>
      <c r="B3" s="557" t="s">
        <v>204</v>
      </c>
      <c r="C3" s="558">
        <v>305141600</v>
      </c>
      <c r="D3" s="559">
        <v>7.46E-2</v>
      </c>
      <c r="E3" s="558">
        <f t="shared" ref="E3:E49" si="0">D3*C3</f>
        <v>22763563.359999999</v>
      </c>
      <c r="F3" s="560">
        <v>0.32969425537103964</v>
      </c>
      <c r="G3" s="561">
        <f t="shared" ref="G3:G49" si="1">F3*E3</f>
        <v>7505016.0715666804</v>
      </c>
    </row>
    <row r="4" spans="1:15">
      <c r="A4" s="557">
        <v>2</v>
      </c>
      <c r="B4" s="557" t="s">
        <v>956</v>
      </c>
      <c r="C4" s="558">
        <v>1296211436.2</v>
      </c>
      <c r="D4" s="559">
        <v>7.4700000000000003E-2</v>
      </c>
      <c r="E4" s="558">
        <f t="shared" si="0"/>
        <v>96826994.284140006</v>
      </c>
      <c r="F4" s="560">
        <v>0.67389714949950152</v>
      </c>
      <c r="G4" s="561">
        <f t="shared" si="1"/>
        <v>65251435.442686476</v>
      </c>
      <c r="I4" s="562">
        <f>G4+G49</f>
        <v>73498008.777051061</v>
      </c>
      <c r="J4" s="551" t="s">
        <v>957</v>
      </c>
      <c r="O4" s="562"/>
    </row>
    <row r="5" spans="1:15">
      <c r="A5" s="557">
        <v>3</v>
      </c>
      <c r="B5" s="557" t="s">
        <v>958</v>
      </c>
      <c r="C5" s="558">
        <v>267282414.99999997</v>
      </c>
      <c r="D5" s="559">
        <v>0.14430000000000001</v>
      </c>
      <c r="E5" s="558">
        <f t="shared" si="0"/>
        <v>38568852.484499998</v>
      </c>
      <c r="F5" s="560">
        <v>0.4548988539457815</v>
      </c>
      <c r="G5" s="561">
        <f t="shared" si="1"/>
        <v>17544926.793202955</v>
      </c>
    </row>
    <row r="6" spans="1:15">
      <c r="A6" s="557">
        <v>4</v>
      </c>
      <c r="B6" s="557" t="s">
        <v>959</v>
      </c>
      <c r="C6" s="558">
        <v>468876700</v>
      </c>
      <c r="D6" s="559">
        <v>8.1000000000000003E-2</v>
      </c>
      <c r="E6" s="558">
        <f t="shared" si="0"/>
        <v>37979012.700000003</v>
      </c>
      <c r="F6" s="560">
        <v>0.67606399898984748</v>
      </c>
      <c r="G6" s="561">
        <f t="shared" si="1"/>
        <v>25676243.203648206</v>
      </c>
    </row>
    <row r="7" spans="1:15">
      <c r="A7" s="557">
        <v>5</v>
      </c>
      <c r="B7" s="557" t="s">
        <v>960</v>
      </c>
      <c r="C7" s="558">
        <v>339660806.00999999</v>
      </c>
      <c r="D7" s="559">
        <v>5.8200000000000002E-2</v>
      </c>
      <c r="E7" s="558">
        <f t="shared" si="0"/>
        <v>19768258.909782</v>
      </c>
      <c r="F7" s="560">
        <v>0.59139968239304896</v>
      </c>
      <c r="G7" s="561">
        <f t="shared" si="1"/>
        <v>11690942.040708635</v>
      </c>
    </row>
    <row r="8" spans="1:15">
      <c r="A8" s="557">
        <v>6</v>
      </c>
      <c r="B8" s="557" t="s">
        <v>961</v>
      </c>
      <c r="C8" s="558">
        <v>107438200</v>
      </c>
      <c r="D8" s="559">
        <v>9.9500000000000005E-2</v>
      </c>
      <c r="E8" s="558">
        <f t="shared" si="0"/>
        <v>10690100.9</v>
      </c>
      <c r="F8" s="560">
        <v>0.2849731049479266</v>
      </c>
      <c r="G8" s="561">
        <f t="shared" si="1"/>
        <v>3046391.2456796248</v>
      </c>
    </row>
    <row r="9" spans="1:15">
      <c r="A9" s="557">
        <v>8</v>
      </c>
      <c r="B9" s="557" t="s">
        <v>962</v>
      </c>
      <c r="C9" s="558">
        <v>489187300</v>
      </c>
      <c r="D9" s="559">
        <v>6.93E-2</v>
      </c>
      <c r="E9" s="558">
        <f t="shared" si="0"/>
        <v>33900679.890000001</v>
      </c>
      <c r="F9" s="560">
        <v>0.63053146119519854</v>
      </c>
      <c r="G9" s="561">
        <f t="shared" si="1"/>
        <v>21375445.226552382</v>
      </c>
    </row>
    <row r="10" spans="1:15">
      <c r="A10" s="557">
        <v>9</v>
      </c>
      <c r="B10" s="557" t="s">
        <v>963</v>
      </c>
      <c r="C10" s="558">
        <v>2172517900</v>
      </c>
      <c r="D10" s="559">
        <v>4.4200000000000003E-2</v>
      </c>
      <c r="E10" s="558">
        <f t="shared" si="0"/>
        <v>96025291.180000007</v>
      </c>
      <c r="F10" s="560">
        <v>0.3618815998442802</v>
      </c>
      <c r="G10" s="561">
        <f t="shared" si="1"/>
        <v>34749785.997731254</v>
      </c>
    </row>
    <row r="11" spans="1:15">
      <c r="A11" s="557">
        <v>10</v>
      </c>
      <c r="B11" s="557" t="s">
        <v>964</v>
      </c>
      <c r="C11" s="558">
        <v>58994300</v>
      </c>
      <c r="D11" s="559">
        <v>7.3599999999999999E-2</v>
      </c>
      <c r="E11" s="558">
        <f t="shared" si="0"/>
        <v>4341980.4799999995</v>
      </c>
      <c r="F11" s="560">
        <v>0.40547706020548241</v>
      </c>
      <c r="G11" s="561">
        <f t="shared" si="1"/>
        <v>1760573.4804999891</v>
      </c>
    </row>
    <row r="12" spans="1:15">
      <c r="A12" s="557">
        <v>11</v>
      </c>
      <c r="B12" s="557" t="s">
        <v>965</v>
      </c>
      <c r="C12" s="558">
        <v>410191079.12</v>
      </c>
      <c r="D12" s="559">
        <v>6.8699999999999997E-2</v>
      </c>
      <c r="E12" s="558">
        <f t="shared" si="0"/>
        <v>28180127.135543998</v>
      </c>
      <c r="F12" s="560">
        <v>0.34991443794236188</v>
      </c>
      <c r="G12" s="561">
        <f t="shared" si="1"/>
        <v>9860633.3477781788</v>
      </c>
    </row>
    <row r="13" spans="1:15">
      <c r="A13" s="557">
        <v>12</v>
      </c>
      <c r="B13" s="557" t="s">
        <v>966</v>
      </c>
      <c r="C13" s="558">
        <v>699430000</v>
      </c>
      <c r="D13" s="559">
        <v>5.7799999999999997E-2</v>
      </c>
      <c r="E13" s="558">
        <f t="shared" si="0"/>
        <v>40427054</v>
      </c>
      <c r="F13" s="560">
        <v>0.30256556013868402</v>
      </c>
      <c r="G13" s="561">
        <f t="shared" si="1"/>
        <v>12231834.238266826</v>
      </c>
    </row>
    <row r="14" spans="1:15">
      <c r="A14" s="557">
        <v>13</v>
      </c>
      <c r="B14" s="557" t="s">
        <v>967</v>
      </c>
      <c r="C14" s="558">
        <v>129714272.97999999</v>
      </c>
      <c r="D14" s="559">
        <v>0.15770000000000001</v>
      </c>
      <c r="E14" s="558">
        <f t="shared" si="0"/>
        <v>20455940.848945998</v>
      </c>
      <c r="F14" s="560">
        <v>0.58243306112610771</v>
      </c>
      <c r="G14" s="561">
        <f t="shared" si="1"/>
        <v>11914216.246866208</v>
      </c>
    </row>
    <row r="15" spans="1:15">
      <c r="A15" s="557">
        <v>15</v>
      </c>
      <c r="B15" s="557" t="s">
        <v>968</v>
      </c>
      <c r="C15" s="558">
        <v>486467025.68000001</v>
      </c>
      <c r="D15" s="559">
        <v>7.4999999999999997E-2</v>
      </c>
      <c r="E15" s="558">
        <f t="shared" si="0"/>
        <v>36485026.925999999</v>
      </c>
      <c r="F15" s="560">
        <v>0.47092027350316634</v>
      </c>
      <c r="G15" s="561">
        <f t="shared" si="1"/>
        <v>17181538.858762309</v>
      </c>
    </row>
    <row r="16" spans="1:15">
      <c r="A16" s="557">
        <v>16</v>
      </c>
      <c r="B16" s="557" t="s">
        <v>969</v>
      </c>
      <c r="C16" s="558">
        <v>260290132</v>
      </c>
      <c r="D16" s="559">
        <v>9.9400000000000002E-2</v>
      </c>
      <c r="E16" s="558">
        <f t="shared" si="0"/>
        <v>25872839.1208</v>
      </c>
      <c r="F16" s="560">
        <v>0.47299560467260393</v>
      </c>
      <c r="G16" s="561">
        <f t="shared" si="1"/>
        <v>12237739.184539799</v>
      </c>
    </row>
    <row r="17" spans="1:7">
      <c r="A17" s="557">
        <v>17</v>
      </c>
      <c r="B17" s="557" t="s">
        <v>970</v>
      </c>
      <c r="C17" s="558">
        <v>45202561.060000002</v>
      </c>
      <c r="D17" s="559">
        <v>9.1200000000000003E-2</v>
      </c>
      <c r="E17" s="558">
        <f t="shared" si="0"/>
        <v>4122473.5686720004</v>
      </c>
      <c r="F17" s="560">
        <v>0.73872629933608425</v>
      </c>
      <c r="G17" s="561">
        <f t="shared" si="1"/>
        <v>3045379.6434958875</v>
      </c>
    </row>
    <row r="18" spans="1:7">
      <c r="A18" s="557">
        <v>18</v>
      </c>
      <c r="B18" s="557" t="s">
        <v>971</v>
      </c>
      <c r="C18" s="558">
        <v>167893072.75</v>
      </c>
      <c r="D18" s="559">
        <v>6.2300000000000001E-2</v>
      </c>
      <c r="E18" s="558">
        <f t="shared" si="0"/>
        <v>10459738.432325</v>
      </c>
      <c r="F18" s="560">
        <v>0.51668169129316144</v>
      </c>
      <c r="G18" s="561">
        <f t="shared" si="1"/>
        <v>5404355.3436977621</v>
      </c>
    </row>
    <row r="19" spans="1:7">
      <c r="A19" s="557">
        <v>19</v>
      </c>
      <c r="B19" s="557" t="s">
        <v>972</v>
      </c>
      <c r="C19" s="558">
        <v>416388900</v>
      </c>
      <c r="D19" s="559">
        <v>6.0499999999999998E-2</v>
      </c>
      <c r="E19" s="558">
        <f t="shared" si="0"/>
        <v>25191528.449999999</v>
      </c>
      <c r="F19" s="560">
        <v>0.46347180517218384</v>
      </c>
      <c r="G19" s="561">
        <f t="shared" si="1"/>
        <v>11675563.165767927</v>
      </c>
    </row>
    <row r="20" spans="1:7">
      <c r="A20" s="557">
        <v>22</v>
      </c>
      <c r="B20" s="557" t="s">
        <v>973</v>
      </c>
      <c r="C20" s="558">
        <v>289286621</v>
      </c>
      <c r="D20" s="559">
        <v>4.2700000000000002E-2</v>
      </c>
      <c r="E20" s="558">
        <f t="shared" si="0"/>
        <v>12352538.716700001</v>
      </c>
      <c r="F20" s="560">
        <v>0.35252461830695991</v>
      </c>
      <c r="G20" s="561">
        <f t="shared" si="1"/>
        <v>4354573.9962266125</v>
      </c>
    </row>
    <row r="21" spans="1:7">
      <c r="A21" s="557">
        <v>23</v>
      </c>
      <c r="B21" s="557" t="s">
        <v>974</v>
      </c>
      <c r="C21" s="558">
        <v>554132400</v>
      </c>
      <c r="D21" s="559">
        <v>4.2500000000000003E-2</v>
      </c>
      <c r="E21" s="558">
        <f t="shared" si="0"/>
        <v>23550627</v>
      </c>
      <c r="F21" s="560">
        <v>0.20292828066970864</v>
      </c>
      <c r="G21" s="561">
        <f t="shared" si="1"/>
        <v>4779088.2458036188</v>
      </c>
    </row>
    <row r="22" spans="1:7">
      <c r="A22" s="557">
        <v>24</v>
      </c>
      <c r="B22" s="557" t="s">
        <v>975</v>
      </c>
      <c r="C22" s="558">
        <v>415164300.19</v>
      </c>
      <c r="D22" s="559">
        <v>5.8099999999999999E-2</v>
      </c>
      <c r="E22" s="558">
        <f t="shared" si="0"/>
        <v>24121045.841038998</v>
      </c>
      <c r="F22" s="560">
        <v>0.5677458402703941</v>
      </c>
      <c r="G22" s="561">
        <f t="shared" si="1"/>
        <v>13694623.43922138</v>
      </c>
    </row>
    <row r="23" spans="1:7">
      <c r="A23" s="557">
        <v>27</v>
      </c>
      <c r="B23" s="557" t="s">
        <v>976</v>
      </c>
      <c r="C23" s="558">
        <v>317898800</v>
      </c>
      <c r="D23" s="559">
        <v>5.2600000000000001E-2</v>
      </c>
      <c r="E23" s="558">
        <f t="shared" si="0"/>
        <v>16721476.880000001</v>
      </c>
      <c r="F23" s="560">
        <v>0.62838619714627408</v>
      </c>
      <c r="G23" s="561">
        <f t="shared" si="1"/>
        <v>10507545.267292544</v>
      </c>
    </row>
    <row r="24" spans="1:7">
      <c r="A24" s="557">
        <v>28</v>
      </c>
      <c r="B24" s="557" t="s">
        <v>977</v>
      </c>
      <c r="C24" s="558">
        <v>157935991.21000001</v>
      </c>
      <c r="D24" s="559">
        <v>7.3700000000000002E-2</v>
      </c>
      <c r="E24" s="558">
        <f t="shared" si="0"/>
        <v>11639882.552177001</v>
      </c>
      <c r="F24" s="560">
        <v>0.39578457011277202</v>
      </c>
      <c r="G24" s="561">
        <f t="shared" si="1"/>
        <v>4606885.91207653</v>
      </c>
    </row>
    <row r="25" spans="1:7">
      <c r="A25" s="557">
        <v>29</v>
      </c>
      <c r="B25" s="557" t="s">
        <v>978</v>
      </c>
      <c r="C25" s="558">
        <v>605106300</v>
      </c>
      <c r="D25" s="559">
        <v>7.7499999999999999E-2</v>
      </c>
      <c r="E25" s="558">
        <f t="shared" si="0"/>
        <v>46895738.25</v>
      </c>
      <c r="F25" s="560">
        <v>0.41189146647678299</v>
      </c>
      <c r="G25" s="561">
        <f t="shared" si="1"/>
        <v>19315954.399303865</v>
      </c>
    </row>
    <row r="26" spans="1:7">
      <c r="A26" s="557">
        <v>30</v>
      </c>
      <c r="B26" s="557" t="s">
        <v>979</v>
      </c>
      <c r="C26" s="558">
        <v>64508976.840000004</v>
      </c>
      <c r="D26" s="559">
        <v>8.0299999999999996E-2</v>
      </c>
      <c r="E26" s="558">
        <f t="shared" si="0"/>
        <v>5180070.8402519999</v>
      </c>
      <c r="F26" s="560">
        <v>0.31270064644964063</v>
      </c>
      <c r="G26" s="561">
        <f t="shared" si="1"/>
        <v>1619811.5004017334</v>
      </c>
    </row>
    <row r="27" spans="1:7">
      <c r="A27" s="557">
        <v>32</v>
      </c>
      <c r="B27" s="557" t="s">
        <v>210</v>
      </c>
      <c r="C27" s="558">
        <v>157913800</v>
      </c>
      <c r="D27" s="559">
        <v>8.7900000000000006E-2</v>
      </c>
      <c r="E27" s="558">
        <f t="shared" si="0"/>
        <v>13880623.020000001</v>
      </c>
      <c r="F27" s="560">
        <v>0.24976642024685691</v>
      </c>
      <c r="G27" s="561">
        <f t="shared" si="1"/>
        <v>3466913.5225015166</v>
      </c>
    </row>
    <row r="28" spans="1:7">
      <c r="A28" s="557">
        <v>33</v>
      </c>
      <c r="B28" s="557" t="s">
        <v>211</v>
      </c>
      <c r="C28" s="558">
        <v>251985380</v>
      </c>
      <c r="D28" s="559">
        <v>5.1400000000000001E-2</v>
      </c>
      <c r="E28" s="558">
        <f t="shared" si="0"/>
        <v>12952048.532</v>
      </c>
      <c r="F28" s="560">
        <v>0.30000021456173265</v>
      </c>
      <c r="G28" s="561">
        <f t="shared" si="1"/>
        <v>3885617.3386139744</v>
      </c>
    </row>
    <row r="29" spans="1:7">
      <c r="A29" s="557">
        <v>34</v>
      </c>
      <c r="B29" s="557" t="s">
        <v>980</v>
      </c>
      <c r="C29" s="558">
        <v>205146301.59999999</v>
      </c>
      <c r="D29" s="559">
        <v>9.0700000000000003E-2</v>
      </c>
      <c r="E29" s="558">
        <f t="shared" si="0"/>
        <v>18606769.555119999</v>
      </c>
      <c r="F29" s="560">
        <v>0.56502572184670441</v>
      </c>
      <c r="G29" s="561">
        <f t="shared" si="1"/>
        <v>10513303.399116961</v>
      </c>
    </row>
    <row r="30" spans="1:7">
      <c r="A30" s="557">
        <v>35</v>
      </c>
      <c r="B30" s="557" t="s">
        <v>981</v>
      </c>
      <c r="C30" s="558">
        <v>144785724.24000001</v>
      </c>
      <c r="D30" s="559">
        <v>8.14E-2</v>
      </c>
      <c r="E30" s="558">
        <f t="shared" si="0"/>
        <v>11785557.953136001</v>
      </c>
      <c r="F30" s="560">
        <v>0.17131515115560342</v>
      </c>
      <c r="G30" s="561">
        <f t="shared" si="1"/>
        <v>2019044.642194618</v>
      </c>
    </row>
    <row r="31" spans="1:7">
      <c r="A31" s="557">
        <v>37</v>
      </c>
      <c r="B31" s="557" t="s">
        <v>982</v>
      </c>
      <c r="C31" s="558">
        <v>187483400</v>
      </c>
      <c r="D31" s="559">
        <v>5.4199999999999998E-2</v>
      </c>
      <c r="E31" s="558">
        <f t="shared" si="0"/>
        <v>10161600.279999999</v>
      </c>
      <c r="F31" s="560">
        <v>0.42621083274381177</v>
      </c>
      <c r="G31" s="561">
        <f t="shared" si="1"/>
        <v>4330984.1173485508</v>
      </c>
    </row>
    <row r="32" spans="1:7">
      <c r="A32" s="557">
        <v>38</v>
      </c>
      <c r="B32" s="557" t="s">
        <v>983</v>
      </c>
      <c r="C32" s="558">
        <v>222427643</v>
      </c>
      <c r="D32" s="559">
        <v>0.12330000000000001</v>
      </c>
      <c r="E32" s="558">
        <f t="shared" si="0"/>
        <v>27425328.381900001</v>
      </c>
      <c r="F32" s="560">
        <v>0.44006207301595091</v>
      </c>
      <c r="G32" s="561">
        <f t="shared" si="1"/>
        <v>12068846.860882109</v>
      </c>
    </row>
    <row r="33" spans="1:7">
      <c r="A33" s="557">
        <v>39</v>
      </c>
      <c r="B33" s="557" t="s">
        <v>984</v>
      </c>
      <c r="C33" s="558">
        <v>141935281.19999999</v>
      </c>
      <c r="D33" s="559">
        <v>6.6000000000000003E-2</v>
      </c>
      <c r="E33" s="558">
        <f t="shared" si="0"/>
        <v>9367728.5592</v>
      </c>
      <c r="F33" s="560">
        <v>0.72455580911181372</v>
      </c>
      <c r="G33" s="561">
        <f t="shared" si="1"/>
        <v>6787442.1457510013</v>
      </c>
    </row>
    <row r="34" spans="1:7">
      <c r="A34" s="557">
        <v>40</v>
      </c>
      <c r="B34" s="557" t="s">
        <v>985</v>
      </c>
      <c r="C34" s="558">
        <v>249134500</v>
      </c>
      <c r="D34" s="559">
        <v>7.2499999999999995E-2</v>
      </c>
      <c r="E34" s="558">
        <f t="shared" si="0"/>
        <v>18062251.25</v>
      </c>
      <c r="F34" s="560">
        <v>0.32099174237877437</v>
      </c>
      <c r="G34" s="561">
        <f t="shared" si="1"/>
        <v>5797833.5000206949</v>
      </c>
    </row>
    <row r="35" spans="1:7">
      <c r="A35" s="557">
        <v>43</v>
      </c>
      <c r="B35" s="557" t="s">
        <v>986</v>
      </c>
      <c r="C35" s="558">
        <v>393181941.31</v>
      </c>
      <c r="D35" s="559">
        <v>7.6999999999999999E-2</v>
      </c>
      <c r="E35" s="558">
        <f t="shared" si="0"/>
        <v>30275009.480870001</v>
      </c>
      <c r="F35" s="560">
        <v>0.33728661359672107</v>
      </c>
      <c r="G35" s="561">
        <f t="shared" si="1"/>
        <v>10211355.424411267</v>
      </c>
    </row>
    <row r="36" spans="1:7">
      <c r="A36" s="557">
        <v>44</v>
      </c>
      <c r="B36" s="557" t="s">
        <v>987</v>
      </c>
      <c r="C36" s="558">
        <v>426965000</v>
      </c>
      <c r="D36" s="559">
        <v>3.4000000000000002E-2</v>
      </c>
      <c r="E36" s="558">
        <f t="shared" si="0"/>
        <v>14516810.000000002</v>
      </c>
      <c r="F36" s="560">
        <v>0.29985604141577732</v>
      </c>
      <c r="G36" s="561">
        <f t="shared" si="1"/>
        <v>4352953.1805849709</v>
      </c>
    </row>
    <row r="37" spans="1:7">
      <c r="A37" s="557">
        <v>45</v>
      </c>
      <c r="B37" s="557" t="s">
        <v>988</v>
      </c>
      <c r="C37" s="558">
        <v>16638000</v>
      </c>
      <c r="D37" s="559">
        <v>0.10100000000000001</v>
      </c>
      <c r="E37" s="558">
        <f t="shared" si="0"/>
        <v>1680438</v>
      </c>
      <c r="F37" s="560">
        <v>0.38505714103131239</v>
      </c>
      <c r="G37" s="561">
        <f t="shared" si="1"/>
        <v>647064.65196037653</v>
      </c>
    </row>
    <row r="38" spans="1:7">
      <c r="A38" s="557">
        <v>48</v>
      </c>
      <c r="B38" s="557" t="s">
        <v>989</v>
      </c>
      <c r="C38" s="558">
        <v>281805557</v>
      </c>
      <c r="D38" s="559">
        <v>6.7000000000000004E-2</v>
      </c>
      <c r="E38" s="558">
        <f t="shared" si="0"/>
        <v>18880972.319000002</v>
      </c>
      <c r="F38" s="560">
        <v>0.37698338037002194</v>
      </c>
      <c r="G38" s="561">
        <f t="shared" si="1"/>
        <v>7117812.7694894327</v>
      </c>
    </row>
    <row r="39" spans="1:7">
      <c r="A39" s="557">
        <v>49</v>
      </c>
      <c r="B39" s="557" t="s">
        <v>990</v>
      </c>
      <c r="C39" s="558">
        <v>314944200</v>
      </c>
      <c r="D39" s="559">
        <v>5.8599999999999999E-2</v>
      </c>
      <c r="E39" s="558">
        <f t="shared" si="0"/>
        <v>18455730.120000001</v>
      </c>
      <c r="F39" s="560">
        <v>0.27482499666371457</v>
      </c>
      <c r="G39" s="561">
        <f t="shared" si="1"/>
        <v>5072095.9686554167</v>
      </c>
    </row>
    <row r="40" spans="1:7">
      <c r="A40" s="557">
        <v>51</v>
      </c>
      <c r="B40" s="557" t="s">
        <v>991</v>
      </c>
      <c r="C40" s="558">
        <v>222145392.25999999</v>
      </c>
      <c r="D40" s="559">
        <v>7.7499999999999999E-2</v>
      </c>
      <c r="E40" s="558">
        <f t="shared" si="0"/>
        <v>17216267.900149997</v>
      </c>
      <c r="F40" s="560">
        <v>0.69849545568011073</v>
      </c>
      <c r="G40" s="561">
        <f t="shared" si="1"/>
        <v>12025484.892026136</v>
      </c>
    </row>
    <row r="41" spans="1:7">
      <c r="A41" s="557">
        <v>55</v>
      </c>
      <c r="B41" s="557" t="s">
        <v>992</v>
      </c>
      <c r="C41" s="558">
        <v>118865004.14999999</v>
      </c>
      <c r="D41" s="559">
        <v>0.1125</v>
      </c>
      <c r="E41" s="558">
        <f t="shared" si="0"/>
        <v>13372312.966875</v>
      </c>
      <c r="F41" s="560">
        <v>0.33985120099099903</v>
      </c>
      <c r="G41" s="561">
        <f t="shared" si="1"/>
        <v>4544596.6218199776</v>
      </c>
    </row>
    <row r="42" spans="1:7">
      <c r="A42" s="557">
        <v>60</v>
      </c>
      <c r="B42" s="557" t="s">
        <v>1007</v>
      </c>
      <c r="C42" s="558">
        <v>48672580</v>
      </c>
      <c r="D42" s="559">
        <v>0.13689999999999999</v>
      </c>
      <c r="E42" s="558">
        <f t="shared" si="0"/>
        <v>6663276.2019999996</v>
      </c>
      <c r="F42" s="560">
        <v>0.36806149971754354</v>
      </c>
      <c r="G42" s="561">
        <f t="shared" si="1"/>
        <v>2452495.4319403376</v>
      </c>
    </row>
    <row r="43" spans="1:7">
      <c r="A43" s="557">
        <v>61</v>
      </c>
      <c r="B43" s="557" t="s">
        <v>214</v>
      </c>
      <c r="C43" s="558">
        <v>102693200</v>
      </c>
      <c r="D43" s="559">
        <v>6.59E-2</v>
      </c>
      <c r="E43" s="558">
        <f t="shared" si="0"/>
        <v>6767481.8799999999</v>
      </c>
      <c r="F43" s="560">
        <v>0.48482945346954726</v>
      </c>
      <c r="G43" s="561">
        <f t="shared" si="1"/>
        <v>3281074.5412454642</v>
      </c>
    </row>
    <row r="44" spans="1:7">
      <c r="A44" s="557">
        <v>62</v>
      </c>
      <c r="B44" s="557" t="s">
        <v>993</v>
      </c>
      <c r="C44" s="558">
        <v>261812322.84999999</v>
      </c>
      <c r="D44" s="559">
        <v>7.8100000000000003E-2</v>
      </c>
      <c r="E44" s="558">
        <f t="shared" si="0"/>
        <v>20447542.414585002</v>
      </c>
      <c r="F44" s="560">
        <v>0.16545726357531632</v>
      </c>
      <c r="G44" s="561">
        <f t="shared" si="1"/>
        <v>3383194.4147574506</v>
      </c>
    </row>
    <row r="45" spans="1:7">
      <c r="A45" s="557">
        <v>63</v>
      </c>
      <c r="B45" s="557" t="s">
        <v>994</v>
      </c>
      <c r="C45" s="558">
        <v>362415717.10000002</v>
      </c>
      <c r="D45" s="559">
        <v>4.1000000000000002E-2</v>
      </c>
      <c r="E45" s="558">
        <f t="shared" si="0"/>
        <v>14859044.401100002</v>
      </c>
      <c r="F45" s="560">
        <v>0.31977480389836133</v>
      </c>
      <c r="G45" s="561">
        <f t="shared" si="1"/>
        <v>4751548.0094787972</v>
      </c>
    </row>
    <row r="46" spans="1:7">
      <c r="A46" s="557">
        <v>2001</v>
      </c>
      <c r="B46" s="557" t="s">
        <v>1008</v>
      </c>
      <c r="C46" s="558">
        <v>118262189.89999999</v>
      </c>
      <c r="D46" s="559">
        <v>7.3236954436377399E-2</v>
      </c>
      <c r="E46" s="558">
        <f t="shared" si="0"/>
        <v>8661162.6132525112</v>
      </c>
      <c r="F46" s="560">
        <v>9.9689639363294058E-2</v>
      </c>
      <c r="G46" s="561">
        <f t="shared" si="1"/>
        <v>863428.17738198838</v>
      </c>
    </row>
    <row r="47" spans="1:7">
      <c r="A47" s="557">
        <v>2004</v>
      </c>
      <c r="B47" s="557" t="s">
        <v>1009</v>
      </c>
      <c r="C47" s="558">
        <v>299249967.76999998</v>
      </c>
      <c r="D47" s="559">
        <v>5.7700000000000001E-2</v>
      </c>
      <c r="E47" s="558">
        <f t="shared" si="0"/>
        <v>17266723.140329</v>
      </c>
      <c r="F47" s="560">
        <v>0.40646288814495918</v>
      </c>
      <c r="G47" s="561">
        <f t="shared" si="1"/>
        <v>7018282.1564175244</v>
      </c>
    </row>
    <row r="48" spans="1:7">
      <c r="A48" s="557">
        <v>5050</v>
      </c>
      <c r="B48" s="557" t="s">
        <v>950</v>
      </c>
      <c r="C48" s="558">
        <v>383323295</v>
      </c>
      <c r="D48" s="559">
        <v>6.7799999999999999E-2</v>
      </c>
      <c r="E48" s="558">
        <f t="shared" si="0"/>
        <v>25989319.401000001</v>
      </c>
      <c r="F48" s="560">
        <v>0.38632758908518372</v>
      </c>
      <c r="G48" s="561">
        <f t="shared" si="1"/>
        <v>10040391.106153121</v>
      </c>
    </row>
    <row r="49" spans="1:8">
      <c r="A49" s="557">
        <v>8992</v>
      </c>
      <c r="B49" s="557" t="s">
        <v>1010</v>
      </c>
      <c r="C49" s="563">
        <v>202364111.33000001</v>
      </c>
      <c r="D49" s="564">
        <v>0.220806470011225</v>
      </c>
      <c r="E49" s="563">
        <f t="shared" si="0"/>
        <v>44683305.079735845</v>
      </c>
      <c r="F49" s="565">
        <v>0.18455602869234616</v>
      </c>
      <c r="G49" s="566">
        <f t="shared" si="1"/>
        <v>8246573.3343645856</v>
      </c>
    </row>
    <row r="50" spans="1:8">
      <c r="C50" s="568">
        <f>SUM(C3:C49)</f>
        <v>15639071598.75</v>
      </c>
      <c r="E50" s="568">
        <f>SUM(E3:E49)</f>
        <v>1074498146.2011302</v>
      </c>
      <c r="F50" s="569"/>
      <c r="G50" s="570">
        <f>SUM(G3:G49)</f>
        <v>463908838.4988935</v>
      </c>
      <c r="H50" s="571"/>
    </row>
  </sheetData>
  <sortState ref="A3:G49">
    <sortCondition ref="A3:A49"/>
  </sortState>
  <pageMargins left="0.7" right="0.7" top="0.75" bottom="0.75" header="0.3" footer="0.3"/>
  <pageSetup scale="6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7"/>
  <sheetViews>
    <sheetView topLeftCell="A121" zoomScale="80" zoomScaleNormal="80" workbookViewId="0">
      <selection activeCell="F155" sqref="F155"/>
    </sheetView>
  </sheetViews>
  <sheetFormatPr defaultRowHeight="18" customHeight="1"/>
  <cols>
    <col min="1" max="1" width="8.28515625" style="8" customWidth="1"/>
    <col min="2" max="2" width="55.42578125" bestFit="1" customWidth="1"/>
    <col min="3" max="4" width="4.7109375" customWidth="1"/>
    <col min="5" max="5" width="12.42578125" customWidth="1"/>
    <col min="6" max="6" width="18.5703125" customWidth="1"/>
    <col min="7" max="7" width="23.5703125" customWidth="1"/>
    <col min="8" max="8" width="17.140625" style="425" customWidth="1"/>
    <col min="9" max="9" width="21.140625" style="425" customWidth="1"/>
    <col min="10" max="10" width="19.85546875" style="425" customWidth="1"/>
    <col min="11" max="11" width="17.5703125" customWidth="1"/>
  </cols>
  <sheetData>
    <row r="1" spans="1:11" ht="18" customHeight="1">
      <c r="C1" s="4"/>
      <c r="D1" s="3"/>
      <c r="E1" s="4"/>
      <c r="F1" s="4"/>
      <c r="G1" s="4"/>
      <c r="H1" s="423"/>
      <c r="I1" s="423"/>
      <c r="J1" s="423"/>
      <c r="K1" s="4"/>
    </row>
    <row r="2" spans="1:11" ht="18" customHeight="1">
      <c r="D2" s="424" t="s">
        <v>371</v>
      </c>
      <c r="E2" s="424"/>
      <c r="F2" s="424"/>
      <c r="G2" s="424"/>
      <c r="H2" s="424"/>
    </row>
    <row r="3" spans="1:11" ht="18" customHeight="1">
      <c r="B3" s="2" t="s">
        <v>0</v>
      </c>
    </row>
    <row r="5" spans="1:11" ht="18" customHeight="1">
      <c r="B5" s="5" t="s">
        <v>40</v>
      </c>
      <c r="C5" s="653" t="s">
        <v>771</v>
      </c>
      <c r="D5" s="654"/>
      <c r="E5" s="654"/>
      <c r="F5" s="654"/>
      <c r="G5" s="655"/>
    </row>
    <row r="6" spans="1:11" ht="18" customHeight="1">
      <c r="B6" s="5" t="s">
        <v>3</v>
      </c>
      <c r="C6" s="656" t="s">
        <v>772</v>
      </c>
      <c r="D6" s="657"/>
      <c r="E6" s="657"/>
      <c r="F6" s="657"/>
      <c r="G6" s="658"/>
    </row>
    <row r="7" spans="1:11" ht="18" customHeight="1">
      <c r="B7" s="5" t="s">
        <v>4</v>
      </c>
      <c r="C7" s="716">
        <f>+'[14]MHE 2014'!D20</f>
        <v>1292</v>
      </c>
      <c r="D7" s="717"/>
      <c r="E7" s="717"/>
      <c r="F7" s="717"/>
      <c r="G7" s="718"/>
    </row>
    <row r="9" spans="1:11" ht="18" customHeight="1">
      <c r="B9" s="5" t="s">
        <v>1</v>
      </c>
      <c r="C9" s="653" t="s">
        <v>773</v>
      </c>
      <c r="D9" s="654"/>
      <c r="E9" s="654"/>
      <c r="F9" s="654"/>
      <c r="G9" s="655"/>
    </row>
    <row r="10" spans="1:11" ht="18" customHeight="1">
      <c r="B10" s="5" t="s">
        <v>2</v>
      </c>
      <c r="C10" s="674" t="s">
        <v>774</v>
      </c>
      <c r="D10" s="663"/>
      <c r="E10" s="663"/>
      <c r="F10" s="663"/>
      <c r="G10" s="664"/>
    </row>
    <row r="11" spans="1:11" ht="18" customHeight="1">
      <c r="B11" s="5" t="s">
        <v>32</v>
      </c>
      <c r="C11" s="670" t="s">
        <v>775</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23"/>
    </row>
    <row r="14" spans="1:11" ht="18" customHeight="1">
      <c r="B14" s="7"/>
    </row>
    <row r="15" spans="1:11" ht="18" customHeight="1">
      <c r="B15" s="7"/>
    </row>
    <row r="16" spans="1:11" ht="45.2" customHeight="1">
      <c r="A16" s="3" t="s">
        <v>181</v>
      </c>
      <c r="B16" s="4"/>
      <c r="C16" s="4"/>
      <c r="D16" s="4"/>
      <c r="E16" s="4"/>
      <c r="F16" s="9" t="s">
        <v>9</v>
      </c>
      <c r="G16" s="9" t="s">
        <v>37</v>
      </c>
      <c r="H16" s="426" t="s">
        <v>29</v>
      </c>
      <c r="I16" s="426" t="s">
        <v>30</v>
      </c>
      <c r="J16" s="426" t="s">
        <v>33</v>
      </c>
      <c r="K16" s="9" t="s">
        <v>34</v>
      </c>
    </row>
    <row r="17" spans="1:11" ht="18" customHeight="1">
      <c r="A17" s="6" t="s">
        <v>184</v>
      </c>
      <c r="B17" s="2" t="s">
        <v>182</v>
      </c>
    </row>
    <row r="18" spans="1:11" ht="18" customHeight="1">
      <c r="A18" s="5" t="s">
        <v>185</v>
      </c>
      <c r="B18" s="341" t="s">
        <v>183</v>
      </c>
      <c r="F18" s="14" t="s">
        <v>73</v>
      </c>
      <c r="G18" s="14" t="s">
        <v>73</v>
      </c>
      <c r="H18" s="427">
        <v>4778607</v>
      </c>
      <c r="I18" s="428">
        <v>0</v>
      </c>
      <c r="J18" s="427">
        <v>4086307</v>
      </c>
      <c r="K18" s="16">
        <f>(H18+I18)-J18</f>
        <v>692300</v>
      </c>
    </row>
    <row r="19" spans="1:11" ht="45.2" customHeight="1">
      <c r="A19" s="3" t="s">
        <v>8</v>
      </c>
      <c r="B19" s="4"/>
      <c r="C19" s="4"/>
      <c r="D19" s="4"/>
      <c r="E19" s="4"/>
      <c r="F19" s="9" t="s">
        <v>9</v>
      </c>
      <c r="G19" s="9" t="s">
        <v>37</v>
      </c>
      <c r="H19" s="426" t="s">
        <v>29</v>
      </c>
      <c r="I19" s="426" t="s">
        <v>30</v>
      </c>
      <c r="J19" s="426" t="s">
        <v>33</v>
      </c>
      <c r="K19" s="9" t="s">
        <v>34</v>
      </c>
    </row>
    <row r="20" spans="1:11" ht="18" customHeight="1">
      <c r="A20" s="6" t="s">
        <v>74</v>
      </c>
      <c r="B20" s="2" t="s">
        <v>41</v>
      </c>
    </row>
    <row r="21" spans="1:11" ht="18" customHeight="1">
      <c r="A21" s="5" t="s">
        <v>75</v>
      </c>
      <c r="B21" s="341" t="s">
        <v>42</v>
      </c>
      <c r="F21" s="14">
        <v>3091.4</v>
      </c>
      <c r="G21" s="14">
        <v>4615</v>
      </c>
      <c r="H21" s="14">
        <v>122619.96728950606</v>
      </c>
      <c r="I21" s="14">
        <v>63026.663186806101</v>
      </c>
      <c r="J21" s="14">
        <v>1630</v>
      </c>
      <c r="K21" s="16">
        <f t="shared" ref="K21:K34" si="0">(H21+I21)-J21</f>
        <v>184016.63047631216</v>
      </c>
    </row>
    <row r="22" spans="1:11" ht="18" customHeight="1">
      <c r="A22" s="5" t="s">
        <v>76</v>
      </c>
      <c r="B22" t="s">
        <v>6</v>
      </c>
      <c r="F22" s="14">
        <v>221.5</v>
      </c>
      <c r="G22" s="14">
        <v>166</v>
      </c>
      <c r="H22" s="14">
        <v>8636.8304483003958</v>
      </c>
      <c r="I22" s="14">
        <v>4439.3308504264041</v>
      </c>
      <c r="J22" s="14">
        <v>0</v>
      </c>
      <c r="K22" s="16">
        <f t="shared" si="0"/>
        <v>13076.1612987268</v>
      </c>
    </row>
    <row r="23" spans="1:11" ht="18" customHeight="1">
      <c r="A23" s="5" t="s">
        <v>77</v>
      </c>
      <c r="B23" t="s">
        <v>43</v>
      </c>
      <c r="F23" s="14">
        <v>40</v>
      </c>
      <c r="G23" s="14">
        <v>0</v>
      </c>
      <c r="H23" s="14">
        <v>1559.6985008217421</v>
      </c>
      <c r="I23" s="14">
        <v>801.68502942237546</v>
      </c>
      <c r="J23" s="14">
        <v>0</v>
      </c>
      <c r="K23" s="16">
        <f t="shared" si="0"/>
        <v>2361.3835302441175</v>
      </c>
    </row>
    <row r="24" spans="1:11" ht="18" customHeight="1">
      <c r="A24" s="5" t="s">
        <v>78</v>
      </c>
      <c r="B24" t="s">
        <v>44</v>
      </c>
      <c r="F24" s="14">
        <v>2600</v>
      </c>
      <c r="G24" s="14">
        <v>177</v>
      </c>
      <c r="H24" s="14">
        <v>101380.40255341324</v>
      </c>
      <c r="I24" s="14">
        <v>52109.526912454407</v>
      </c>
      <c r="J24" s="14">
        <v>0</v>
      </c>
      <c r="K24" s="16">
        <f t="shared" si="0"/>
        <v>153489.92946586764</v>
      </c>
    </row>
    <row r="25" spans="1:11" ht="18" customHeight="1">
      <c r="A25" s="5" t="s">
        <v>79</v>
      </c>
      <c r="B25" t="s">
        <v>5</v>
      </c>
      <c r="F25" s="14">
        <v>68</v>
      </c>
      <c r="G25" s="14">
        <v>94</v>
      </c>
      <c r="H25" s="14">
        <v>4051.4874513969612</v>
      </c>
      <c r="I25" s="14">
        <v>2082.4645500180382</v>
      </c>
      <c r="J25" s="14">
        <v>0</v>
      </c>
      <c r="K25" s="16">
        <f t="shared" si="0"/>
        <v>6133.9520014149994</v>
      </c>
    </row>
    <row r="26" spans="1:11" ht="18" customHeight="1">
      <c r="A26" s="5" t="s">
        <v>80</v>
      </c>
      <c r="B26" t="s">
        <v>45</v>
      </c>
      <c r="F26" s="14"/>
      <c r="G26" s="14"/>
      <c r="H26" s="14"/>
      <c r="I26" s="14"/>
      <c r="J26" s="14"/>
      <c r="K26" s="16">
        <f t="shared" si="0"/>
        <v>0</v>
      </c>
    </row>
    <row r="27" spans="1:11" ht="18" customHeight="1">
      <c r="A27" s="5" t="s">
        <v>81</v>
      </c>
      <c r="B27" t="s">
        <v>46</v>
      </c>
      <c r="F27" s="14"/>
      <c r="G27" s="14"/>
      <c r="H27" s="14"/>
      <c r="I27" s="14"/>
      <c r="J27" s="14"/>
      <c r="K27" s="16">
        <f t="shared" si="0"/>
        <v>0</v>
      </c>
    </row>
    <row r="28" spans="1:11" ht="18" customHeight="1">
      <c r="A28" s="5" t="s">
        <v>82</v>
      </c>
      <c r="B28" t="s">
        <v>47</v>
      </c>
      <c r="F28" s="14"/>
      <c r="G28" s="14"/>
      <c r="H28" s="14"/>
      <c r="I28" s="14"/>
      <c r="J28" s="14"/>
      <c r="K28" s="16">
        <f t="shared" si="0"/>
        <v>0</v>
      </c>
    </row>
    <row r="29" spans="1:11" ht="18" customHeight="1">
      <c r="A29" s="5" t="s">
        <v>83</v>
      </c>
      <c r="B29" t="s">
        <v>48</v>
      </c>
      <c r="F29" s="14">
        <v>520</v>
      </c>
      <c r="G29" s="14">
        <v>264</v>
      </c>
      <c r="H29" s="14">
        <v>20276.080510682648</v>
      </c>
      <c r="I29" s="14">
        <v>10421.905382490881</v>
      </c>
      <c r="J29" s="14">
        <v>0</v>
      </c>
      <c r="K29" s="16">
        <f t="shared" si="0"/>
        <v>30697.985893173529</v>
      </c>
    </row>
    <row r="30" spans="1:11" ht="18" customHeight="1">
      <c r="A30" s="5" t="s">
        <v>84</v>
      </c>
      <c r="B30" s="650" t="s">
        <v>776</v>
      </c>
      <c r="C30" s="735"/>
      <c r="D30" s="736"/>
      <c r="F30" s="14">
        <v>13999</v>
      </c>
      <c r="G30" s="14">
        <v>232</v>
      </c>
      <c r="H30" s="14">
        <v>608574.49452985765</v>
      </c>
      <c r="I30" s="14">
        <v>312807.29018834681</v>
      </c>
      <c r="J30" s="14">
        <v>35289</v>
      </c>
      <c r="K30" s="16">
        <f t="shared" si="0"/>
        <v>886092.78471820452</v>
      </c>
    </row>
    <row r="31" spans="1:11" ht="18" customHeight="1">
      <c r="A31" s="5" t="s">
        <v>133</v>
      </c>
      <c r="B31" s="636"/>
      <c r="C31" s="637"/>
      <c r="D31" s="638"/>
      <c r="F31" s="14"/>
      <c r="G31" s="14"/>
      <c r="H31" s="427"/>
      <c r="I31" s="428">
        <v>0</v>
      </c>
      <c r="J31" s="427"/>
      <c r="K31" s="16">
        <f t="shared" si="0"/>
        <v>0</v>
      </c>
    </row>
    <row r="32" spans="1:11" ht="18" customHeight="1">
      <c r="A32" s="5" t="s">
        <v>134</v>
      </c>
      <c r="B32" s="363"/>
      <c r="C32" s="364"/>
      <c r="D32" s="365"/>
      <c r="F32" s="14"/>
      <c r="G32" s="342" t="s">
        <v>85</v>
      </c>
      <c r="H32" s="427"/>
      <c r="I32" s="428">
        <v>0</v>
      </c>
      <c r="J32" s="427"/>
      <c r="K32" s="16">
        <f t="shared" si="0"/>
        <v>0</v>
      </c>
    </row>
    <row r="33" spans="1:11" ht="18" customHeight="1">
      <c r="A33" s="5" t="s">
        <v>135</v>
      </c>
      <c r="B33" s="363"/>
      <c r="C33" s="364"/>
      <c r="D33" s="365"/>
      <c r="F33" s="14"/>
      <c r="G33" s="342" t="s">
        <v>85</v>
      </c>
      <c r="H33" s="427"/>
      <c r="I33" s="428">
        <v>0</v>
      </c>
      <c r="J33" s="427"/>
      <c r="K33" s="16">
        <f t="shared" si="0"/>
        <v>0</v>
      </c>
    </row>
    <row r="34" spans="1:11" ht="18" customHeight="1">
      <c r="A34" s="5" t="s">
        <v>136</v>
      </c>
      <c r="B34" s="636"/>
      <c r="C34" s="637"/>
      <c r="D34" s="638"/>
      <c r="F34" s="14"/>
      <c r="G34" s="342" t="s">
        <v>85</v>
      </c>
      <c r="H34" s="427"/>
      <c r="I34" s="428">
        <v>0</v>
      </c>
      <c r="J34" s="427"/>
      <c r="K34" s="16">
        <f t="shared" si="0"/>
        <v>0</v>
      </c>
    </row>
    <row r="35" spans="1:11" ht="18" customHeight="1">
      <c r="K35" s="44"/>
    </row>
    <row r="36" spans="1:11" ht="18" customHeight="1">
      <c r="A36" s="6" t="s">
        <v>137</v>
      </c>
      <c r="B36" s="2" t="s">
        <v>138</v>
      </c>
      <c r="E36" s="2" t="s">
        <v>7</v>
      </c>
      <c r="F36" s="18">
        <f t="shared" ref="F36:K36" si="1">SUM(F21:F34)</f>
        <v>20539.900000000001</v>
      </c>
      <c r="G36" s="18">
        <f t="shared" si="1"/>
        <v>5548</v>
      </c>
      <c r="H36" s="429">
        <f t="shared" si="1"/>
        <v>867098.96128397877</v>
      </c>
      <c r="I36" s="429">
        <f t="shared" si="1"/>
        <v>445688.866099965</v>
      </c>
      <c r="J36" s="429">
        <f t="shared" si="1"/>
        <v>36919</v>
      </c>
      <c r="K36" s="16">
        <f t="shared" si="1"/>
        <v>1275868.8273839438</v>
      </c>
    </row>
    <row r="37" spans="1:11" ht="18" customHeight="1" thickBot="1">
      <c r="B37" s="2"/>
      <c r="F37" s="19"/>
      <c r="G37" s="19"/>
      <c r="H37" s="430"/>
      <c r="I37" s="430"/>
      <c r="J37" s="430"/>
      <c r="K37" s="45"/>
    </row>
    <row r="38" spans="1:11" ht="42.75" customHeight="1">
      <c r="F38" s="9" t="s">
        <v>9</v>
      </c>
      <c r="G38" s="9" t="s">
        <v>37</v>
      </c>
      <c r="H38" s="426" t="s">
        <v>29</v>
      </c>
      <c r="I38" s="426" t="s">
        <v>30</v>
      </c>
      <c r="J38" s="426" t="s">
        <v>33</v>
      </c>
      <c r="K38" s="9" t="s">
        <v>34</v>
      </c>
    </row>
    <row r="39" spans="1:11" ht="18.75" customHeight="1">
      <c r="A39" s="6" t="s">
        <v>86</v>
      </c>
      <c r="B39" s="2" t="s">
        <v>49</v>
      </c>
    </row>
    <row r="40" spans="1:11" ht="18" customHeight="1">
      <c r="A40" s="5" t="s">
        <v>87</v>
      </c>
      <c r="B40" t="s">
        <v>31</v>
      </c>
      <c r="F40" s="14"/>
      <c r="G40" s="14"/>
      <c r="H40" s="427"/>
      <c r="I40" s="428">
        <v>0</v>
      </c>
      <c r="J40" s="427"/>
      <c r="K40" s="16">
        <f t="shared" ref="K40:K47" si="2">(H40+I40)-J40</f>
        <v>0</v>
      </c>
    </row>
    <row r="41" spans="1:11" ht="18" customHeight="1">
      <c r="A41" s="5" t="s">
        <v>88</v>
      </c>
      <c r="B41" s="641" t="s">
        <v>50</v>
      </c>
      <c r="C41" s="649"/>
      <c r="F41" s="14">
        <v>499.2</v>
      </c>
      <c r="G41" s="14">
        <v>18</v>
      </c>
      <c r="H41" s="427">
        <v>521349</v>
      </c>
      <c r="I41" s="428">
        <v>73300.000000000073</v>
      </c>
      <c r="J41" s="427">
        <v>0</v>
      </c>
      <c r="K41" s="16">
        <f t="shared" si="2"/>
        <v>594649.00000000012</v>
      </c>
    </row>
    <row r="42" spans="1:11" ht="18" customHeight="1">
      <c r="A42" s="5" t="s">
        <v>89</v>
      </c>
      <c r="B42" s="341" t="s">
        <v>11</v>
      </c>
      <c r="F42" s="14">
        <v>84</v>
      </c>
      <c r="G42" s="14">
        <v>1</v>
      </c>
      <c r="H42" s="14">
        <v>3275.3668517256588</v>
      </c>
      <c r="I42" s="14">
        <v>1683.5385617869886</v>
      </c>
      <c r="J42" s="14">
        <v>0</v>
      </c>
      <c r="K42" s="16">
        <f t="shared" si="2"/>
        <v>4958.9054135126471</v>
      </c>
    </row>
    <row r="43" spans="1:11" ht="18" customHeight="1">
      <c r="A43" s="5" t="s">
        <v>90</v>
      </c>
      <c r="B43" s="343" t="s">
        <v>10</v>
      </c>
      <c r="C43" s="10"/>
      <c r="D43" s="10"/>
      <c r="F43" s="14"/>
      <c r="G43" s="14"/>
      <c r="H43" s="14"/>
      <c r="I43" s="14"/>
      <c r="J43" s="14"/>
      <c r="K43" s="16">
        <f t="shared" si="2"/>
        <v>0</v>
      </c>
    </row>
    <row r="44" spans="1:11" ht="18" customHeight="1">
      <c r="A44" s="5" t="s">
        <v>91</v>
      </c>
      <c r="B44" s="636"/>
      <c r="C44" s="637"/>
      <c r="D44" s="638"/>
      <c r="F44" s="14">
        <v>4</v>
      </c>
      <c r="G44" s="14">
        <v>12</v>
      </c>
      <c r="H44" s="14">
        <v>155.96985008217422</v>
      </c>
      <c r="I44" s="14">
        <v>80.168502942237552</v>
      </c>
      <c r="J44" s="14">
        <v>0</v>
      </c>
      <c r="K44" s="17">
        <f t="shared" si="2"/>
        <v>236.13835302441177</v>
      </c>
    </row>
    <row r="45" spans="1:11" ht="18" customHeight="1">
      <c r="A45" s="5" t="s">
        <v>139</v>
      </c>
      <c r="B45" s="636"/>
      <c r="C45" s="637"/>
      <c r="D45" s="638"/>
      <c r="F45" s="14"/>
      <c r="G45" s="14"/>
      <c r="H45" s="427"/>
      <c r="I45" s="428">
        <v>0</v>
      </c>
      <c r="J45" s="427"/>
      <c r="K45" s="16">
        <f t="shared" si="2"/>
        <v>0</v>
      </c>
    </row>
    <row r="46" spans="1:11" ht="18" customHeight="1">
      <c r="A46" s="5" t="s">
        <v>140</v>
      </c>
      <c r="B46" s="636"/>
      <c r="C46" s="637"/>
      <c r="D46" s="638"/>
      <c r="F46" s="14"/>
      <c r="G46" s="14"/>
      <c r="H46" s="427"/>
      <c r="I46" s="428">
        <v>0</v>
      </c>
      <c r="J46" s="427"/>
      <c r="K46" s="16">
        <f t="shared" si="2"/>
        <v>0</v>
      </c>
    </row>
    <row r="47" spans="1:11" ht="18" customHeight="1">
      <c r="A47" s="5" t="s">
        <v>141</v>
      </c>
      <c r="B47" s="636"/>
      <c r="C47" s="637"/>
      <c r="D47" s="638"/>
      <c r="F47" s="14"/>
      <c r="G47" s="14"/>
      <c r="H47" s="427"/>
      <c r="I47" s="428">
        <v>0</v>
      </c>
      <c r="J47" s="427"/>
      <c r="K47" s="16">
        <f t="shared" si="2"/>
        <v>0</v>
      </c>
    </row>
    <row r="49" spans="1:11" ht="18" customHeight="1">
      <c r="A49" s="6" t="s">
        <v>142</v>
      </c>
      <c r="B49" s="2" t="s">
        <v>143</v>
      </c>
      <c r="E49" s="2" t="s">
        <v>7</v>
      </c>
      <c r="F49" s="23">
        <f t="shared" ref="F49:K49" si="3">SUM(F40:F47)</f>
        <v>587.20000000000005</v>
      </c>
      <c r="G49" s="23">
        <f t="shared" si="3"/>
        <v>31</v>
      </c>
      <c r="H49" s="429">
        <f t="shared" si="3"/>
        <v>524780.3367018078</v>
      </c>
      <c r="I49" s="429">
        <f t="shared" si="3"/>
        <v>75063.7070647293</v>
      </c>
      <c r="J49" s="429">
        <f t="shared" si="3"/>
        <v>0</v>
      </c>
      <c r="K49" s="16">
        <f t="shared" si="3"/>
        <v>599844.0437665371</v>
      </c>
    </row>
    <row r="50" spans="1:11" ht="18" customHeight="1" thickBot="1">
      <c r="G50" s="24"/>
      <c r="H50" s="431"/>
      <c r="I50" s="431"/>
      <c r="J50" s="431"/>
      <c r="K50" s="24"/>
    </row>
    <row r="51" spans="1:11" ht="42.75" customHeight="1">
      <c r="F51" s="9" t="s">
        <v>9</v>
      </c>
      <c r="G51" s="9" t="s">
        <v>37</v>
      </c>
      <c r="H51" s="426" t="s">
        <v>29</v>
      </c>
      <c r="I51" s="426" t="s">
        <v>30</v>
      </c>
      <c r="J51" s="426" t="s">
        <v>33</v>
      </c>
      <c r="K51" s="9" t="s">
        <v>34</v>
      </c>
    </row>
    <row r="52" spans="1:11" ht="18" customHeight="1">
      <c r="A52" s="6" t="s">
        <v>92</v>
      </c>
      <c r="B52" s="645" t="s">
        <v>38</v>
      </c>
      <c r="C52" s="646"/>
    </row>
    <row r="53" spans="1:11" ht="18" customHeight="1">
      <c r="A53" s="5" t="s">
        <v>51</v>
      </c>
      <c r="B53" s="669" t="s">
        <v>777</v>
      </c>
      <c r="C53" s="648"/>
      <c r="D53" s="644"/>
      <c r="F53" s="14">
        <v>5200</v>
      </c>
      <c r="G53" s="14">
        <v>805</v>
      </c>
      <c r="H53" s="14">
        <v>229288.35028781183</v>
      </c>
      <c r="I53" s="14">
        <v>117854.21204793529</v>
      </c>
      <c r="J53" s="14">
        <v>0</v>
      </c>
      <c r="K53" s="16">
        <f t="shared" ref="K53:K62" si="4">(H53+I53)-J53</f>
        <v>347142.56233574712</v>
      </c>
    </row>
    <row r="54" spans="1:11" ht="18" customHeight="1">
      <c r="A54" s="5" t="s">
        <v>93</v>
      </c>
      <c r="B54" s="360" t="s">
        <v>778</v>
      </c>
      <c r="C54" s="361"/>
      <c r="D54" s="362"/>
      <c r="F54" s="14">
        <v>1701.0257656781721</v>
      </c>
      <c r="G54" s="14">
        <v>1701.0257656781721</v>
      </c>
      <c r="H54" s="427">
        <v>1049703</v>
      </c>
      <c r="I54" s="428">
        <v>0</v>
      </c>
      <c r="J54" s="427"/>
      <c r="K54" s="16">
        <f t="shared" si="4"/>
        <v>1049703</v>
      </c>
    </row>
    <row r="55" spans="1:11" ht="18" customHeight="1">
      <c r="A55" s="5" t="s">
        <v>94</v>
      </c>
      <c r="B55" s="369" t="s">
        <v>779</v>
      </c>
      <c r="C55" s="361"/>
      <c r="D55" s="362"/>
      <c r="F55" s="14">
        <v>33013</v>
      </c>
      <c r="G55" s="14">
        <v>49021</v>
      </c>
      <c r="H55" s="427">
        <v>2128700</v>
      </c>
      <c r="I55" s="428">
        <v>0</v>
      </c>
      <c r="J55" s="427"/>
      <c r="K55" s="16">
        <f t="shared" si="4"/>
        <v>2128700</v>
      </c>
    </row>
    <row r="56" spans="1:11" ht="18" customHeight="1">
      <c r="A56" s="5" t="s">
        <v>95</v>
      </c>
      <c r="B56" s="369" t="s">
        <v>780</v>
      </c>
      <c r="C56" s="361"/>
      <c r="D56" s="362"/>
      <c r="F56" s="14"/>
      <c r="G56" s="14"/>
      <c r="H56" s="427">
        <v>686172.24</v>
      </c>
      <c r="I56" s="428">
        <v>0</v>
      </c>
      <c r="J56" s="427"/>
      <c r="K56" s="16">
        <f t="shared" si="4"/>
        <v>686172.24</v>
      </c>
    </row>
    <row r="57" spans="1:11" ht="18" customHeight="1">
      <c r="A57" s="5" t="s">
        <v>96</v>
      </c>
      <c r="B57" s="650" t="s">
        <v>781</v>
      </c>
      <c r="C57" s="643"/>
      <c r="D57" s="644"/>
      <c r="F57" s="14"/>
      <c r="G57" s="14"/>
      <c r="H57" s="427">
        <v>889463</v>
      </c>
      <c r="I57" s="428">
        <v>0</v>
      </c>
      <c r="J57" s="427"/>
      <c r="K57" s="16">
        <f t="shared" si="4"/>
        <v>889463</v>
      </c>
    </row>
    <row r="58" spans="1:11" ht="18" customHeight="1">
      <c r="A58" s="5" t="s">
        <v>97</v>
      </c>
      <c r="B58" s="432" t="s">
        <v>782</v>
      </c>
      <c r="C58" s="361"/>
      <c r="D58" s="362"/>
      <c r="F58" s="14"/>
      <c r="G58" s="14"/>
      <c r="H58" s="427">
        <v>296661</v>
      </c>
      <c r="I58" s="428">
        <v>0</v>
      </c>
      <c r="J58" s="427"/>
      <c r="K58" s="16">
        <f t="shared" si="4"/>
        <v>296661</v>
      </c>
    </row>
    <row r="59" spans="1:11" ht="18" customHeight="1">
      <c r="A59" s="5" t="s">
        <v>98</v>
      </c>
      <c r="B59" s="713" t="s">
        <v>783</v>
      </c>
      <c r="C59" s="714"/>
      <c r="D59" s="715"/>
      <c r="F59" s="14"/>
      <c r="G59" s="14"/>
      <c r="H59" s="427">
        <v>0</v>
      </c>
      <c r="I59" s="428">
        <v>0</v>
      </c>
      <c r="J59" s="427"/>
      <c r="K59" s="16">
        <f t="shared" si="4"/>
        <v>0</v>
      </c>
    </row>
    <row r="60" spans="1:11" ht="18" customHeight="1">
      <c r="A60" s="5" t="s">
        <v>99</v>
      </c>
      <c r="B60" s="369" t="s">
        <v>784</v>
      </c>
      <c r="C60" s="361"/>
      <c r="D60" s="362"/>
      <c r="F60" s="14"/>
      <c r="G60" s="14"/>
      <c r="H60" s="427">
        <v>30104</v>
      </c>
      <c r="I60" s="428">
        <v>0</v>
      </c>
      <c r="J60" s="427"/>
      <c r="K60" s="16">
        <f t="shared" si="4"/>
        <v>30104</v>
      </c>
    </row>
    <row r="61" spans="1:11" ht="18" customHeight="1">
      <c r="A61" s="5" t="s">
        <v>100</v>
      </c>
      <c r="B61" s="650" t="s">
        <v>785</v>
      </c>
      <c r="C61" s="643"/>
      <c r="D61" s="644"/>
      <c r="F61" s="14"/>
      <c r="G61" s="14"/>
      <c r="H61" s="427">
        <v>237664</v>
      </c>
      <c r="I61" s="428">
        <v>122159.296</v>
      </c>
      <c r="J61" s="427"/>
      <c r="K61" s="16">
        <f t="shared" si="4"/>
        <v>359823.29599999997</v>
      </c>
    </row>
    <row r="62" spans="1:11" ht="18" customHeight="1">
      <c r="A62" s="5" t="s">
        <v>101</v>
      </c>
      <c r="B62" s="650" t="s">
        <v>786</v>
      </c>
      <c r="C62" s="643"/>
      <c r="D62" s="644"/>
      <c r="F62" s="14">
        <v>3700</v>
      </c>
      <c r="G62" s="14">
        <v>980</v>
      </c>
      <c r="H62" s="14">
        <v>194284.15363309186</v>
      </c>
      <c r="I62" s="14">
        <v>99862.054967409218</v>
      </c>
      <c r="J62" s="14">
        <v>9021</v>
      </c>
      <c r="K62" s="16">
        <f t="shared" si="4"/>
        <v>285125.20860050106</v>
      </c>
    </row>
    <row r="63" spans="1:11" ht="18" customHeight="1">
      <c r="A63" s="5"/>
      <c r="I63" s="433"/>
    </row>
    <row r="64" spans="1:11" ht="18" customHeight="1">
      <c r="A64" s="5" t="s">
        <v>144</v>
      </c>
      <c r="B64" s="2" t="s">
        <v>145</v>
      </c>
      <c r="E64" s="2" t="s">
        <v>7</v>
      </c>
      <c r="F64" s="18">
        <f t="shared" ref="F64:K64" si="5">SUM(F53:F62)</f>
        <v>43614.025765678176</v>
      </c>
      <c r="G64" s="18">
        <f t="shared" si="5"/>
        <v>52507.025765678176</v>
      </c>
      <c r="H64" s="429">
        <f t="shared" si="5"/>
        <v>5742039.7439209037</v>
      </c>
      <c r="I64" s="429">
        <f t="shared" si="5"/>
        <v>339875.56301534449</v>
      </c>
      <c r="J64" s="429">
        <f t="shared" si="5"/>
        <v>9021</v>
      </c>
      <c r="K64" s="16">
        <f t="shared" si="5"/>
        <v>6072894.3069362491</v>
      </c>
    </row>
    <row r="65" spans="1:11" ht="18" customHeight="1">
      <c r="F65" s="48"/>
      <c r="G65" s="48"/>
      <c r="H65" s="434"/>
      <c r="I65" s="434"/>
      <c r="J65" s="434"/>
      <c r="K65" s="48"/>
    </row>
    <row r="66" spans="1:11" ht="42.75" customHeight="1">
      <c r="F66" s="57" t="s">
        <v>9</v>
      </c>
      <c r="G66" s="57" t="s">
        <v>37</v>
      </c>
      <c r="H66" s="435" t="s">
        <v>29</v>
      </c>
      <c r="I66" s="435" t="s">
        <v>30</v>
      </c>
      <c r="J66" s="435" t="s">
        <v>33</v>
      </c>
      <c r="K66" s="57" t="s">
        <v>34</v>
      </c>
    </row>
    <row r="67" spans="1:11" ht="18" customHeight="1">
      <c r="A67" s="6" t="s">
        <v>102</v>
      </c>
      <c r="B67" s="2" t="s">
        <v>12</v>
      </c>
      <c r="F67" s="58"/>
      <c r="G67" s="58"/>
      <c r="H67" s="436"/>
      <c r="I67" s="437"/>
      <c r="J67" s="436"/>
      <c r="K67" s="60"/>
    </row>
    <row r="68" spans="1:11" ht="18" customHeight="1">
      <c r="A68" s="5" t="s">
        <v>103</v>
      </c>
      <c r="B68" t="s">
        <v>52</v>
      </c>
      <c r="F68" s="51"/>
      <c r="G68" s="51"/>
      <c r="H68" s="427"/>
      <c r="I68" s="428">
        <v>0</v>
      </c>
      <c r="J68" s="427"/>
      <c r="K68" s="16">
        <f>(H68+I68)-J68</f>
        <v>0</v>
      </c>
    </row>
    <row r="69" spans="1:11" ht="18" customHeight="1">
      <c r="A69" s="5" t="s">
        <v>104</v>
      </c>
      <c r="B69" s="341" t="s">
        <v>53</v>
      </c>
      <c r="F69" s="51"/>
      <c r="G69" s="51"/>
      <c r="H69" s="427"/>
      <c r="I69" s="428">
        <v>0</v>
      </c>
      <c r="J69" s="427"/>
      <c r="K69" s="16">
        <f>(H69+I69)-J69</f>
        <v>0</v>
      </c>
    </row>
    <row r="70" spans="1:11" ht="18" customHeight="1">
      <c r="A70" s="5" t="s">
        <v>178</v>
      </c>
      <c r="B70" s="360"/>
      <c r="C70" s="361"/>
      <c r="D70" s="362"/>
      <c r="E70" s="2"/>
      <c r="F70" s="35"/>
      <c r="G70" s="35"/>
      <c r="H70" s="438"/>
      <c r="I70" s="428">
        <v>0</v>
      </c>
      <c r="J70" s="438"/>
      <c r="K70" s="16">
        <f>(H70+I70)-J70</f>
        <v>0</v>
      </c>
    </row>
    <row r="71" spans="1:11" ht="18" customHeight="1">
      <c r="A71" s="5" t="s">
        <v>179</v>
      </c>
      <c r="B71" s="360"/>
      <c r="C71" s="361"/>
      <c r="D71" s="362"/>
      <c r="E71" s="2"/>
      <c r="F71" s="35"/>
      <c r="G71" s="35"/>
      <c r="H71" s="438"/>
      <c r="I71" s="428">
        <v>0</v>
      </c>
      <c r="J71" s="438"/>
      <c r="K71" s="16">
        <f>(H71+I71)-J71</f>
        <v>0</v>
      </c>
    </row>
    <row r="72" spans="1:11" ht="18" customHeight="1">
      <c r="A72" s="5" t="s">
        <v>180</v>
      </c>
      <c r="B72" s="366"/>
      <c r="C72" s="367"/>
      <c r="D72" s="34"/>
      <c r="E72" s="2"/>
      <c r="F72" s="14"/>
      <c r="G72" s="14"/>
      <c r="H72" s="427"/>
      <c r="I72" s="428">
        <v>0</v>
      </c>
      <c r="J72" s="427"/>
      <c r="K72" s="16">
        <f>(H72+I72)-J72</f>
        <v>0</v>
      </c>
    </row>
    <row r="73" spans="1:11" ht="18" customHeight="1">
      <c r="A73" s="5"/>
      <c r="B73" s="341"/>
      <c r="E73" s="2"/>
      <c r="F73" s="61"/>
      <c r="G73" s="61"/>
      <c r="H73" s="439"/>
      <c r="I73" s="437"/>
      <c r="J73" s="439"/>
      <c r="K73" s="60"/>
    </row>
    <row r="74" spans="1:11" ht="18" customHeight="1">
      <c r="A74" s="6" t="s">
        <v>146</v>
      </c>
      <c r="B74" s="2" t="s">
        <v>147</v>
      </c>
      <c r="E74" s="2" t="s">
        <v>7</v>
      </c>
      <c r="F74" s="21">
        <f t="shared" ref="F74:K74" si="6">SUM(F68:F72)</f>
        <v>0</v>
      </c>
      <c r="G74" s="21">
        <f t="shared" si="6"/>
        <v>0</v>
      </c>
      <c r="H74" s="440">
        <f t="shared" si="6"/>
        <v>0</v>
      </c>
      <c r="I74" s="441">
        <f t="shared" si="6"/>
        <v>0</v>
      </c>
      <c r="J74" s="440">
        <f t="shared" si="6"/>
        <v>0</v>
      </c>
      <c r="K74" s="17">
        <f t="shared" si="6"/>
        <v>0</v>
      </c>
    </row>
    <row r="75" spans="1:11" ht="42.75" customHeight="1">
      <c r="F75" s="9" t="s">
        <v>9</v>
      </c>
      <c r="G75" s="9" t="s">
        <v>37</v>
      </c>
      <c r="H75" s="426" t="s">
        <v>29</v>
      </c>
      <c r="I75" s="426" t="s">
        <v>30</v>
      </c>
      <c r="J75" s="426" t="s">
        <v>33</v>
      </c>
      <c r="K75" s="9" t="s">
        <v>34</v>
      </c>
    </row>
    <row r="76" spans="1:11" ht="18" customHeight="1">
      <c r="A76" s="6" t="s">
        <v>105</v>
      </c>
      <c r="B76" s="2" t="s">
        <v>106</v>
      </c>
    </row>
    <row r="77" spans="1:11" ht="18" customHeight="1">
      <c r="A77" s="5" t="s">
        <v>107</v>
      </c>
      <c r="B77" s="341" t="s">
        <v>54</v>
      </c>
      <c r="F77" s="14">
        <v>0</v>
      </c>
      <c r="G77" s="14">
        <v>0</v>
      </c>
      <c r="H77" s="14">
        <v>17120</v>
      </c>
      <c r="I77" s="14">
        <v>8799.68</v>
      </c>
      <c r="J77" s="14">
        <v>0</v>
      </c>
      <c r="K77" s="16">
        <f>(H77+I77)-J77</f>
        <v>25919.68</v>
      </c>
    </row>
    <row r="78" spans="1:11" ht="18" customHeight="1">
      <c r="A78" s="5" t="s">
        <v>108</v>
      </c>
      <c r="B78" s="341" t="s">
        <v>55</v>
      </c>
      <c r="F78" s="14">
        <v>0</v>
      </c>
      <c r="G78" s="14">
        <v>0</v>
      </c>
      <c r="H78" s="14">
        <v>132500</v>
      </c>
      <c r="I78" s="14">
        <v>68105</v>
      </c>
      <c r="J78" s="14">
        <v>0</v>
      </c>
      <c r="K78" s="16">
        <f>(H78+I78)-J78</f>
        <v>200605</v>
      </c>
    </row>
    <row r="79" spans="1:11" ht="18" customHeight="1">
      <c r="A79" s="5" t="s">
        <v>109</v>
      </c>
      <c r="B79" s="341" t="s">
        <v>13</v>
      </c>
      <c r="F79" s="14">
        <v>0</v>
      </c>
      <c r="G79" s="14">
        <v>0</v>
      </c>
      <c r="H79" s="14">
        <v>121553</v>
      </c>
      <c r="I79" s="14">
        <v>62478.241999999998</v>
      </c>
      <c r="J79" s="14">
        <v>0</v>
      </c>
      <c r="K79" s="16">
        <f>(H79+I79)-J79</f>
        <v>184031.242</v>
      </c>
    </row>
    <row r="80" spans="1:11" ht="18" customHeight="1">
      <c r="A80" s="5" t="s">
        <v>110</v>
      </c>
      <c r="B80" s="341" t="s">
        <v>56</v>
      </c>
      <c r="F80" s="14"/>
      <c r="G80" s="14"/>
      <c r="H80" s="427"/>
      <c r="I80" s="428">
        <v>0</v>
      </c>
      <c r="J80" s="427"/>
      <c r="K80" s="16">
        <f>(H80+I80)-J80</f>
        <v>0</v>
      </c>
    </row>
    <row r="81" spans="1:11" ht="18" customHeight="1">
      <c r="A81" s="5"/>
      <c r="K81" s="40"/>
    </row>
    <row r="82" spans="1:11" ht="18" customHeight="1">
      <c r="A82" s="5" t="s">
        <v>148</v>
      </c>
      <c r="B82" s="2" t="s">
        <v>149</v>
      </c>
      <c r="E82" s="2" t="s">
        <v>7</v>
      </c>
      <c r="F82" s="21">
        <f t="shared" ref="F82:K82" si="7">SUM(F77:F80)</f>
        <v>0</v>
      </c>
      <c r="G82" s="21">
        <f t="shared" si="7"/>
        <v>0</v>
      </c>
      <c r="H82" s="440">
        <f t="shared" si="7"/>
        <v>271173</v>
      </c>
      <c r="I82" s="440">
        <f t="shared" si="7"/>
        <v>139382.92199999999</v>
      </c>
      <c r="J82" s="440">
        <f t="shared" si="7"/>
        <v>0</v>
      </c>
      <c r="K82" s="17">
        <f t="shared" si="7"/>
        <v>410555.92200000002</v>
      </c>
    </row>
    <row r="83" spans="1:11" ht="18" customHeight="1" thickBot="1">
      <c r="A83" s="5"/>
      <c r="F83" s="24"/>
      <c r="G83" s="24"/>
      <c r="H83" s="431"/>
      <c r="I83" s="431"/>
      <c r="J83" s="431"/>
      <c r="K83" s="24"/>
    </row>
    <row r="84" spans="1:11" ht="42.75" customHeight="1">
      <c r="F84" s="9" t="s">
        <v>9</v>
      </c>
      <c r="G84" s="9" t="s">
        <v>37</v>
      </c>
      <c r="H84" s="426" t="s">
        <v>29</v>
      </c>
      <c r="I84" s="426" t="s">
        <v>30</v>
      </c>
      <c r="J84" s="426" t="s">
        <v>33</v>
      </c>
      <c r="K84" s="9" t="s">
        <v>34</v>
      </c>
    </row>
    <row r="85" spans="1:11" ht="18" customHeight="1">
      <c r="A85" s="6" t="s">
        <v>111</v>
      </c>
      <c r="B85" s="2" t="s">
        <v>57</v>
      </c>
    </row>
    <row r="86" spans="1:11" ht="18" customHeight="1">
      <c r="A86" s="5" t="s">
        <v>112</v>
      </c>
      <c r="B86" s="341" t="s">
        <v>113</v>
      </c>
      <c r="F86" s="14"/>
      <c r="G86" s="14"/>
      <c r="H86" s="427"/>
      <c r="I86" s="428">
        <f>H86*F$114</f>
        <v>0</v>
      </c>
      <c r="J86" s="427"/>
      <c r="K86" s="16">
        <f t="shared" ref="K86:K96" si="8">(H86+I86)-J86</f>
        <v>0</v>
      </c>
    </row>
    <row r="87" spans="1:11" ht="18" customHeight="1">
      <c r="A87" s="5" t="s">
        <v>114</v>
      </c>
      <c r="B87" s="341" t="s">
        <v>14</v>
      </c>
      <c r="F87" s="14">
        <v>0</v>
      </c>
      <c r="G87" s="14">
        <v>0</v>
      </c>
      <c r="H87" s="14">
        <v>3500</v>
      </c>
      <c r="I87" s="14">
        <v>1799</v>
      </c>
      <c r="J87" s="14">
        <v>0</v>
      </c>
      <c r="K87" s="16">
        <f t="shared" si="8"/>
        <v>5299</v>
      </c>
    </row>
    <row r="88" spans="1:11" ht="18" customHeight="1">
      <c r="A88" s="5" t="s">
        <v>115</v>
      </c>
      <c r="B88" s="341" t="s">
        <v>116</v>
      </c>
      <c r="F88" s="14"/>
      <c r="G88" s="14"/>
      <c r="H88" s="14"/>
      <c r="I88" s="14"/>
      <c r="J88" s="14"/>
      <c r="K88" s="16">
        <f t="shared" si="8"/>
        <v>0</v>
      </c>
    </row>
    <row r="89" spans="1:11" ht="18" customHeight="1">
      <c r="A89" s="5" t="s">
        <v>117</v>
      </c>
      <c r="B89" s="341" t="s">
        <v>58</v>
      </c>
      <c r="F89" s="14"/>
      <c r="G89" s="14"/>
      <c r="H89" s="14"/>
      <c r="I89" s="14"/>
      <c r="J89" s="14"/>
      <c r="K89" s="16">
        <f t="shared" si="8"/>
        <v>0</v>
      </c>
    </row>
    <row r="90" spans="1:11" ht="18" customHeight="1">
      <c r="A90" s="5" t="s">
        <v>118</v>
      </c>
      <c r="B90" s="641" t="s">
        <v>59</v>
      </c>
      <c r="C90" s="649"/>
      <c r="F90" s="14"/>
      <c r="G90" s="14"/>
      <c r="H90" s="14"/>
      <c r="I90" s="14"/>
      <c r="J90" s="14"/>
      <c r="K90" s="16">
        <f t="shared" si="8"/>
        <v>0</v>
      </c>
    </row>
    <row r="91" spans="1:11" ht="18" customHeight="1">
      <c r="A91" s="5" t="s">
        <v>119</v>
      </c>
      <c r="B91" s="341" t="s">
        <v>60</v>
      </c>
      <c r="F91" s="14">
        <v>348</v>
      </c>
      <c r="G91" s="14">
        <v>0</v>
      </c>
      <c r="H91" s="14">
        <v>13569.376957149158</v>
      </c>
      <c r="I91" s="14">
        <v>6974.659755974666</v>
      </c>
      <c r="J91" s="14">
        <v>0</v>
      </c>
      <c r="K91" s="16">
        <f t="shared" si="8"/>
        <v>20544.036713123824</v>
      </c>
    </row>
    <row r="92" spans="1:11" ht="18" customHeight="1">
      <c r="A92" s="5" t="s">
        <v>120</v>
      </c>
      <c r="B92" s="341" t="s">
        <v>121</v>
      </c>
      <c r="F92" s="38">
        <v>53</v>
      </c>
      <c r="G92" s="38">
        <v>0</v>
      </c>
      <c r="H92" s="38">
        <v>2066.6005135888081</v>
      </c>
      <c r="I92" s="38">
        <v>1062.2326639846474</v>
      </c>
      <c r="J92" s="38">
        <v>0</v>
      </c>
      <c r="K92" s="16">
        <f t="shared" si="8"/>
        <v>3128.8331775734555</v>
      </c>
    </row>
    <row r="93" spans="1:11" ht="18" customHeight="1">
      <c r="A93" s="5" t="s">
        <v>122</v>
      </c>
      <c r="B93" s="341" t="s">
        <v>123</v>
      </c>
      <c r="F93" s="14">
        <v>638</v>
      </c>
      <c r="G93" s="14">
        <v>2023</v>
      </c>
      <c r="H93" s="14">
        <v>26566.025981495786</v>
      </c>
      <c r="I93" s="14">
        <v>13654.937354488835</v>
      </c>
      <c r="J93" s="14">
        <v>0</v>
      </c>
      <c r="K93" s="16">
        <f t="shared" si="8"/>
        <v>40220.963335984619</v>
      </c>
    </row>
    <row r="94" spans="1:11" ht="18" customHeight="1">
      <c r="A94" s="5" t="s">
        <v>124</v>
      </c>
      <c r="B94" s="642"/>
      <c r="C94" s="643"/>
      <c r="D94" s="644"/>
      <c r="F94" s="14"/>
      <c r="G94" s="14"/>
      <c r="H94" s="427"/>
      <c r="I94" s="428">
        <v>0</v>
      </c>
      <c r="J94" s="427"/>
      <c r="K94" s="16">
        <f t="shared" si="8"/>
        <v>0</v>
      </c>
    </row>
    <row r="95" spans="1:11" ht="18" customHeight="1">
      <c r="A95" s="5" t="s">
        <v>125</v>
      </c>
      <c r="B95" s="642"/>
      <c r="C95" s="643"/>
      <c r="D95" s="644"/>
      <c r="F95" s="14"/>
      <c r="G95" s="14"/>
      <c r="H95" s="427"/>
      <c r="I95" s="428">
        <v>0</v>
      </c>
      <c r="J95" s="427"/>
      <c r="K95" s="16">
        <f t="shared" si="8"/>
        <v>0</v>
      </c>
    </row>
    <row r="96" spans="1:11" ht="18" customHeight="1">
      <c r="A96" s="5" t="s">
        <v>126</v>
      </c>
      <c r="B96" s="642"/>
      <c r="C96" s="643"/>
      <c r="D96" s="644"/>
      <c r="F96" s="14"/>
      <c r="G96" s="14"/>
      <c r="H96" s="427"/>
      <c r="I96" s="428">
        <v>0</v>
      </c>
      <c r="J96" s="427"/>
      <c r="K96" s="16">
        <f t="shared" si="8"/>
        <v>0</v>
      </c>
    </row>
    <row r="97" spans="1:11" ht="18" customHeight="1">
      <c r="A97" s="5"/>
      <c r="B97" s="341"/>
    </row>
    <row r="98" spans="1:11" ht="18" customHeight="1">
      <c r="A98" s="6" t="s">
        <v>150</v>
      </c>
      <c r="B98" s="2" t="s">
        <v>151</v>
      </c>
      <c r="E98" s="2" t="s">
        <v>7</v>
      </c>
      <c r="F98" s="18">
        <f t="shared" ref="F98:K98" si="9">SUM(F86:F96)</f>
        <v>1039</v>
      </c>
      <c r="G98" s="18">
        <f t="shared" si="9"/>
        <v>2023</v>
      </c>
      <c r="H98" s="429">
        <f t="shared" si="9"/>
        <v>45702.003452233752</v>
      </c>
      <c r="I98" s="429">
        <f t="shared" si="9"/>
        <v>23490.829774448146</v>
      </c>
      <c r="J98" s="429">
        <f t="shared" si="9"/>
        <v>0</v>
      </c>
      <c r="K98" s="18">
        <f t="shared" si="9"/>
        <v>69192.833226681891</v>
      </c>
    </row>
    <row r="99" spans="1:11" ht="18" customHeight="1" thickBot="1">
      <c r="B99" s="2"/>
      <c r="F99" s="24"/>
      <c r="G99" s="24"/>
      <c r="H99" s="431"/>
      <c r="I99" s="431"/>
      <c r="J99" s="431"/>
      <c r="K99" s="24"/>
    </row>
    <row r="100" spans="1:11" ht="42.75" customHeight="1">
      <c r="F100" s="9" t="s">
        <v>9</v>
      </c>
      <c r="G100" s="9" t="s">
        <v>37</v>
      </c>
      <c r="H100" s="426" t="s">
        <v>29</v>
      </c>
      <c r="I100" s="426" t="s">
        <v>30</v>
      </c>
      <c r="J100" s="426" t="s">
        <v>33</v>
      </c>
      <c r="K100" s="9" t="s">
        <v>34</v>
      </c>
    </row>
    <row r="101" spans="1:11" ht="18" customHeight="1">
      <c r="A101" s="6" t="s">
        <v>130</v>
      </c>
      <c r="B101" s="2" t="s">
        <v>63</v>
      </c>
    </row>
    <row r="102" spans="1:11" ht="18" customHeight="1">
      <c r="A102" s="5" t="s">
        <v>131</v>
      </c>
      <c r="B102" s="341" t="s">
        <v>152</v>
      </c>
      <c r="F102" s="14">
        <v>500</v>
      </c>
      <c r="G102" s="14">
        <v>0</v>
      </c>
      <c r="H102" s="14">
        <v>19496.231260271776</v>
      </c>
      <c r="I102" s="14">
        <v>10021.062867779692</v>
      </c>
      <c r="J102" s="14">
        <v>0</v>
      </c>
      <c r="K102" s="16">
        <f>(H102+I102)-J102</f>
        <v>29517.294128051468</v>
      </c>
    </row>
    <row r="103" spans="1:11" ht="18" customHeight="1">
      <c r="A103" s="5" t="s">
        <v>132</v>
      </c>
      <c r="B103" s="641" t="s">
        <v>62</v>
      </c>
      <c r="C103" s="641"/>
      <c r="F103" s="14">
        <v>320</v>
      </c>
      <c r="G103" s="14">
        <v>0</v>
      </c>
      <c r="H103" s="14">
        <v>15942.588006573937</v>
      </c>
      <c r="I103" s="14">
        <v>8194.4902353790021</v>
      </c>
      <c r="J103" s="14">
        <v>0</v>
      </c>
      <c r="K103" s="16">
        <f>(H103+I103)-J103</f>
        <v>24137.078241952939</v>
      </c>
    </row>
    <row r="104" spans="1:11" ht="18" customHeight="1">
      <c r="A104" s="5" t="s">
        <v>128</v>
      </c>
      <c r="B104" s="642"/>
      <c r="C104" s="643"/>
      <c r="D104" s="644"/>
      <c r="F104" s="14"/>
      <c r="G104" s="14"/>
      <c r="H104" s="427"/>
      <c r="I104" s="428">
        <v>0</v>
      </c>
      <c r="J104" s="427"/>
      <c r="K104" s="16">
        <f>(H104+I104)-J104</f>
        <v>0</v>
      </c>
    </row>
    <row r="105" spans="1:11" ht="18" customHeight="1">
      <c r="A105" s="5" t="s">
        <v>127</v>
      </c>
      <c r="B105" s="642"/>
      <c r="C105" s="643"/>
      <c r="D105" s="644"/>
      <c r="F105" s="14"/>
      <c r="G105" s="14"/>
      <c r="H105" s="427"/>
      <c r="I105" s="428">
        <v>0</v>
      </c>
      <c r="J105" s="427"/>
      <c r="K105" s="16">
        <f>(H105+I105)-J105</f>
        <v>0</v>
      </c>
    </row>
    <row r="106" spans="1:11" ht="18" customHeight="1">
      <c r="A106" s="5" t="s">
        <v>129</v>
      </c>
      <c r="B106" s="642"/>
      <c r="C106" s="643"/>
      <c r="D106" s="644"/>
      <c r="F106" s="14"/>
      <c r="G106" s="14"/>
      <c r="H106" s="427"/>
      <c r="I106" s="428">
        <v>0</v>
      </c>
      <c r="J106" s="427"/>
      <c r="K106" s="16">
        <f>(H106+I106)-J106</f>
        <v>0</v>
      </c>
    </row>
    <row r="107" spans="1:11" ht="18" customHeight="1">
      <c r="B107" s="2"/>
    </row>
    <row r="108" spans="1:11" s="10" customFormat="1" ht="18" customHeight="1">
      <c r="A108" s="6" t="s">
        <v>153</v>
      </c>
      <c r="B108" s="63" t="s">
        <v>154</v>
      </c>
      <c r="C108"/>
      <c r="D108"/>
      <c r="E108" s="2" t="s">
        <v>7</v>
      </c>
      <c r="F108" s="18">
        <f t="shared" ref="F108:K108" si="10">SUM(F102:F106)</f>
        <v>820</v>
      </c>
      <c r="G108" s="18">
        <f t="shared" si="10"/>
        <v>0</v>
      </c>
      <c r="H108" s="429">
        <f t="shared" si="10"/>
        <v>35438.819266845712</v>
      </c>
      <c r="I108" s="429">
        <f t="shared" si="10"/>
        <v>18215.553103158694</v>
      </c>
      <c r="J108" s="429">
        <f t="shared" si="10"/>
        <v>0</v>
      </c>
      <c r="K108" s="16">
        <f t="shared" si="10"/>
        <v>53654.372370004407</v>
      </c>
    </row>
    <row r="109" spans="1:11" s="10" customFormat="1" ht="18" customHeight="1" thickBot="1">
      <c r="A109" s="11"/>
      <c r="B109" s="12"/>
      <c r="C109" s="13"/>
      <c r="D109" s="13"/>
      <c r="E109" s="13"/>
      <c r="F109" s="24"/>
      <c r="G109" s="24"/>
      <c r="H109" s="431"/>
      <c r="I109" s="431"/>
      <c r="J109" s="431"/>
      <c r="K109" s="24"/>
    </row>
    <row r="110" spans="1:11" s="10" customFormat="1" ht="18" customHeight="1">
      <c r="A110" s="6" t="s">
        <v>156</v>
      </c>
      <c r="B110" s="2" t="s">
        <v>39</v>
      </c>
      <c r="C110"/>
      <c r="D110"/>
      <c r="E110"/>
      <c r="F110"/>
      <c r="G110"/>
      <c r="H110" s="425"/>
      <c r="I110" s="425"/>
      <c r="J110" s="425"/>
      <c r="K110"/>
    </row>
    <row r="111" spans="1:11" ht="18" customHeight="1">
      <c r="A111" s="6" t="s">
        <v>155</v>
      </c>
      <c r="B111" s="2" t="s">
        <v>164</v>
      </c>
      <c r="E111" s="2" t="s">
        <v>7</v>
      </c>
      <c r="F111" s="442">
        <v>5828000</v>
      </c>
    </row>
    <row r="112" spans="1:11" ht="18" customHeight="1">
      <c r="B112" s="2"/>
      <c r="E112" s="2"/>
      <c r="F112" s="22"/>
    </row>
    <row r="113" spans="1:6" ht="18" customHeight="1">
      <c r="A113" s="6"/>
      <c r="B113" s="2" t="s">
        <v>15</v>
      </c>
    </row>
    <row r="114" spans="1:6" ht="18" customHeight="1">
      <c r="A114" s="5" t="s">
        <v>171</v>
      </c>
      <c r="B114" s="341" t="s">
        <v>35</v>
      </c>
      <c r="F114" s="25">
        <v>0.51400000000000001</v>
      </c>
    </row>
    <row r="115" spans="1:6" ht="18" customHeight="1">
      <c r="A115" s="5"/>
      <c r="B115" s="2"/>
    </row>
    <row r="116" spans="1:6" ht="18" customHeight="1">
      <c r="A116" s="5" t="s">
        <v>170</v>
      </c>
      <c r="B116" s="2" t="s">
        <v>16</v>
      </c>
    </row>
    <row r="117" spans="1:6" ht="18" customHeight="1">
      <c r="A117" s="5" t="s">
        <v>172</v>
      </c>
      <c r="B117" s="341" t="s">
        <v>17</v>
      </c>
      <c r="F117" s="442">
        <v>167472000</v>
      </c>
    </row>
    <row r="118" spans="1:6" ht="18" customHeight="1">
      <c r="A118" s="5" t="s">
        <v>173</v>
      </c>
      <c r="B118" t="s">
        <v>18</v>
      </c>
      <c r="F118" s="442">
        <v>2656000</v>
      </c>
    </row>
    <row r="119" spans="1:6" ht="18" customHeight="1">
      <c r="A119" s="5" t="s">
        <v>174</v>
      </c>
      <c r="B119" s="2" t="s">
        <v>19</v>
      </c>
      <c r="F119" s="443">
        <f>SUM(F117:F118)</f>
        <v>170128000</v>
      </c>
    </row>
    <row r="120" spans="1:6" ht="18" customHeight="1">
      <c r="A120" s="5"/>
      <c r="B120" s="2"/>
      <c r="F120" s="444"/>
    </row>
    <row r="121" spans="1:6" ht="18" customHeight="1">
      <c r="A121" s="5" t="s">
        <v>167</v>
      </c>
      <c r="B121" s="2" t="s">
        <v>36</v>
      </c>
      <c r="F121" s="442">
        <v>160829000</v>
      </c>
    </row>
    <row r="122" spans="1:6" ht="18" customHeight="1">
      <c r="A122" s="5"/>
      <c r="F122" s="444"/>
    </row>
    <row r="123" spans="1:6" ht="18" customHeight="1">
      <c r="A123" s="5" t="s">
        <v>175</v>
      </c>
      <c r="B123" s="2" t="s">
        <v>20</v>
      </c>
      <c r="F123" s="442">
        <f>-F121+F119</f>
        <v>9299000</v>
      </c>
    </row>
    <row r="124" spans="1:6" ht="18" customHeight="1">
      <c r="A124" s="5"/>
    </row>
    <row r="125" spans="1:6" ht="18" customHeight="1">
      <c r="A125" s="5" t="s">
        <v>176</v>
      </c>
      <c r="B125" s="2" t="s">
        <v>21</v>
      </c>
      <c r="F125" s="442">
        <v>7882000</v>
      </c>
    </row>
    <row r="126" spans="1:6" ht="18" customHeight="1">
      <c r="A126" s="5"/>
      <c r="F126" s="444"/>
    </row>
    <row r="127" spans="1:6" ht="18" customHeight="1">
      <c r="A127" s="5" t="s">
        <v>177</v>
      </c>
      <c r="B127" s="2" t="s">
        <v>22</v>
      </c>
      <c r="F127" s="442">
        <f>+F123+F125</f>
        <v>17181000</v>
      </c>
    </row>
    <row r="128" spans="1:6" ht="18" customHeight="1">
      <c r="A128" s="5"/>
    </row>
    <row r="129" spans="1:11" ht="42.75" customHeight="1">
      <c r="F129" s="9" t="s">
        <v>9</v>
      </c>
      <c r="G129" s="9" t="s">
        <v>37</v>
      </c>
      <c r="H129" s="426" t="s">
        <v>29</v>
      </c>
      <c r="I129" s="426" t="s">
        <v>30</v>
      </c>
      <c r="J129" s="426" t="s">
        <v>33</v>
      </c>
      <c r="K129" s="9" t="s">
        <v>34</v>
      </c>
    </row>
    <row r="130" spans="1:11" ht="18" customHeight="1">
      <c r="A130" s="6" t="s">
        <v>157</v>
      </c>
      <c r="B130" s="2" t="s">
        <v>23</v>
      </c>
    </row>
    <row r="131" spans="1:11" ht="18" customHeight="1">
      <c r="A131" s="5" t="s">
        <v>158</v>
      </c>
      <c r="B131" t="s">
        <v>24</v>
      </c>
      <c r="F131" s="14"/>
      <c r="G131" s="14"/>
      <c r="H131" s="427">
        <v>66452</v>
      </c>
      <c r="I131" s="428">
        <v>0</v>
      </c>
      <c r="J131" s="427">
        <v>101423</v>
      </c>
      <c r="K131" s="16">
        <f>(H131+I131)-J131</f>
        <v>-34971</v>
      </c>
    </row>
    <row r="132" spans="1:11" ht="18" customHeight="1">
      <c r="A132" s="5" t="s">
        <v>159</v>
      </c>
      <c r="B132" t="s">
        <v>25</v>
      </c>
      <c r="F132" s="14"/>
      <c r="G132" s="14"/>
      <c r="H132" s="427">
        <v>110925</v>
      </c>
      <c r="I132" s="428">
        <v>0</v>
      </c>
      <c r="J132" s="427">
        <v>0</v>
      </c>
      <c r="K132" s="16">
        <f>(H132+I132)-J132</f>
        <v>110925</v>
      </c>
    </row>
    <row r="133" spans="1:11" ht="18" customHeight="1">
      <c r="A133" s="5" t="s">
        <v>160</v>
      </c>
      <c r="B133" s="636"/>
      <c r="C133" s="637"/>
      <c r="D133" s="638"/>
      <c r="F133" s="14"/>
      <c r="G133" s="14"/>
      <c r="H133" s="427"/>
      <c r="I133" s="428">
        <v>0</v>
      </c>
      <c r="J133" s="427"/>
      <c r="K133" s="16">
        <f>(H133+I133)-J133</f>
        <v>0</v>
      </c>
    </row>
    <row r="134" spans="1:11" ht="18" customHeight="1">
      <c r="A134" s="5" t="s">
        <v>161</v>
      </c>
      <c r="B134" s="636"/>
      <c r="C134" s="637"/>
      <c r="D134" s="638"/>
      <c r="F134" s="14"/>
      <c r="G134" s="14"/>
      <c r="H134" s="427"/>
      <c r="I134" s="428">
        <v>0</v>
      </c>
      <c r="J134" s="427"/>
      <c r="K134" s="16">
        <f>(H134+I134)-J134</f>
        <v>0</v>
      </c>
    </row>
    <row r="135" spans="1:11" ht="18" customHeight="1">
      <c r="A135" s="5" t="s">
        <v>162</v>
      </c>
      <c r="B135" s="636"/>
      <c r="C135" s="637"/>
      <c r="D135" s="638"/>
      <c r="F135" s="14"/>
      <c r="G135" s="14"/>
      <c r="H135" s="427"/>
      <c r="I135" s="428">
        <v>0</v>
      </c>
      <c r="J135" s="427"/>
      <c r="K135" s="16">
        <f>(H135+I135)-J135</f>
        <v>0</v>
      </c>
    </row>
    <row r="136" spans="1:11" ht="18" customHeight="1">
      <c r="A136" s="6"/>
    </row>
    <row r="137" spans="1:11" ht="18" customHeight="1">
      <c r="A137" s="6" t="s">
        <v>163</v>
      </c>
      <c r="B137" s="2" t="s">
        <v>27</v>
      </c>
      <c r="F137" s="18">
        <f t="shared" ref="F137:K137" si="11">SUM(F131:F135)</f>
        <v>0</v>
      </c>
      <c r="G137" s="18">
        <f t="shared" si="11"/>
        <v>0</v>
      </c>
      <c r="H137" s="429">
        <f t="shared" si="11"/>
        <v>177377</v>
      </c>
      <c r="I137" s="429">
        <f t="shared" si="11"/>
        <v>0</v>
      </c>
      <c r="J137" s="429">
        <f t="shared" si="11"/>
        <v>101423</v>
      </c>
      <c r="K137" s="16">
        <f t="shared" si="11"/>
        <v>75954</v>
      </c>
    </row>
    <row r="138" spans="1:11" ht="18" customHeight="1">
      <c r="A138"/>
    </row>
    <row r="139" spans="1:11" ht="42.75" customHeight="1">
      <c r="F139" s="9" t="s">
        <v>9</v>
      </c>
      <c r="G139" s="9" t="s">
        <v>37</v>
      </c>
      <c r="H139" s="426" t="s">
        <v>29</v>
      </c>
      <c r="I139" s="426" t="s">
        <v>30</v>
      </c>
      <c r="J139" s="426" t="s">
        <v>33</v>
      </c>
      <c r="K139" s="9" t="s">
        <v>34</v>
      </c>
    </row>
    <row r="140" spans="1:11" ht="18" customHeight="1">
      <c r="A140" s="6" t="s">
        <v>166</v>
      </c>
      <c r="B140" s="2" t="s">
        <v>26</v>
      </c>
    </row>
    <row r="141" spans="1:11" ht="18" customHeight="1">
      <c r="A141" s="5" t="s">
        <v>137</v>
      </c>
      <c r="B141" s="2" t="s">
        <v>64</v>
      </c>
      <c r="F141" s="41">
        <f t="shared" ref="F141:K141" si="12">F36</f>
        <v>20539.900000000001</v>
      </c>
      <c r="G141" s="41">
        <f t="shared" si="12"/>
        <v>5548</v>
      </c>
      <c r="H141" s="445">
        <f t="shared" si="12"/>
        <v>867098.96128397877</v>
      </c>
      <c r="I141" s="445">
        <f t="shared" si="12"/>
        <v>445688.866099965</v>
      </c>
      <c r="J141" s="445">
        <f t="shared" si="12"/>
        <v>36919</v>
      </c>
      <c r="K141" s="41">
        <f t="shared" si="12"/>
        <v>1275868.8273839438</v>
      </c>
    </row>
    <row r="142" spans="1:11" ht="18" customHeight="1">
      <c r="A142" s="5" t="s">
        <v>142</v>
      </c>
      <c r="B142" s="2" t="s">
        <v>65</v>
      </c>
      <c r="F142" s="41">
        <f t="shared" ref="F142:K142" si="13">F49</f>
        <v>587.20000000000005</v>
      </c>
      <c r="G142" s="41">
        <f t="shared" si="13"/>
        <v>31</v>
      </c>
      <c r="H142" s="445">
        <f t="shared" si="13"/>
        <v>524780.3367018078</v>
      </c>
      <c r="I142" s="445">
        <f t="shared" si="13"/>
        <v>75063.7070647293</v>
      </c>
      <c r="J142" s="445">
        <f t="shared" si="13"/>
        <v>0</v>
      </c>
      <c r="K142" s="41">
        <f t="shared" si="13"/>
        <v>599844.0437665371</v>
      </c>
    </row>
    <row r="143" spans="1:11" ht="18" customHeight="1">
      <c r="A143" s="5" t="s">
        <v>144</v>
      </c>
      <c r="B143" s="2" t="s">
        <v>66</v>
      </c>
      <c r="F143" s="41">
        <f t="shared" ref="F143:K143" si="14">F64</f>
        <v>43614.025765678176</v>
      </c>
      <c r="G143" s="41">
        <f t="shared" si="14"/>
        <v>52507.025765678176</v>
      </c>
      <c r="H143" s="445">
        <f t="shared" si="14"/>
        <v>5742039.7439209037</v>
      </c>
      <c r="I143" s="445">
        <f t="shared" si="14"/>
        <v>339875.56301534449</v>
      </c>
      <c r="J143" s="445">
        <f t="shared" si="14"/>
        <v>9021</v>
      </c>
      <c r="K143" s="41">
        <f t="shared" si="14"/>
        <v>6072894.3069362491</v>
      </c>
    </row>
    <row r="144" spans="1:11" ht="18" customHeight="1">
      <c r="A144" s="5" t="s">
        <v>146</v>
      </c>
      <c r="B144" s="2" t="s">
        <v>67</v>
      </c>
      <c r="F144" s="41">
        <f t="shared" ref="F144:K144" si="15">F74</f>
        <v>0</v>
      </c>
      <c r="G144" s="41">
        <f t="shared" si="15"/>
        <v>0</v>
      </c>
      <c r="H144" s="445">
        <f t="shared" si="15"/>
        <v>0</v>
      </c>
      <c r="I144" s="445">
        <f t="shared" si="15"/>
        <v>0</v>
      </c>
      <c r="J144" s="445">
        <f t="shared" si="15"/>
        <v>0</v>
      </c>
      <c r="K144" s="41">
        <f t="shared" si="15"/>
        <v>0</v>
      </c>
    </row>
    <row r="145" spans="1:11" ht="18" customHeight="1">
      <c r="A145" s="5" t="s">
        <v>148</v>
      </c>
      <c r="B145" s="2" t="s">
        <v>68</v>
      </c>
      <c r="F145" s="41">
        <f t="shared" ref="F145:K145" si="16">F82</f>
        <v>0</v>
      </c>
      <c r="G145" s="41">
        <f t="shared" si="16"/>
        <v>0</v>
      </c>
      <c r="H145" s="445">
        <f t="shared" si="16"/>
        <v>271173</v>
      </c>
      <c r="I145" s="445">
        <f t="shared" si="16"/>
        <v>139382.92199999999</v>
      </c>
      <c r="J145" s="445">
        <f t="shared" si="16"/>
        <v>0</v>
      </c>
      <c r="K145" s="41">
        <f t="shared" si="16"/>
        <v>410555.92200000002</v>
      </c>
    </row>
    <row r="146" spans="1:11" ht="18" customHeight="1">
      <c r="A146" s="5" t="s">
        <v>150</v>
      </c>
      <c r="B146" s="2" t="s">
        <v>69</v>
      </c>
      <c r="F146" s="41">
        <f t="shared" ref="F146:K146" si="17">F98</f>
        <v>1039</v>
      </c>
      <c r="G146" s="41">
        <f t="shared" si="17"/>
        <v>2023</v>
      </c>
      <c r="H146" s="445">
        <f t="shared" si="17"/>
        <v>45702.003452233752</v>
      </c>
      <c r="I146" s="445">
        <f t="shared" si="17"/>
        <v>23490.829774448146</v>
      </c>
      <c r="J146" s="445">
        <f t="shared" si="17"/>
        <v>0</v>
      </c>
      <c r="K146" s="41">
        <f t="shared" si="17"/>
        <v>69192.833226681891</v>
      </c>
    </row>
    <row r="147" spans="1:11" ht="18" customHeight="1">
      <c r="A147" s="5" t="s">
        <v>153</v>
      </c>
      <c r="B147" s="2" t="s">
        <v>61</v>
      </c>
      <c r="F147" s="18">
        <f t="shared" ref="F147:K147" si="18">F108</f>
        <v>820</v>
      </c>
      <c r="G147" s="18">
        <f t="shared" si="18"/>
        <v>0</v>
      </c>
      <c r="H147" s="429">
        <f t="shared" si="18"/>
        <v>35438.819266845712</v>
      </c>
      <c r="I147" s="429">
        <f t="shared" si="18"/>
        <v>18215.553103158694</v>
      </c>
      <c r="J147" s="429">
        <f t="shared" si="18"/>
        <v>0</v>
      </c>
      <c r="K147" s="18">
        <f t="shared" si="18"/>
        <v>53654.372370004407</v>
      </c>
    </row>
    <row r="148" spans="1:11" ht="18" customHeight="1">
      <c r="A148" s="5" t="s">
        <v>155</v>
      </c>
      <c r="B148" s="2" t="s">
        <v>70</v>
      </c>
      <c r="F148" s="42" t="s">
        <v>73</v>
      </c>
      <c r="G148" s="42" t="s">
        <v>73</v>
      </c>
      <c r="H148" s="446" t="s">
        <v>73</v>
      </c>
      <c r="I148" s="446" t="s">
        <v>73</v>
      </c>
      <c r="J148" s="446" t="s">
        <v>73</v>
      </c>
      <c r="K148" s="37">
        <f>F111</f>
        <v>5828000</v>
      </c>
    </row>
    <row r="149" spans="1:11" ht="18" customHeight="1">
      <c r="A149" s="5" t="s">
        <v>163</v>
      </c>
      <c r="B149" s="2" t="s">
        <v>71</v>
      </c>
      <c r="F149" s="18">
        <f t="shared" ref="F149:K149" si="19">F137</f>
        <v>0</v>
      </c>
      <c r="G149" s="18">
        <f t="shared" si="19"/>
        <v>0</v>
      </c>
      <c r="H149" s="429">
        <f t="shared" si="19"/>
        <v>177377</v>
      </c>
      <c r="I149" s="429">
        <f t="shared" si="19"/>
        <v>0</v>
      </c>
      <c r="J149" s="429">
        <f t="shared" si="19"/>
        <v>101423</v>
      </c>
      <c r="K149" s="18">
        <f t="shared" si="19"/>
        <v>75954</v>
      </c>
    </row>
    <row r="150" spans="1:11" ht="18" customHeight="1">
      <c r="A150" s="5" t="s">
        <v>185</v>
      </c>
      <c r="B150" s="2" t="s">
        <v>186</v>
      </c>
      <c r="F150" s="42" t="s">
        <v>73</v>
      </c>
      <c r="G150" s="42" t="s">
        <v>73</v>
      </c>
      <c r="H150" s="429">
        <f>H18</f>
        <v>4778607</v>
      </c>
      <c r="I150" s="429">
        <f>I18</f>
        <v>0</v>
      </c>
      <c r="J150" s="429">
        <f>J18</f>
        <v>4086307</v>
      </c>
      <c r="K150" s="18">
        <f>K18</f>
        <v>692300</v>
      </c>
    </row>
    <row r="151" spans="1:11" ht="18" customHeight="1">
      <c r="B151" s="2"/>
      <c r="F151" s="48"/>
      <c r="G151" s="48"/>
      <c r="H151" s="434"/>
      <c r="I151" s="434"/>
      <c r="J151" s="434"/>
      <c r="K151" s="48"/>
    </row>
    <row r="152" spans="1:11" ht="18" customHeight="1">
      <c r="A152" s="6" t="s">
        <v>165</v>
      </c>
      <c r="B152" s="2" t="s">
        <v>26</v>
      </c>
      <c r="F152" s="49">
        <f t="shared" ref="F152:K152" si="20">SUM(F141:F150)</f>
        <v>66600.125765678182</v>
      </c>
      <c r="G152" s="49">
        <f t="shared" si="20"/>
        <v>60109.025765678176</v>
      </c>
      <c r="H152" s="447">
        <f t="shared" si="20"/>
        <v>12442216.864625771</v>
      </c>
      <c r="I152" s="447">
        <f t="shared" si="20"/>
        <v>1041717.4410576457</v>
      </c>
      <c r="J152" s="447">
        <f t="shared" si="20"/>
        <v>4233670</v>
      </c>
      <c r="K152" s="49">
        <f t="shared" si="20"/>
        <v>15078264.305683417</v>
      </c>
    </row>
    <row r="154" spans="1:11" ht="18" customHeight="1">
      <c r="A154" s="6" t="s">
        <v>168</v>
      </c>
      <c r="B154" s="2" t="s">
        <v>28</v>
      </c>
      <c r="F154" s="448">
        <f>K152/F121</f>
        <v>9.3753392147457343E-2</v>
      </c>
    </row>
    <row r="155" spans="1:11" ht="18" customHeight="1">
      <c r="A155" s="6" t="s">
        <v>169</v>
      </c>
      <c r="B155" s="2" t="s">
        <v>72</v>
      </c>
      <c r="F155" s="448">
        <f>K152/F127</f>
        <v>0.87761272950837654</v>
      </c>
      <c r="G155" s="2"/>
    </row>
    <row r="156" spans="1:11" ht="18" customHeight="1">
      <c r="G156" s="2"/>
    </row>
    <row r="157" spans="1:11" ht="42" hidden="1" customHeight="1">
      <c r="B157" s="449" t="s">
        <v>787</v>
      </c>
      <c r="F157" s="9" t="s">
        <v>9</v>
      </c>
      <c r="G157" s="9" t="s">
        <v>37</v>
      </c>
      <c r="H157" s="426" t="s">
        <v>29</v>
      </c>
      <c r="I157" s="426" t="s">
        <v>30</v>
      </c>
      <c r="J157" s="426" t="s">
        <v>33</v>
      </c>
      <c r="K157" s="9" t="s">
        <v>34</v>
      </c>
    </row>
    <row r="158" spans="1:11" ht="18" hidden="1" customHeight="1">
      <c r="B158" s="2" t="str">
        <f>+B152</f>
        <v>TOTAL HOSPITAL COMMUNITY BENEFIT</v>
      </c>
      <c r="F158" s="450">
        <f t="shared" ref="F158:K158" si="21">+F152</f>
        <v>66600.125765678182</v>
      </c>
      <c r="G158" s="450">
        <f t="shared" si="21"/>
        <v>60109.025765678176</v>
      </c>
      <c r="H158" s="450">
        <f t="shared" si="21"/>
        <v>12442216.864625771</v>
      </c>
      <c r="I158" s="450">
        <f t="shared" si="21"/>
        <v>1041717.4410576457</v>
      </c>
      <c r="J158" s="450">
        <f t="shared" si="21"/>
        <v>4233670</v>
      </c>
      <c r="K158" s="450">
        <f t="shared" si="21"/>
        <v>15078264.305683417</v>
      </c>
    </row>
    <row r="159" spans="1:11" ht="18" hidden="1" customHeight="1">
      <c r="B159" s="2" t="s">
        <v>788</v>
      </c>
    </row>
    <row r="160" spans="1:11" ht="18" hidden="1" customHeight="1">
      <c r="A160" s="3"/>
      <c r="B160" s="5" t="s">
        <v>181</v>
      </c>
      <c r="F160" s="451" t="str">
        <f t="shared" ref="F160:K160" si="22">+F18</f>
        <v>N/A</v>
      </c>
      <c r="G160" s="451" t="str">
        <f t="shared" si="22"/>
        <v>N/A</v>
      </c>
      <c r="H160" s="451">
        <f t="shared" si="22"/>
        <v>4778607</v>
      </c>
      <c r="I160" s="451">
        <f t="shared" si="22"/>
        <v>0</v>
      </c>
      <c r="J160" s="451">
        <f t="shared" si="22"/>
        <v>4086307</v>
      </c>
      <c r="K160" s="450">
        <f t="shared" si="22"/>
        <v>692300</v>
      </c>
    </row>
    <row r="161" spans="2:11" ht="18" hidden="1" customHeight="1">
      <c r="B161" s="5" t="s">
        <v>164</v>
      </c>
      <c r="F161" s="452"/>
      <c r="G161" s="453"/>
      <c r="H161" s="454"/>
      <c r="I161" s="454"/>
      <c r="J161" s="454"/>
      <c r="K161" s="455">
        <f>+K148</f>
        <v>5828000</v>
      </c>
    </row>
    <row r="162" spans="2:11" ht="18" hidden="1" customHeight="1">
      <c r="F162" s="453"/>
      <c r="G162" s="453"/>
      <c r="H162" s="454"/>
      <c r="I162" s="454"/>
      <c r="J162" s="454"/>
      <c r="K162" s="453"/>
    </row>
    <row r="163" spans="2:11" ht="18" hidden="1" customHeight="1">
      <c r="B163" s="2" t="s">
        <v>789</v>
      </c>
      <c r="F163" s="451">
        <f t="shared" ref="F163:K163" si="23">+F152-SUM(F160:F161)</f>
        <v>66600.125765678182</v>
      </c>
      <c r="G163" s="451">
        <f t="shared" si="23"/>
        <v>60109.025765678176</v>
      </c>
      <c r="H163" s="451">
        <f t="shared" si="23"/>
        <v>7663609.8646257706</v>
      </c>
      <c r="I163" s="451">
        <f t="shared" si="23"/>
        <v>1041717.4410576457</v>
      </c>
      <c r="J163" s="451">
        <f t="shared" si="23"/>
        <v>147363</v>
      </c>
      <c r="K163" s="451">
        <f t="shared" si="23"/>
        <v>8557964.3056834172</v>
      </c>
    </row>
    <row r="164" spans="2:11" ht="18" hidden="1" customHeight="1">
      <c r="B164" s="2"/>
      <c r="F164" s="456"/>
      <c r="G164" s="456"/>
      <c r="H164" s="451"/>
      <c r="I164" s="451"/>
      <c r="J164" s="451"/>
      <c r="K164" s="451"/>
    </row>
    <row r="165" spans="2:11" ht="18" hidden="1" customHeight="1">
      <c r="B165" s="2" t="s">
        <v>28</v>
      </c>
      <c r="F165" s="2"/>
      <c r="G165" s="2"/>
      <c r="H165" s="457">
        <f>+H163/$F$121</f>
        <v>4.7650671611623341E-2</v>
      </c>
      <c r="I165" s="457">
        <f>+I163/$F$121</f>
        <v>6.4771741480556724E-3</v>
      </c>
      <c r="J165" s="457">
        <f>+J163/$F$121</f>
        <v>9.1627131922725376E-4</v>
      </c>
      <c r="K165" s="457">
        <f>+K163/$F$121</f>
        <v>5.321157444045177E-2</v>
      </c>
    </row>
    <row r="166" spans="2:11" ht="18" hidden="1" customHeight="1">
      <c r="B166" s="2" t="s">
        <v>72</v>
      </c>
      <c r="F166" s="2"/>
      <c r="G166" s="2"/>
      <c r="H166" s="457">
        <f>+H163/$F$127</f>
        <v>0.44605144430625521</v>
      </c>
      <c r="I166" s="457">
        <f>+I163/$F$127</f>
        <v>6.0631944651513052E-2</v>
      </c>
      <c r="J166" s="457">
        <f>+J163/$F$127</f>
        <v>8.5770909725859969E-3</v>
      </c>
      <c r="K166" s="457">
        <f>+K163/$F$127</f>
        <v>0.4981062979851823</v>
      </c>
    </row>
    <row r="167" spans="2:11" ht="18" hidden="1" customHeight="1"/>
  </sheetData>
  <mergeCells count="32">
    <mergeCell ref="B44:D44"/>
    <mergeCell ref="C5:G5"/>
    <mergeCell ref="C6:G6"/>
    <mergeCell ref="C7:G7"/>
    <mergeCell ref="C9:G9"/>
    <mergeCell ref="C10:G10"/>
    <mergeCell ref="C11:G11"/>
    <mergeCell ref="B13:H13"/>
    <mergeCell ref="B30:D30"/>
    <mergeCell ref="B31:D31"/>
    <mergeCell ref="B34:D34"/>
    <mergeCell ref="B41:C41"/>
    <mergeCell ref="B95:D95"/>
    <mergeCell ref="B45:D45"/>
    <mergeCell ref="B46:D46"/>
    <mergeCell ref="B47:D47"/>
    <mergeCell ref="B52:C52"/>
    <mergeCell ref="B53:D53"/>
    <mergeCell ref="B57:D57"/>
    <mergeCell ref="B59:D59"/>
    <mergeCell ref="B61:D61"/>
    <mergeCell ref="B62:D62"/>
    <mergeCell ref="B90:C90"/>
    <mergeCell ref="B94:D94"/>
    <mergeCell ref="B134:D134"/>
    <mergeCell ref="B135:D135"/>
    <mergeCell ref="B96:D96"/>
    <mergeCell ref="B103:C103"/>
    <mergeCell ref="B104:D104"/>
    <mergeCell ref="B105:D105"/>
    <mergeCell ref="B106:D106"/>
    <mergeCell ref="B133:D133"/>
  </mergeCells>
  <pageMargins left="0.75" right="0.75" top="1" bottom="1" header="0.5" footer="0.5"/>
  <pageSetup scale="60" fitToHeight="0" orientation="landscape" horizontalDpi="1200" verticalDpi="1200" r:id="rId1"/>
  <headerFooter alignWithMargins="0"/>
  <rowBreaks count="6" manualBreakCount="6">
    <brk id="37" max="16383" man="1"/>
    <brk id="65" max="16383" man="1"/>
    <brk id="83" max="16383" man="1"/>
    <brk id="109" max="16383" man="1"/>
    <brk id="128" max="16383" man="1"/>
    <brk id="156"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21" zoomScale="70" zoomScaleNormal="93" zoomScaleSheetLayoutView="70" workbookViewId="0">
      <selection activeCell="F119" sqref="F119"/>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858</v>
      </c>
      <c r="D5" s="654"/>
      <c r="E5" s="654"/>
      <c r="F5" s="654"/>
      <c r="G5" s="655"/>
    </row>
    <row r="6" spans="1:11" ht="18" customHeight="1">
      <c r="B6" s="5" t="s">
        <v>3</v>
      </c>
      <c r="C6" s="671" t="s">
        <v>857</v>
      </c>
      <c r="D6" s="657"/>
      <c r="E6" s="657"/>
      <c r="F6" s="657"/>
      <c r="G6" s="658"/>
    </row>
    <row r="7" spans="1:11" ht="18" customHeight="1">
      <c r="B7" s="5" t="s">
        <v>4</v>
      </c>
      <c r="C7" s="676" t="s">
        <v>856</v>
      </c>
      <c r="D7" s="660"/>
      <c r="E7" s="660"/>
      <c r="F7" s="660"/>
      <c r="G7" s="661"/>
    </row>
    <row r="9" spans="1:11" ht="18" customHeight="1">
      <c r="B9" s="5" t="s">
        <v>1</v>
      </c>
      <c r="C9" s="670" t="s">
        <v>855</v>
      </c>
      <c r="D9" s="654"/>
      <c r="E9" s="654"/>
      <c r="F9" s="654"/>
      <c r="G9" s="655"/>
    </row>
    <row r="10" spans="1:11" ht="18" customHeight="1">
      <c r="B10" s="5" t="s">
        <v>2</v>
      </c>
      <c r="C10" s="674" t="s">
        <v>854</v>
      </c>
      <c r="D10" s="663"/>
      <c r="E10" s="663"/>
      <c r="F10" s="663"/>
      <c r="G10" s="664"/>
    </row>
    <row r="11" spans="1:11" ht="18" customHeight="1">
      <c r="B11" s="5" t="s">
        <v>32</v>
      </c>
      <c r="C11" s="779" t="s">
        <v>853</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2"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5843680</v>
      </c>
      <c r="I18" s="50">
        <v>0</v>
      </c>
      <c r="J18" s="15">
        <v>4997077</v>
      </c>
      <c r="K18" s="16">
        <f>(H18+I18)-J18</f>
        <v>846603</v>
      </c>
    </row>
    <row r="19" spans="1:11" ht="45.2"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1341</v>
      </c>
      <c r="G21" s="14">
        <v>4682</v>
      </c>
      <c r="H21" s="15">
        <v>42084</v>
      </c>
      <c r="I21" s="50">
        <f t="shared" ref="I21:I34" si="0">H21*F$114</f>
        <v>18365.457600000002</v>
      </c>
      <c r="J21" s="15"/>
      <c r="K21" s="16">
        <f t="shared" ref="K21:K34" si="1">(H21+I21)-J21</f>
        <v>60449.457600000002</v>
      </c>
    </row>
    <row r="22" spans="1:11" ht="18" customHeight="1">
      <c r="A22" s="5" t="s">
        <v>76</v>
      </c>
      <c r="B22" t="s">
        <v>6</v>
      </c>
      <c r="F22" s="14"/>
      <c r="G22" s="14"/>
      <c r="H22" s="15"/>
      <c r="I22" s="50">
        <f t="shared" si="0"/>
        <v>0</v>
      </c>
      <c r="J22" s="15"/>
      <c r="K22" s="16">
        <f t="shared" si="1"/>
        <v>0</v>
      </c>
    </row>
    <row r="23" spans="1:11" ht="18" customHeight="1">
      <c r="A23" s="5" t="s">
        <v>77</v>
      </c>
      <c r="B23" t="s">
        <v>43</v>
      </c>
      <c r="F23" s="14"/>
      <c r="G23" s="14"/>
      <c r="H23" s="15"/>
      <c r="I23" s="50">
        <f t="shared" si="0"/>
        <v>0</v>
      </c>
      <c r="J23" s="15"/>
      <c r="K23" s="16">
        <f t="shared" si="1"/>
        <v>0</v>
      </c>
    </row>
    <row r="24" spans="1:11" ht="18" customHeight="1">
      <c r="A24" s="5" t="s">
        <v>78</v>
      </c>
      <c r="B24" t="s">
        <v>44</v>
      </c>
      <c r="F24" s="14"/>
      <c r="G24" s="14"/>
      <c r="H24" s="15"/>
      <c r="I24" s="50">
        <f t="shared" si="0"/>
        <v>0</v>
      </c>
      <c r="J24" s="15"/>
      <c r="K24" s="16">
        <f t="shared" si="1"/>
        <v>0</v>
      </c>
    </row>
    <row r="25" spans="1:11" ht="18" customHeight="1">
      <c r="A25" s="5" t="s">
        <v>79</v>
      </c>
      <c r="B25" t="s">
        <v>5</v>
      </c>
      <c r="F25" s="14">
        <v>376</v>
      </c>
      <c r="G25" s="14">
        <v>2683</v>
      </c>
      <c r="H25" s="15">
        <v>24858</v>
      </c>
      <c r="I25" s="50">
        <f t="shared" si="0"/>
        <v>10848.031199999999</v>
      </c>
      <c r="J25" s="15"/>
      <c r="K25" s="16">
        <f t="shared" si="1"/>
        <v>35706.031199999998</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18368</v>
      </c>
      <c r="G29" s="14">
        <v>7679</v>
      </c>
      <c r="H29" s="15">
        <v>1070013</v>
      </c>
      <c r="I29" s="50">
        <f t="shared" si="0"/>
        <v>466953.67320000002</v>
      </c>
      <c r="J29" s="15"/>
      <c r="K29" s="16">
        <f t="shared" si="1"/>
        <v>1536966.6732000001</v>
      </c>
    </row>
    <row r="30" spans="1:11" ht="18" customHeight="1">
      <c r="A30" s="5" t="s">
        <v>84</v>
      </c>
      <c r="B30" s="636" t="s">
        <v>852</v>
      </c>
      <c r="C30" s="637"/>
      <c r="D30" s="638"/>
      <c r="F30" s="14">
        <v>134</v>
      </c>
      <c r="G30" s="14">
        <v>114</v>
      </c>
      <c r="H30" s="15">
        <v>4285</v>
      </c>
      <c r="I30" s="50">
        <f t="shared" si="0"/>
        <v>1869.9739999999999</v>
      </c>
      <c r="J30" s="15"/>
      <c r="K30" s="16">
        <f t="shared" si="1"/>
        <v>6154.9740000000002</v>
      </c>
    </row>
    <row r="31" spans="1:11" ht="18" customHeight="1">
      <c r="A31" s="5" t="s">
        <v>133</v>
      </c>
      <c r="B31" s="636"/>
      <c r="C31" s="637"/>
      <c r="D31" s="638"/>
      <c r="F31" s="14"/>
      <c r="G31" s="14"/>
      <c r="H31" s="15"/>
      <c r="I31" s="50">
        <f t="shared" si="0"/>
        <v>0</v>
      </c>
      <c r="J31" s="15"/>
      <c r="K31" s="16">
        <f t="shared" si="1"/>
        <v>0</v>
      </c>
    </row>
    <row r="32" spans="1:11" ht="18" customHeight="1">
      <c r="A32" s="5" t="s">
        <v>134</v>
      </c>
      <c r="B32" s="363"/>
      <c r="C32" s="364"/>
      <c r="D32" s="365"/>
      <c r="F32" s="14"/>
      <c r="G32" s="342" t="s">
        <v>85</v>
      </c>
      <c r="H32" s="15"/>
      <c r="I32" s="50">
        <f t="shared" si="0"/>
        <v>0</v>
      </c>
      <c r="J32" s="15"/>
      <c r="K32" s="16">
        <f t="shared" si="1"/>
        <v>0</v>
      </c>
    </row>
    <row r="33" spans="1:11" ht="18" customHeight="1">
      <c r="A33" s="5" t="s">
        <v>135</v>
      </c>
      <c r="B33" s="363"/>
      <c r="C33" s="364"/>
      <c r="D33" s="365"/>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20219</v>
      </c>
      <c r="G36" s="18">
        <f t="shared" si="2"/>
        <v>15158</v>
      </c>
      <c r="H36" s="18">
        <f t="shared" si="2"/>
        <v>1141240</v>
      </c>
      <c r="I36" s="16">
        <f t="shared" si="2"/>
        <v>498037.136</v>
      </c>
      <c r="J36" s="16">
        <f t="shared" si="2"/>
        <v>0</v>
      </c>
      <c r="K36" s="16">
        <f t="shared" si="2"/>
        <v>1639277.1359999999</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24180</v>
      </c>
      <c r="G40" s="14"/>
      <c r="H40" s="15">
        <v>2652973</v>
      </c>
      <c r="I40" s="50">
        <v>0</v>
      </c>
      <c r="J40" s="15"/>
      <c r="K40" s="16">
        <f t="shared" ref="K40:K47" si="3">(H40+I40)-J40</f>
        <v>2652973</v>
      </c>
    </row>
    <row r="41" spans="1:11" ht="18" customHeight="1">
      <c r="A41" s="5" t="s">
        <v>88</v>
      </c>
      <c r="B41" s="641" t="s">
        <v>50</v>
      </c>
      <c r="C41" s="649"/>
      <c r="F41" s="14">
        <v>90</v>
      </c>
      <c r="G41" s="14"/>
      <c r="H41" s="15">
        <v>3964</v>
      </c>
      <c r="I41" s="50">
        <v>0</v>
      </c>
      <c r="J41" s="15"/>
      <c r="K41" s="16">
        <f t="shared" si="3"/>
        <v>3964</v>
      </c>
    </row>
    <row r="42" spans="1:11" ht="18" customHeight="1">
      <c r="A42" s="5" t="s">
        <v>89</v>
      </c>
      <c r="B42" s="341" t="s">
        <v>11</v>
      </c>
      <c r="F42" s="14">
        <v>992</v>
      </c>
      <c r="G42" s="14"/>
      <c r="H42" s="15">
        <v>28018</v>
      </c>
      <c r="I42" s="50">
        <v>0</v>
      </c>
      <c r="J42" s="15"/>
      <c r="K42" s="16">
        <f t="shared" si="3"/>
        <v>28018</v>
      </c>
    </row>
    <row r="43" spans="1:11" ht="18" customHeight="1">
      <c r="A43" s="5" t="s">
        <v>90</v>
      </c>
      <c r="B43" s="343" t="s">
        <v>10</v>
      </c>
      <c r="C43" s="10"/>
      <c r="D43" s="10"/>
      <c r="F43" s="14">
        <v>5595</v>
      </c>
      <c r="G43" s="14"/>
      <c r="H43" s="15">
        <v>164586</v>
      </c>
      <c r="I43" s="50">
        <v>0</v>
      </c>
      <c r="J43" s="15"/>
      <c r="K43" s="16">
        <f t="shared" si="3"/>
        <v>164586</v>
      </c>
    </row>
    <row r="44" spans="1:11" ht="18" customHeight="1">
      <c r="A44" s="5" t="s">
        <v>91</v>
      </c>
      <c r="B44" s="636" t="s">
        <v>851</v>
      </c>
      <c r="C44" s="637"/>
      <c r="D44" s="638"/>
      <c r="F44" s="14">
        <v>1654</v>
      </c>
      <c r="G44" s="14"/>
      <c r="H44" s="14">
        <v>51010</v>
      </c>
      <c r="I44" s="50">
        <v>0</v>
      </c>
      <c r="J44" s="14"/>
      <c r="K44" s="17">
        <f t="shared" si="3"/>
        <v>51010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32511</v>
      </c>
      <c r="G49" s="23">
        <f t="shared" si="4"/>
        <v>0</v>
      </c>
      <c r="H49" s="16">
        <f t="shared" si="4"/>
        <v>2900551</v>
      </c>
      <c r="I49" s="16">
        <f t="shared" si="4"/>
        <v>0</v>
      </c>
      <c r="J49" s="16">
        <f t="shared" si="4"/>
        <v>0</v>
      </c>
      <c r="K49" s="16">
        <f t="shared" si="4"/>
        <v>2900551</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c r="C53" s="648"/>
      <c r="D53" s="644"/>
      <c r="F53" s="14"/>
      <c r="G53" s="14"/>
      <c r="H53" s="15"/>
      <c r="I53" s="50">
        <v>0</v>
      </c>
      <c r="J53" s="15"/>
      <c r="K53" s="16">
        <f t="shared" ref="K53:K62" si="5">(H53+I53)-J53</f>
        <v>0</v>
      </c>
    </row>
    <row r="54" spans="1:11" ht="18" customHeight="1">
      <c r="A54" s="5" t="s">
        <v>93</v>
      </c>
      <c r="B54" s="360" t="s">
        <v>850</v>
      </c>
      <c r="C54" s="361"/>
      <c r="D54" s="362"/>
      <c r="F54" s="14"/>
      <c r="G54" s="14"/>
      <c r="H54" s="15">
        <v>15600120</v>
      </c>
      <c r="I54" s="50">
        <v>0</v>
      </c>
      <c r="J54" s="15"/>
      <c r="K54" s="16">
        <f t="shared" si="5"/>
        <v>15600120</v>
      </c>
    </row>
    <row r="55" spans="1:11" ht="18" customHeight="1">
      <c r="A55" s="5" t="s">
        <v>94</v>
      </c>
      <c r="B55" s="642"/>
      <c r="C55" s="643"/>
      <c r="D55" s="644"/>
      <c r="F55" s="14"/>
      <c r="G55" s="14"/>
      <c r="H55" s="15"/>
      <c r="I55" s="50">
        <v>0</v>
      </c>
      <c r="J55" s="15"/>
      <c r="K55" s="16">
        <f t="shared" si="5"/>
        <v>0</v>
      </c>
    </row>
    <row r="56" spans="1:11" ht="18" customHeight="1">
      <c r="A56" s="5" t="s">
        <v>95</v>
      </c>
      <c r="B56" s="642"/>
      <c r="C56" s="643"/>
      <c r="D56" s="644"/>
      <c r="F56" s="14"/>
      <c r="G56" s="14"/>
      <c r="H56" s="15"/>
      <c r="I56" s="50">
        <v>0</v>
      </c>
      <c r="J56" s="15"/>
      <c r="K56" s="16">
        <f t="shared" si="5"/>
        <v>0</v>
      </c>
    </row>
    <row r="57" spans="1:11" ht="18" customHeight="1">
      <c r="A57" s="5" t="s">
        <v>96</v>
      </c>
      <c r="B57" s="642"/>
      <c r="C57" s="643"/>
      <c r="D57" s="644"/>
      <c r="F57" s="14"/>
      <c r="G57" s="14"/>
      <c r="H57" s="15"/>
      <c r="I57" s="50">
        <v>0</v>
      </c>
      <c r="J57" s="15"/>
      <c r="K57" s="16">
        <f t="shared" si="5"/>
        <v>0</v>
      </c>
    </row>
    <row r="58" spans="1:11" ht="18" customHeight="1">
      <c r="A58" s="5" t="s">
        <v>97</v>
      </c>
      <c r="B58" s="360"/>
      <c r="C58" s="361"/>
      <c r="D58" s="362"/>
      <c r="F58" s="14"/>
      <c r="G58" s="14"/>
      <c r="H58" s="15"/>
      <c r="I58" s="50">
        <v>0</v>
      </c>
      <c r="J58" s="15"/>
      <c r="K58" s="16">
        <f t="shared" si="5"/>
        <v>0</v>
      </c>
    </row>
    <row r="59" spans="1:11" ht="18" customHeight="1">
      <c r="A59" s="5" t="s">
        <v>98</v>
      </c>
      <c r="B59" s="642"/>
      <c r="C59" s="643"/>
      <c r="D59" s="644"/>
      <c r="F59" s="14"/>
      <c r="G59" s="14"/>
      <c r="H59" s="15"/>
      <c r="I59" s="50">
        <v>0</v>
      </c>
      <c r="J59" s="15"/>
      <c r="K59" s="16">
        <f t="shared" si="5"/>
        <v>0</v>
      </c>
    </row>
    <row r="60" spans="1:11" ht="18" customHeight="1">
      <c r="A60" s="5" t="s">
        <v>99</v>
      </c>
      <c r="B60" s="360"/>
      <c r="C60" s="361"/>
      <c r="D60" s="362"/>
      <c r="F60" s="14"/>
      <c r="G60" s="14"/>
      <c r="H60" s="15"/>
      <c r="I60" s="50">
        <v>0</v>
      </c>
      <c r="J60" s="15"/>
      <c r="K60" s="16">
        <f t="shared" si="5"/>
        <v>0</v>
      </c>
    </row>
    <row r="61" spans="1:11" ht="18" customHeight="1">
      <c r="A61" s="5" t="s">
        <v>100</v>
      </c>
      <c r="B61" s="360"/>
      <c r="C61" s="361"/>
      <c r="D61" s="362"/>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0</v>
      </c>
      <c r="G64" s="18">
        <f t="shared" si="6"/>
        <v>0</v>
      </c>
      <c r="H64" s="16">
        <f t="shared" si="6"/>
        <v>15600120</v>
      </c>
      <c r="I64" s="16">
        <f t="shared" si="6"/>
        <v>0</v>
      </c>
      <c r="J64" s="16">
        <f t="shared" si="6"/>
        <v>0</v>
      </c>
      <c r="K64" s="16">
        <f t="shared" si="6"/>
        <v>15600120</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0</v>
      </c>
      <c r="I74" s="53">
        <f t="shared" si="7"/>
        <v>0</v>
      </c>
      <c r="J74" s="21">
        <f t="shared" si="7"/>
        <v>0</v>
      </c>
      <c r="K74" s="17">
        <f t="shared" si="7"/>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c r="I77" s="50">
        <v>0</v>
      </c>
      <c r="J77" s="15"/>
      <c r="K77" s="16">
        <f>(H77+I77)-J77</f>
        <v>0</v>
      </c>
    </row>
    <row r="78" spans="1:11" ht="18" customHeight="1">
      <c r="A78" s="5" t="s">
        <v>108</v>
      </c>
      <c r="B78" s="341" t="s">
        <v>55</v>
      </c>
      <c r="F78" s="14"/>
      <c r="G78" s="14"/>
      <c r="H78" s="15"/>
      <c r="I78" s="50">
        <v>0</v>
      </c>
      <c r="J78" s="15"/>
      <c r="K78" s="16">
        <f>(H78+I78)-J78</f>
        <v>0</v>
      </c>
    </row>
    <row r="79" spans="1:11" ht="18" customHeight="1">
      <c r="A79" s="5" t="s">
        <v>109</v>
      </c>
      <c r="B79" s="341" t="s">
        <v>13</v>
      </c>
      <c r="F79" s="14"/>
      <c r="G79" s="14"/>
      <c r="H79" s="15">
        <v>1612</v>
      </c>
      <c r="I79" s="50">
        <v>0</v>
      </c>
      <c r="J79" s="15"/>
      <c r="K79" s="16">
        <f>(H79+I79)-J79</f>
        <v>1612</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8">SUM(F77:F80)</f>
        <v>0</v>
      </c>
      <c r="G82" s="21">
        <f t="shared" si="8"/>
        <v>0</v>
      </c>
      <c r="H82" s="17">
        <f t="shared" si="8"/>
        <v>1612</v>
      </c>
      <c r="I82" s="17">
        <f t="shared" si="8"/>
        <v>0</v>
      </c>
      <c r="J82" s="17">
        <f t="shared" si="8"/>
        <v>0</v>
      </c>
      <c r="K82" s="17">
        <f t="shared" si="8"/>
        <v>1612</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14"/>
      <c r="G87" s="14"/>
      <c r="H87" s="15"/>
      <c r="I87" s="50">
        <f t="shared" si="9"/>
        <v>0</v>
      </c>
      <c r="J87" s="15"/>
      <c r="K87" s="16">
        <f t="shared" si="10"/>
        <v>0</v>
      </c>
    </row>
    <row r="88" spans="1:11" ht="18" customHeight="1">
      <c r="A88" s="5" t="s">
        <v>115</v>
      </c>
      <c r="B88" s="341" t="s">
        <v>116</v>
      </c>
      <c r="F88" s="14"/>
      <c r="G88" s="14"/>
      <c r="H88" s="15"/>
      <c r="I88" s="50">
        <f t="shared" si="9"/>
        <v>0</v>
      </c>
      <c r="J88" s="15"/>
      <c r="K88" s="16">
        <f t="shared" si="10"/>
        <v>0</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c r="G91" s="14"/>
      <c r="H91" s="15"/>
      <c r="I91" s="50">
        <f t="shared" si="9"/>
        <v>0</v>
      </c>
      <c r="J91" s="15"/>
      <c r="K91" s="16">
        <f t="shared" si="10"/>
        <v>0</v>
      </c>
    </row>
    <row r="92" spans="1:11" ht="18" customHeight="1">
      <c r="A92" s="5" t="s">
        <v>120</v>
      </c>
      <c r="B92" s="341" t="s">
        <v>121</v>
      </c>
      <c r="F92" s="38"/>
      <c r="G92" s="38"/>
      <c r="H92" s="39"/>
      <c r="I92" s="50">
        <f t="shared" si="9"/>
        <v>0</v>
      </c>
      <c r="J92" s="39"/>
      <c r="K92" s="16">
        <f t="shared" si="10"/>
        <v>0</v>
      </c>
    </row>
    <row r="93" spans="1:11" ht="18" customHeight="1">
      <c r="A93" s="5" t="s">
        <v>122</v>
      </c>
      <c r="B93" s="341" t="s">
        <v>123</v>
      </c>
      <c r="F93" s="14"/>
      <c r="G93" s="14"/>
      <c r="H93" s="15"/>
      <c r="I93" s="50">
        <f t="shared" si="9"/>
        <v>0</v>
      </c>
      <c r="J93" s="15"/>
      <c r="K93" s="16">
        <f t="shared" si="10"/>
        <v>0</v>
      </c>
    </row>
    <row r="94" spans="1:11" ht="18" customHeight="1">
      <c r="A94" s="5" t="s">
        <v>124</v>
      </c>
      <c r="B94" s="642" t="s">
        <v>849</v>
      </c>
      <c r="C94" s="643"/>
      <c r="D94" s="644"/>
      <c r="F94" s="14">
        <v>5</v>
      </c>
      <c r="G94" s="14">
        <v>15</v>
      </c>
      <c r="H94" s="15">
        <v>277</v>
      </c>
      <c r="I94" s="50">
        <f t="shared" si="9"/>
        <v>120.8828</v>
      </c>
      <c r="J94" s="15"/>
      <c r="K94" s="16">
        <f t="shared" si="10"/>
        <v>397.88279999999997</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5</v>
      </c>
      <c r="G98" s="18">
        <f t="shared" si="11"/>
        <v>15</v>
      </c>
      <c r="H98" s="18">
        <f t="shared" si="11"/>
        <v>277</v>
      </c>
      <c r="I98" s="18">
        <f t="shared" si="11"/>
        <v>120.8828</v>
      </c>
      <c r="J98" s="18">
        <f t="shared" si="11"/>
        <v>0</v>
      </c>
      <c r="K98" s="18">
        <f t="shared" si="11"/>
        <v>397.88279999999997</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1188</v>
      </c>
      <c r="G102" s="14"/>
      <c r="H102" s="15">
        <v>46424</v>
      </c>
      <c r="I102" s="50">
        <f>H102*F$114</f>
        <v>20259.4336</v>
      </c>
      <c r="J102" s="15"/>
      <c r="K102" s="16">
        <f>(H102+I102)-J102</f>
        <v>66683.433600000004</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1188</v>
      </c>
      <c r="G108" s="18">
        <f t="shared" si="12"/>
        <v>0</v>
      </c>
      <c r="H108" s="16">
        <f t="shared" si="12"/>
        <v>46424</v>
      </c>
      <c r="I108" s="16">
        <f t="shared" si="12"/>
        <v>20259.4336</v>
      </c>
      <c r="J108" s="16">
        <f t="shared" si="12"/>
        <v>0</v>
      </c>
      <c r="K108" s="16">
        <f t="shared" si="12"/>
        <v>66683.433600000004</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14755634</v>
      </c>
    </row>
    <row r="112" spans="1:11" ht="18" customHeight="1">
      <c r="B112" s="2"/>
      <c r="E112" s="2"/>
      <c r="F112" s="22"/>
    </row>
    <row r="113" spans="1:6" ht="18" customHeight="1">
      <c r="A113" s="6"/>
      <c r="B113" s="2" t="s">
        <v>15</v>
      </c>
    </row>
    <row r="114" spans="1:6" ht="18" customHeight="1">
      <c r="A114" s="5" t="s">
        <v>171</v>
      </c>
      <c r="B114" s="341" t="s">
        <v>35</v>
      </c>
      <c r="F114" s="25">
        <v>0.43640000000000001</v>
      </c>
    </row>
    <row r="115" spans="1:6" ht="18" customHeight="1">
      <c r="A115" s="5"/>
      <c r="B115" s="2"/>
    </row>
    <row r="116" spans="1:6" ht="18" customHeight="1">
      <c r="A116" s="5" t="s">
        <v>170</v>
      </c>
      <c r="B116" s="2" t="s">
        <v>16</v>
      </c>
    </row>
    <row r="117" spans="1:6" ht="18" customHeight="1">
      <c r="A117" s="5" t="s">
        <v>172</v>
      </c>
      <c r="B117" s="341" t="s">
        <v>17</v>
      </c>
      <c r="F117" s="15">
        <v>180985000</v>
      </c>
    </row>
    <row r="118" spans="1:6" ht="18" customHeight="1">
      <c r="A118" s="5" t="s">
        <v>173</v>
      </c>
      <c r="B118" t="s">
        <v>18</v>
      </c>
      <c r="F118" s="15">
        <v>1562000</v>
      </c>
    </row>
    <row r="119" spans="1:6" ht="18" customHeight="1">
      <c r="A119" s="5" t="s">
        <v>174</v>
      </c>
      <c r="B119" s="2" t="s">
        <v>19</v>
      </c>
      <c r="F119" s="17">
        <f>SUM(F117:F118)</f>
        <v>182547000</v>
      </c>
    </row>
    <row r="120" spans="1:6" ht="18" customHeight="1">
      <c r="A120" s="5"/>
      <c r="B120" s="2"/>
    </row>
    <row r="121" spans="1:6" ht="18" customHeight="1">
      <c r="A121" s="5" t="s">
        <v>167</v>
      </c>
      <c r="B121" s="2" t="s">
        <v>36</v>
      </c>
      <c r="F121" s="15">
        <v>178869000</v>
      </c>
    </row>
    <row r="122" spans="1:6" ht="18" customHeight="1">
      <c r="A122" s="5"/>
    </row>
    <row r="123" spans="1:6" ht="18" customHeight="1">
      <c r="A123" s="5" t="s">
        <v>175</v>
      </c>
      <c r="B123" s="2" t="s">
        <v>20</v>
      </c>
      <c r="F123" s="15">
        <f>F119-F121</f>
        <v>3678000</v>
      </c>
    </row>
    <row r="124" spans="1:6" ht="18" customHeight="1">
      <c r="A124" s="5"/>
    </row>
    <row r="125" spans="1:6" ht="18" customHeight="1">
      <c r="A125" s="5" t="s">
        <v>176</v>
      </c>
      <c r="B125" s="2" t="s">
        <v>21</v>
      </c>
      <c r="F125" s="15">
        <v>-599000</v>
      </c>
    </row>
    <row r="126" spans="1:6" ht="18" customHeight="1">
      <c r="A126" s="5"/>
    </row>
    <row r="127" spans="1:6" ht="18" customHeight="1">
      <c r="A127" s="5" t="s">
        <v>177</v>
      </c>
      <c r="B127" s="2" t="s">
        <v>22</v>
      </c>
      <c r="F127" s="15">
        <f>F123+F125</f>
        <v>3079000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20219</v>
      </c>
      <c r="G141" s="41">
        <f t="shared" si="14"/>
        <v>15158</v>
      </c>
      <c r="H141" s="41">
        <f t="shared" si="14"/>
        <v>1141240</v>
      </c>
      <c r="I141" s="41">
        <f t="shared" si="14"/>
        <v>498037.136</v>
      </c>
      <c r="J141" s="41">
        <f t="shared" si="14"/>
        <v>0</v>
      </c>
      <c r="K141" s="41">
        <f t="shared" si="14"/>
        <v>1639277.1359999999</v>
      </c>
    </row>
    <row r="142" spans="1:11" ht="18" customHeight="1">
      <c r="A142" s="5" t="s">
        <v>142</v>
      </c>
      <c r="B142" s="2" t="s">
        <v>65</v>
      </c>
      <c r="F142" s="41">
        <f t="shared" ref="F142:K142" si="15">F49</f>
        <v>32511</v>
      </c>
      <c r="G142" s="41">
        <f t="shared" si="15"/>
        <v>0</v>
      </c>
      <c r="H142" s="41">
        <f t="shared" si="15"/>
        <v>2900551</v>
      </c>
      <c r="I142" s="41">
        <f t="shared" si="15"/>
        <v>0</v>
      </c>
      <c r="J142" s="41">
        <f t="shared" si="15"/>
        <v>0</v>
      </c>
      <c r="K142" s="41">
        <f t="shared" si="15"/>
        <v>2900551</v>
      </c>
    </row>
    <row r="143" spans="1:11" ht="18" customHeight="1">
      <c r="A143" s="5" t="s">
        <v>144</v>
      </c>
      <c r="B143" s="2" t="s">
        <v>66</v>
      </c>
      <c r="F143" s="41">
        <f t="shared" ref="F143:K143" si="16">F64</f>
        <v>0</v>
      </c>
      <c r="G143" s="41">
        <f t="shared" si="16"/>
        <v>0</v>
      </c>
      <c r="H143" s="41">
        <f t="shared" si="16"/>
        <v>15600120</v>
      </c>
      <c r="I143" s="41">
        <f t="shared" si="16"/>
        <v>0</v>
      </c>
      <c r="J143" s="41">
        <f t="shared" si="16"/>
        <v>0</v>
      </c>
      <c r="K143" s="41">
        <f t="shared" si="16"/>
        <v>15600120</v>
      </c>
    </row>
    <row r="144" spans="1:11" ht="18" customHeight="1">
      <c r="A144" s="5" t="s">
        <v>146</v>
      </c>
      <c r="B144" s="2" t="s">
        <v>67</v>
      </c>
      <c r="F144" s="41">
        <f t="shared" ref="F144:K144" si="17">F74</f>
        <v>0</v>
      </c>
      <c r="G144" s="41">
        <f t="shared" si="17"/>
        <v>0</v>
      </c>
      <c r="H144" s="41">
        <f t="shared" si="17"/>
        <v>0</v>
      </c>
      <c r="I144" s="41">
        <f t="shared" si="17"/>
        <v>0</v>
      </c>
      <c r="J144" s="41">
        <f t="shared" si="17"/>
        <v>0</v>
      </c>
      <c r="K144" s="41">
        <f t="shared" si="17"/>
        <v>0</v>
      </c>
    </row>
    <row r="145" spans="1:11" ht="18" customHeight="1">
      <c r="A145" s="5" t="s">
        <v>148</v>
      </c>
      <c r="B145" s="2" t="s">
        <v>68</v>
      </c>
      <c r="F145" s="41">
        <f t="shared" ref="F145:K145" si="18">F82</f>
        <v>0</v>
      </c>
      <c r="G145" s="41">
        <f t="shared" si="18"/>
        <v>0</v>
      </c>
      <c r="H145" s="41">
        <f t="shared" si="18"/>
        <v>1612</v>
      </c>
      <c r="I145" s="41">
        <f t="shared" si="18"/>
        <v>0</v>
      </c>
      <c r="J145" s="41">
        <f t="shared" si="18"/>
        <v>0</v>
      </c>
      <c r="K145" s="41">
        <f t="shared" si="18"/>
        <v>1612</v>
      </c>
    </row>
    <row r="146" spans="1:11" ht="18" customHeight="1">
      <c r="A146" s="5" t="s">
        <v>150</v>
      </c>
      <c r="B146" s="2" t="s">
        <v>69</v>
      </c>
      <c r="F146" s="41">
        <f t="shared" ref="F146:K146" si="19">F98</f>
        <v>5</v>
      </c>
      <c r="G146" s="41">
        <f t="shared" si="19"/>
        <v>15</v>
      </c>
      <c r="H146" s="41">
        <f t="shared" si="19"/>
        <v>277</v>
      </c>
      <c r="I146" s="41">
        <f t="shared" si="19"/>
        <v>120.8828</v>
      </c>
      <c r="J146" s="41">
        <f t="shared" si="19"/>
        <v>0</v>
      </c>
      <c r="K146" s="41">
        <f t="shared" si="19"/>
        <v>397.88279999999997</v>
      </c>
    </row>
    <row r="147" spans="1:11" ht="18" customHeight="1">
      <c r="A147" s="5" t="s">
        <v>153</v>
      </c>
      <c r="B147" s="2" t="s">
        <v>61</v>
      </c>
      <c r="F147" s="18">
        <f t="shared" ref="F147:K147" si="20">F108</f>
        <v>1188</v>
      </c>
      <c r="G147" s="18">
        <f t="shared" si="20"/>
        <v>0</v>
      </c>
      <c r="H147" s="18">
        <f t="shared" si="20"/>
        <v>46424</v>
      </c>
      <c r="I147" s="18">
        <f t="shared" si="20"/>
        <v>20259.4336</v>
      </c>
      <c r="J147" s="18">
        <f t="shared" si="20"/>
        <v>0</v>
      </c>
      <c r="K147" s="18">
        <f t="shared" si="20"/>
        <v>66683.433600000004</v>
      </c>
    </row>
    <row r="148" spans="1:11" ht="18" customHeight="1">
      <c r="A148" s="5" t="s">
        <v>155</v>
      </c>
      <c r="B148" s="2" t="s">
        <v>70</v>
      </c>
      <c r="F148" s="42" t="s">
        <v>73</v>
      </c>
      <c r="G148" s="42" t="s">
        <v>73</v>
      </c>
      <c r="H148" s="43" t="s">
        <v>73</v>
      </c>
      <c r="I148" s="43" t="s">
        <v>73</v>
      </c>
      <c r="J148" s="43" t="s">
        <v>73</v>
      </c>
      <c r="K148" s="37">
        <f>F111</f>
        <v>14755634</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5843680</v>
      </c>
      <c r="I150" s="18">
        <f>I18</f>
        <v>0</v>
      </c>
      <c r="J150" s="18">
        <f>J18</f>
        <v>4997077</v>
      </c>
      <c r="K150" s="18">
        <f>K18</f>
        <v>846603</v>
      </c>
    </row>
    <row r="151" spans="1:11" ht="18" customHeight="1">
      <c r="B151" s="2"/>
      <c r="F151" s="48"/>
      <c r="G151" s="48"/>
      <c r="H151" s="48"/>
      <c r="I151" s="48"/>
      <c r="J151" s="48"/>
      <c r="K151" s="48"/>
    </row>
    <row r="152" spans="1:11" ht="18" customHeight="1">
      <c r="A152" s="6" t="s">
        <v>165</v>
      </c>
      <c r="B152" s="2" t="s">
        <v>26</v>
      </c>
      <c r="F152" s="49">
        <f t="shared" ref="F152:K152" si="22">SUM(F141:F150)</f>
        <v>53923</v>
      </c>
      <c r="G152" s="49">
        <f t="shared" si="22"/>
        <v>15173</v>
      </c>
      <c r="H152" s="49">
        <f t="shared" si="22"/>
        <v>25533904</v>
      </c>
      <c r="I152" s="49">
        <f t="shared" si="22"/>
        <v>518417.45240000001</v>
      </c>
      <c r="J152" s="49">
        <f t="shared" si="22"/>
        <v>4997077</v>
      </c>
      <c r="K152" s="49">
        <f t="shared" si="22"/>
        <v>35810878.452399999</v>
      </c>
    </row>
    <row r="154" spans="1:11" ht="18" customHeight="1">
      <c r="A154" s="6" t="s">
        <v>168</v>
      </c>
      <c r="B154" s="2" t="s">
        <v>28</v>
      </c>
      <c r="F154" s="348">
        <f>K152/F121</f>
        <v>0.20020729389888689</v>
      </c>
    </row>
    <row r="155" spans="1:11" ht="18" customHeight="1">
      <c r="A155" s="6" t="s">
        <v>169</v>
      </c>
      <c r="B155" s="2" t="s">
        <v>72</v>
      </c>
      <c r="F155" s="348">
        <f>K152/F127</f>
        <v>11.630684784800259</v>
      </c>
      <c r="G155" s="2"/>
    </row>
    <row r="156" spans="1:11" ht="18" customHeight="1">
      <c r="G156" s="2"/>
    </row>
  </sheetData>
  <sheetProtection password="EF72" sheet="1" objects="1" scenarios="1"/>
  <mergeCells count="34">
    <mergeCell ref="B103:C103"/>
    <mergeCell ref="B96:D96"/>
    <mergeCell ref="B95:D95"/>
    <mergeCell ref="B94:D94"/>
    <mergeCell ref="B46:D46"/>
    <mergeCell ref="B47:D47"/>
    <mergeCell ref="B52:C52"/>
    <mergeCell ref="B90:C90"/>
    <mergeCell ref="B62:D62"/>
    <mergeCell ref="B53:D53"/>
    <mergeCell ref="B56:D56"/>
    <mergeCell ref="B59:D59"/>
    <mergeCell ref="B57:D57"/>
    <mergeCell ref="B55:D55"/>
    <mergeCell ref="D2:H2"/>
    <mergeCell ref="B45:D45"/>
    <mergeCell ref="B34:D34"/>
    <mergeCell ref="C11:G11"/>
    <mergeCell ref="B41:C41"/>
    <mergeCell ref="B44:D44"/>
    <mergeCell ref="B30:D30"/>
    <mergeCell ref="B31:D31"/>
    <mergeCell ref="B13:H13"/>
    <mergeCell ref="C5:G5"/>
    <mergeCell ref="C6:G6"/>
    <mergeCell ref="C7:G7"/>
    <mergeCell ref="C9:G9"/>
    <mergeCell ref="C10:G10"/>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topLeftCell="A121" zoomScale="70" zoomScaleNormal="70" zoomScaleSheetLayoutView="70" workbookViewId="0">
      <selection activeCell="A3" sqref="A3"/>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470</v>
      </c>
      <c r="D5" s="654"/>
      <c r="E5" s="654"/>
      <c r="F5" s="654"/>
      <c r="G5" s="655"/>
    </row>
    <row r="6" spans="1:11" ht="18" customHeight="1">
      <c r="B6" s="5" t="s">
        <v>3</v>
      </c>
      <c r="C6" s="671">
        <v>39</v>
      </c>
      <c r="D6" s="657"/>
      <c r="E6" s="657"/>
      <c r="F6" s="657"/>
      <c r="G6" s="658"/>
    </row>
    <row r="7" spans="1:11" ht="18" customHeight="1">
      <c r="B7" s="5" t="s">
        <v>4</v>
      </c>
      <c r="C7" s="659">
        <v>1400</v>
      </c>
      <c r="D7" s="660"/>
      <c r="E7" s="660"/>
      <c r="F7" s="660"/>
      <c r="G7" s="661"/>
    </row>
    <row r="9" spans="1:11" ht="18" customHeight="1">
      <c r="B9" s="5" t="s">
        <v>1</v>
      </c>
      <c r="C9" s="670" t="s">
        <v>471</v>
      </c>
      <c r="D9" s="654"/>
      <c r="E9" s="654"/>
      <c r="F9" s="654"/>
      <c r="G9" s="655"/>
    </row>
    <row r="10" spans="1:11" ht="18" customHeight="1">
      <c r="B10" s="5" t="s">
        <v>2</v>
      </c>
      <c r="C10" s="674" t="s">
        <v>472</v>
      </c>
      <c r="D10" s="663"/>
      <c r="E10" s="663"/>
      <c r="F10" s="663"/>
      <c r="G10" s="664"/>
    </row>
    <row r="11" spans="1:11" ht="18" customHeight="1">
      <c r="B11" s="5" t="s">
        <v>32</v>
      </c>
      <c r="C11" s="670" t="s">
        <v>473</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3548258.0497057899</v>
      </c>
      <c r="I18" s="50">
        <v>0</v>
      </c>
      <c r="J18" s="15">
        <v>3034204.2819452551</v>
      </c>
      <c r="K18" s="16">
        <f>(H18+I18)-J18</f>
        <v>514053.76776053477</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2443.5</v>
      </c>
      <c r="G21" s="14">
        <v>8052</v>
      </c>
      <c r="H21" s="15">
        <v>285307</v>
      </c>
      <c r="I21" s="50">
        <f t="shared" ref="I21:I34" si="0">H21*F$114</f>
        <v>256205.68600000002</v>
      </c>
      <c r="J21" s="15"/>
      <c r="K21" s="16">
        <f t="shared" ref="K21:K34" si="1">(H21+I21)-J21</f>
        <v>541512.68599999999</v>
      </c>
    </row>
    <row r="22" spans="1:11" ht="18" customHeight="1">
      <c r="A22" s="5" t="s">
        <v>76</v>
      </c>
      <c r="B22" t="s">
        <v>6</v>
      </c>
      <c r="F22" s="14">
        <v>231.5</v>
      </c>
      <c r="G22" s="14">
        <v>1786</v>
      </c>
      <c r="H22" s="15">
        <v>8712</v>
      </c>
      <c r="I22" s="50">
        <f t="shared" si="0"/>
        <v>7823.3760000000002</v>
      </c>
      <c r="J22" s="15"/>
      <c r="K22" s="16">
        <f t="shared" si="1"/>
        <v>16535.376</v>
      </c>
    </row>
    <row r="23" spans="1:11" ht="18" customHeight="1">
      <c r="A23" s="5" t="s">
        <v>77</v>
      </c>
      <c r="B23" t="s">
        <v>43</v>
      </c>
      <c r="F23" s="14"/>
      <c r="G23" s="14"/>
      <c r="H23" s="15"/>
      <c r="I23" s="50">
        <f t="shared" si="0"/>
        <v>0</v>
      </c>
      <c r="J23" s="15"/>
      <c r="K23" s="16">
        <f t="shared" si="1"/>
        <v>0</v>
      </c>
    </row>
    <row r="24" spans="1:11" ht="18" customHeight="1">
      <c r="A24" s="5" t="s">
        <v>78</v>
      </c>
      <c r="B24" t="s">
        <v>44</v>
      </c>
      <c r="F24" s="14">
        <v>5</v>
      </c>
      <c r="G24" s="14">
        <v>16</v>
      </c>
      <c r="H24" s="15">
        <v>172</v>
      </c>
      <c r="I24" s="50">
        <f t="shared" si="0"/>
        <v>154.45600000000002</v>
      </c>
      <c r="J24" s="15"/>
      <c r="K24" s="16">
        <f t="shared" si="1"/>
        <v>326.45600000000002</v>
      </c>
    </row>
    <row r="25" spans="1:11" ht="18" customHeight="1">
      <c r="A25" s="5" t="s">
        <v>79</v>
      </c>
      <c r="B25" t="s">
        <v>5</v>
      </c>
      <c r="F25" s="14">
        <v>411</v>
      </c>
      <c r="G25" s="14">
        <v>1000</v>
      </c>
      <c r="H25" s="15">
        <v>16600</v>
      </c>
      <c r="I25" s="50">
        <f t="shared" si="0"/>
        <v>14906.800000000001</v>
      </c>
      <c r="J25" s="15"/>
      <c r="K25" s="16">
        <f t="shared" si="1"/>
        <v>31506.800000000003</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568</v>
      </c>
      <c r="G29" s="14">
        <v>6157</v>
      </c>
      <c r="H29" s="15">
        <v>440671</v>
      </c>
      <c r="I29" s="50">
        <f>H29*F$114</f>
        <v>395722.55800000002</v>
      </c>
      <c r="J29" s="15">
        <v>0</v>
      </c>
      <c r="K29" s="16">
        <f t="shared" si="1"/>
        <v>836393.55799999996</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247"/>
      <c r="C32" s="248"/>
      <c r="D32" s="249"/>
      <c r="F32" s="14"/>
      <c r="G32" s="342" t="s">
        <v>85</v>
      </c>
      <c r="H32" s="15"/>
      <c r="I32" s="50">
        <f t="shared" si="0"/>
        <v>0</v>
      </c>
      <c r="J32" s="15"/>
      <c r="K32" s="16">
        <f t="shared" si="1"/>
        <v>0</v>
      </c>
    </row>
    <row r="33" spans="1:11" ht="18" customHeight="1">
      <c r="A33" s="5" t="s">
        <v>135</v>
      </c>
      <c r="B33" s="247"/>
      <c r="C33" s="248"/>
      <c r="D33" s="249"/>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3659</v>
      </c>
      <c r="G36" s="18">
        <f t="shared" si="2"/>
        <v>17011</v>
      </c>
      <c r="H36" s="18">
        <f t="shared" si="2"/>
        <v>751462</v>
      </c>
      <c r="I36" s="16">
        <f t="shared" si="2"/>
        <v>674812.87600000005</v>
      </c>
      <c r="J36" s="16">
        <f t="shared" si="2"/>
        <v>0</v>
      </c>
      <c r="K36" s="16">
        <f t="shared" si="2"/>
        <v>1426274.8760000002</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10</v>
      </c>
      <c r="G40" s="14">
        <v>291</v>
      </c>
      <c r="H40" s="15">
        <v>49431</v>
      </c>
      <c r="I40" s="50">
        <v>872</v>
      </c>
      <c r="J40" s="15"/>
      <c r="K40" s="16">
        <f t="shared" ref="K40:K47" si="3">(H40+I40)-J40</f>
        <v>50303</v>
      </c>
    </row>
    <row r="41" spans="1:11" ht="18" customHeight="1">
      <c r="A41" s="5" t="s">
        <v>88</v>
      </c>
      <c r="B41" s="641" t="s">
        <v>50</v>
      </c>
      <c r="C41" s="649"/>
      <c r="F41" s="14"/>
      <c r="G41" s="14"/>
      <c r="H41" s="15"/>
      <c r="I41" s="50">
        <v>0</v>
      </c>
      <c r="J41" s="15"/>
      <c r="K41" s="16">
        <f t="shared" si="3"/>
        <v>0</v>
      </c>
    </row>
    <row r="42" spans="1:11" ht="18" customHeight="1">
      <c r="A42" s="5" t="s">
        <v>89</v>
      </c>
      <c r="B42" s="341" t="s">
        <v>11</v>
      </c>
      <c r="F42" s="14">
        <v>4900</v>
      </c>
      <c r="G42" s="14"/>
      <c r="H42" s="15">
        <v>231228</v>
      </c>
      <c r="I42" s="50">
        <v>76305</v>
      </c>
      <c r="J42" s="15"/>
      <c r="K42" s="16">
        <f t="shared" si="3"/>
        <v>307533</v>
      </c>
    </row>
    <row r="43" spans="1:11" ht="18" customHeight="1">
      <c r="A43" s="5" t="s">
        <v>90</v>
      </c>
      <c r="B43" s="343" t="s">
        <v>10</v>
      </c>
      <c r="C43" s="10"/>
      <c r="D43" s="10"/>
      <c r="F43" s="14"/>
      <c r="G43" s="14"/>
      <c r="H43" s="15"/>
      <c r="I43" s="50">
        <v>0</v>
      </c>
      <c r="J43" s="15"/>
      <c r="K43" s="16">
        <f t="shared" si="3"/>
        <v>0</v>
      </c>
    </row>
    <row r="44" spans="1:11" ht="18" customHeight="1">
      <c r="A44" s="5" t="s">
        <v>91</v>
      </c>
      <c r="B44" s="636" t="s">
        <v>474</v>
      </c>
      <c r="C44" s="637"/>
      <c r="D44" s="638"/>
      <c r="F44" s="54">
        <v>13708</v>
      </c>
      <c r="G44" s="54">
        <v>194</v>
      </c>
      <c r="H44" s="54">
        <v>323450</v>
      </c>
      <c r="I44" s="55">
        <v>106740</v>
      </c>
      <c r="J44" s="54"/>
      <c r="K44" s="56">
        <f t="shared" si="3"/>
        <v>430190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18618</v>
      </c>
      <c r="G49" s="23">
        <f t="shared" si="4"/>
        <v>485</v>
      </c>
      <c r="H49" s="16">
        <f t="shared" si="4"/>
        <v>604109</v>
      </c>
      <c r="I49" s="16">
        <f t="shared" si="4"/>
        <v>183917</v>
      </c>
      <c r="J49" s="16">
        <f t="shared" si="4"/>
        <v>0</v>
      </c>
      <c r="K49" s="16">
        <f t="shared" si="4"/>
        <v>788026</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358" t="s">
        <v>475</v>
      </c>
      <c r="C53" s="358"/>
      <c r="D53" s="358"/>
      <c r="F53" s="14">
        <v>25758</v>
      </c>
      <c r="G53" s="14">
        <v>18682</v>
      </c>
      <c r="H53" s="15">
        <v>2374040.0577159999</v>
      </c>
      <c r="I53" s="50">
        <v>1189239.6043087461</v>
      </c>
      <c r="J53" s="15">
        <v>2064469.6516060114</v>
      </c>
      <c r="K53" s="16">
        <f t="shared" ref="K53:K62" si="5">(H53+I53)-J53</f>
        <v>1498810.0104187343</v>
      </c>
    </row>
    <row r="54" spans="1:11" ht="18" customHeight="1">
      <c r="A54" s="5" t="s">
        <v>93</v>
      </c>
      <c r="B54" s="358" t="s">
        <v>476</v>
      </c>
      <c r="C54" s="358"/>
      <c r="D54" s="358"/>
      <c r="F54" s="14">
        <v>10642</v>
      </c>
      <c r="G54" s="14">
        <v>4056</v>
      </c>
      <c r="H54" s="15">
        <v>732680</v>
      </c>
      <c r="I54" s="50">
        <v>337480</v>
      </c>
      <c r="J54" s="15">
        <v>550577</v>
      </c>
      <c r="K54" s="16">
        <f t="shared" si="5"/>
        <v>519583</v>
      </c>
    </row>
    <row r="55" spans="1:11" ht="18" customHeight="1">
      <c r="A55" s="5" t="s">
        <v>94</v>
      </c>
      <c r="B55" s="359" t="s">
        <v>477</v>
      </c>
      <c r="C55" s="359"/>
      <c r="D55" s="359"/>
      <c r="F55" s="14">
        <v>43872</v>
      </c>
      <c r="G55" s="14">
        <v>321</v>
      </c>
      <c r="H55" s="15">
        <v>2471885.3777999999</v>
      </c>
      <c r="I55" s="50">
        <v>1790512.0945691341</v>
      </c>
      <c r="J55" s="15">
        <v>1865909</v>
      </c>
      <c r="K55" s="16">
        <f t="shared" si="5"/>
        <v>2396488.4723691344</v>
      </c>
    </row>
    <row r="56" spans="1:11" ht="18" customHeight="1">
      <c r="A56" s="5" t="s">
        <v>95</v>
      </c>
      <c r="B56" s="359" t="s">
        <v>478</v>
      </c>
      <c r="C56" s="359"/>
      <c r="D56" s="359"/>
      <c r="F56" s="14">
        <v>3602</v>
      </c>
      <c r="G56" s="14">
        <v>0</v>
      </c>
      <c r="H56" s="15">
        <v>963777.99139500002</v>
      </c>
      <c r="I56" s="50">
        <v>552160.64831619943</v>
      </c>
      <c r="J56" s="15">
        <v>255216</v>
      </c>
      <c r="K56" s="16">
        <f t="shared" si="5"/>
        <v>1260722.6397111993</v>
      </c>
    </row>
    <row r="57" spans="1:11" ht="18" customHeight="1">
      <c r="A57" s="5" t="s">
        <v>96</v>
      </c>
      <c r="B57" s="358" t="s">
        <v>479</v>
      </c>
      <c r="C57" s="358"/>
      <c r="D57" s="358"/>
      <c r="F57" s="14">
        <v>0</v>
      </c>
      <c r="G57" s="14">
        <v>0</v>
      </c>
      <c r="H57" s="15">
        <v>1385761</v>
      </c>
      <c r="I57" s="50">
        <v>766772.98583212658</v>
      </c>
      <c r="J57" s="15">
        <v>0</v>
      </c>
      <c r="K57" s="16">
        <f t="shared" si="5"/>
        <v>2152533.9858321268</v>
      </c>
    </row>
    <row r="58" spans="1:11" ht="18" customHeight="1">
      <c r="A58" s="5" t="s">
        <v>97</v>
      </c>
      <c r="B58" s="358" t="s">
        <v>480</v>
      </c>
      <c r="C58" s="358"/>
      <c r="D58" s="358"/>
      <c r="F58" s="14">
        <v>0</v>
      </c>
      <c r="G58" s="14">
        <v>0</v>
      </c>
      <c r="H58" s="15">
        <v>25000</v>
      </c>
      <c r="I58" s="50">
        <v>13833.066918323697</v>
      </c>
      <c r="J58" s="15">
        <v>0</v>
      </c>
      <c r="K58" s="16">
        <f t="shared" si="5"/>
        <v>38833.066918323697</v>
      </c>
    </row>
    <row r="59" spans="1:11" ht="18" customHeight="1">
      <c r="A59" s="5" t="s">
        <v>98</v>
      </c>
      <c r="B59" s="358" t="s">
        <v>481</v>
      </c>
      <c r="C59" s="358"/>
      <c r="D59" s="358"/>
      <c r="F59" s="14">
        <v>0</v>
      </c>
      <c r="G59" s="14">
        <v>0</v>
      </c>
      <c r="H59" s="15">
        <v>28000</v>
      </c>
      <c r="I59" s="50">
        <v>9237.3913940423117</v>
      </c>
      <c r="J59" s="15">
        <v>0</v>
      </c>
      <c r="K59" s="16">
        <f t="shared" si="5"/>
        <v>37237.391394042308</v>
      </c>
    </row>
    <row r="60" spans="1:11" ht="18" customHeight="1">
      <c r="A60" s="5" t="s">
        <v>99</v>
      </c>
      <c r="B60" s="359" t="s">
        <v>482</v>
      </c>
      <c r="C60" s="359"/>
      <c r="D60" s="359"/>
      <c r="F60" s="14">
        <v>0</v>
      </c>
      <c r="G60" s="14">
        <v>0</v>
      </c>
      <c r="H60" s="15">
        <v>1700423</v>
      </c>
      <c r="I60" s="50">
        <v>610845.24983516801</v>
      </c>
      <c r="J60" s="15">
        <v>241823.02000000002</v>
      </c>
      <c r="K60" s="16">
        <f t="shared" si="5"/>
        <v>2069445.229835168</v>
      </c>
    </row>
    <row r="61" spans="1:11" ht="18" customHeight="1">
      <c r="A61" s="5" t="s">
        <v>100</v>
      </c>
      <c r="B61" s="244"/>
      <c r="C61" s="245"/>
      <c r="D61" s="246"/>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83874</v>
      </c>
      <c r="G64" s="18">
        <f t="shared" si="6"/>
        <v>23059</v>
      </c>
      <c r="H64" s="16">
        <f t="shared" si="6"/>
        <v>9681567.4269110002</v>
      </c>
      <c r="I64" s="16">
        <f t="shared" si="6"/>
        <v>5270081.0411737403</v>
      </c>
      <c r="J64" s="16">
        <f t="shared" si="6"/>
        <v>4977994.6716060117</v>
      </c>
      <c r="K64" s="16">
        <f t="shared" si="6"/>
        <v>9973653.7964787297</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244"/>
      <c r="C70" s="245"/>
      <c r="D70" s="246"/>
      <c r="E70" s="2"/>
      <c r="F70" s="35"/>
      <c r="G70" s="35"/>
      <c r="H70" s="36"/>
      <c r="I70" s="50">
        <v>0</v>
      </c>
      <c r="J70" s="36"/>
      <c r="K70" s="16">
        <f>(H70+I70)-J70</f>
        <v>0</v>
      </c>
    </row>
    <row r="71" spans="1:11" ht="18" customHeight="1">
      <c r="A71" s="5" t="s">
        <v>179</v>
      </c>
      <c r="B71" s="244"/>
      <c r="C71" s="245"/>
      <c r="D71" s="246"/>
      <c r="E71" s="2"/>
      <c r="F71" s="35"/>
      <c r="G71" s="35"/>
      <c r="H71" s="36"/>
      <c r="I71" s="50">
        <v>0</v>
      </c>
      <c r="J71" s="36"/>
      <c r="K71" s="16">
        <f>(H71+I71)-J71</f>
        <v>0</v>
      </c>
    </row>
    <row r="72" spans="1:11" ht="18" customHeight="1">
      <c r="A72" s="5" t="s">
        <v>180</v>
      </c>
      <c r="B72" s="32"/>
      <c r="C72" s="33"/>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0</v>
      </c>
      <c r="I74" s="53">
        <f t="shared" si="7"/>
        <v>0</v>
      </c>
      <c r="J74" s="21">
        <f t="shared" si="7"/>
        <v>0</v>
      </c>
      <c r="K74" s="17">
        <f t="shared" si="7"/>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v>12925</v>
      </c>
      <c r="I77" s="50">
        <v>4265</v>
      </c>
      <c r="J77" s="15"/>
      <c r="K77" s="16">
        <f>(H77+I77)-J77</f>
        <v>17190</v>
      </c>
    </row>
    <row r="78" spans="1:11" ht="18" customHeight="1">
      <c r="A78" s="5" t="s">
        <v>108</v>
      </c>
      <c r="B78" s="341" t="s">
        <v>55</v>
      </c>
      <c r="F78" s="14"/>
      <c r="G78" s="14"/>
      <c r="H78" s="15"/>
      <c r="I78" s="50">
        <v>0</v>
      </c>
      <c r="J78" s="15"/>
      <c r="K78" s="16">
        <f>(H78+I78)-J78</f>
        <v>0</v>
      </c>
    </row>
    <row r="79" spans="1:11" ht="18" customHeight="1">
      <c r="A79" s="5" t="s">
        <v>109</v>
      </c>
      <c r="B79" s="341" t="s">
        <v>13</v>
      </c>
      <c r="F79" s="14">
        <v>120</v>
      </c>
      <c r="G79" s="14">
        <v>870</v>
      </c>
      <c r="H79" s="15">
        <v>6120</v>
      </c>
      <c r="I79" s="50">
        <v>5508</v>
      </c>
      <c r="J79" s="15"/>
      <c r="K79" s="16">
        <f>(H79+I79)-J79</f>
        <v>11628</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8">SUM(F77:F80)</f>
        <v>120</v>
      </c>
      <c r="G82" s="21">
        <f t="shared" si="8"/>
        <v>870</v>
      </c>
      <c r="H82" s="17">
        <f t="shared" si="8"/>
        <v>19045</v>
      </c>
      <c r="I82" s="17">
        <f t="shared" si="8"/>
        <v>9773</v>
      </c>
      <c r="J82" s="17">
        <f t="shared" si="8"/>
        <v>0</v>
      </c>
      <c r="K82" s="17">
        <f t="shared" si="8"/>
        <v>28818</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14"/>
      <c r="G87" s="14"/>
      <c r="H87" s="15"/>
      <c r="I87" s="50">
        <f t="shared" si="9"/>
        <v>0</v>
      </c>
      <c r="J87" s="15"/>
      <c r="K87" s="16">
        <f t="shared" si="10"/>
        <v>0</v>
      </c>
    </row>
    <row r="88" spans="1:11" ht="18" customHeight="1">
      <c r="A88" s="5" t="s">
        <v>115</v>
      </c>
      <c r="B88" s="341" t="s">
        <v>116</v>
      </c>
      <c r="F88" s="14">
        <v>84</v>
      </c>
      <c r="G88" s="14"/>
      <c r="H88" s="15">
        <v>2920</v>
      </c>
      <c r="I88" s="50">
        <f t="shared" si="9"/>
        <v>2622.16</v>
      </c>
      <c r="J88" s="15"/>
      <c r="K88" s="16">
        <f t="shared" si="10"/>
        <v>5542.16</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v>950</v>
      </c>
      <c r="G91" s="14">
        <v>122</v>
      </c>
      <c r="H91" s="15">
        <v>40682</v>
      </c>
      <c r="I91" s="50">
        <f t="shared" si="9"/>
        <v>36532.436000000002</v>
      </c>
      <c r="J91" s="15"/>
      <c r="K91" s="16">
        <f t="shared" si="10"/>
        <v>77214.436000000002</v>
      </c>
    </row>
    <row r="92" spans="1:11" ht="18" customHeight="1">
      <c r="A92" s="5" t="s">
        <v>120</v>
      </c>
      <c r="B92" s="341" t="s">
        <v>121</v>
      </c>
      <c r="F92" s="38">
        <v>369</v>
      </c>
      <c r="G92" s="38"/>
      <c r="H92" s="39">
        <v>13383</v>
      </c>
      <c r="I92" s="50">
        <f t="shared" si="9"/>
        <v>12017.934000000001</v>
      </c>
      <c r="J92" s="39"/>
      <c r="K92" s="16">
        <f t="shared" si="10"/>
        <v>25400.934000000001</v>
      </c>
    </row>
    <row r="93" spans="1:11" ht="18" customHeight="1">
      <c r="A93" s="5" t="s">
        <v>122</v>
      </c>
      <c r="B93" s="341" t="s">
        <v>123</v>
      </c>
      <c r="F93" s="14"/>
      <c r="G93" s="14"/>
      <c r="H93" s="15"/>
      <c r="I93" s="50">
        <f t="shared" si="9"/>
        <v>0</v>
      </c>
      <c r="J93" s="15"/>
      <c r="K93" s="16">
        <f t="shared" si="10"/>
        <v>0</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1403</v>
      </c>
      <c r="G98" s="18">
        <f t="shared" si="11"/>
        <v>122</v>
      </c>
      <c r="H98" s="18">
        <f t="shared" si="11"/>
        <v>56985</v>
      </c>
      <c r="I98" s="18">
        <f t="shared" si="11"/>
        <v>51172.530000000006</v>
      </c>
      <c r="J98" s="18">
        <f t="shared" si="11"/>
        <v>0</v>
      </c>
      <c r="K98" s="18">
        <f t="shared" si="11"/>
        <v>108157.53</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183</v>
      </c>
      <c r="G102" s="14"/>
      <c r="H102" s="15">
        <v>6673</v>
      </c>
      <c r="I102" s="50">
        <f>H102*F$114</f>
        <v>5992.3540000000003</v>
      </c>
      <c r="J102" s="15"/>
      <c r="K102" s="16">
        <f>(H102+I102)-J102</f>
        <v>12665.353999999999</v>
      </c>
    </row>
    <row r="103" spans="1:11" ht="18" customHeight="1">
      <c r="A103" s="5" t="s">
        <v>132</v>
      </c>
      <c r="B103" s="641" t="s">
        <v>62</v>
      </c>
      <c r="C103" s="641"/>
      <c r="F103" s="14"/>
      <c r="G103" s="14"/>
      <c r="H103" s="15">
        <v>23000</v>
      </c>
      <c r="I103" s="50">
        <f>H103*F$114</f>
        <v>20654</v>
      </c>
      <c r="J103" s="15">
        <v>11000</v>
      </c>
      <c r="K103" s="16">
        <f>(H103+I103)-J103</f>
        <v>32654</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183</v>
      </c>
      <c r="G108" s="18">
        <f t="shared" si="12"/>
        <v>0</v>
      </c>
      <c r="H108" s="16">
        <f t="shared" si="12"/>
        <v>29673</v>
      </c>
      <c r="I108" s="16">
        <f t="shared" si="12"/>
        <v>26646.353999999999</v>
      </c>
      <c r="J108" s="16">
        <f t="shared" si="12"/>
        <v>11000</v>
      </c>
      <c r="K108" s="16">
        <f t="shared" si="12"/>
        <v>45319.353999999999</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7010751</v>
      </c>
    </row>
    <row r="112" spans="1:11" ht="18" customHeight="1">
      <c r="B112" s="2"/>
      <c r="E112" s="2"/>
      <c r="F112" s="22"/>
    </row>
    <row r="113" spans="1:6" ht="18" customHeight="1">
      <c r="A113" s="6"/>
      <c r="B113" s="2" t="s">
        <v>15</v>
      </c>
    </row>
    <row r="114" spans="1:6" ht="18" customHeight="1">
      <c r="A114" s="5" t="s">
        <v>171</v>
      </c>
      <c r="B114" s="341" t="s">
        <v>35</v>
      </c>
      <c r="F114" s="25">
        <v>0.89800000000000002</v>
      </c>
    </row>
    <row r="115" spans="1:6" ht="18" customHeight="1">
      <c r="A115" s="5"/>
      <c r="B115" s="2"/>
    </row>
    <row r="116" spans="1:6" ht="18" customHeight="1">
      <c r="A116" s="5" t="s">
        <v>170</v>
      </c>
      <c r="B116" s="2" t="s">
        <v>16</v>
      </c>
    </row>
    <row r="117" spans="1:6" ht="18" customHeight="1">
      <c r="A117" s="5" t="s">
        <v>172</v>
      </c>
      <c r="B117" s="341" t="s">
        <v>17</v>
      </c>
      <c r="F117" s="15">
        <v>122154078</v>
      </c>
    </row>
    <row r="118" spans="1:6" ht="18" customHeight="1">
      <c r="A118" s="5" t="s">
        <v>173</v>
      </c>
      <c r="B118" t="s">
        <v>18</v>
      </c>
      <c r="F118" s="15">
        <v>5792802</v>
      </c>
    </row>
    <row r="119" spans="1:6" ht="18" customHeight="1">
      <c r="A119" s="5" t="s">
        <v>174</v>
      </c>
      <c r="B119" s="2" t="s">
        <v>19</v>
      </c>
      <c r="F119" s="17">
        <f>SUM(F117:F118)</f>
        <v>127946880</v>
      </c>
    </row>
    <row r="120" spans="1:6" ht="18" customHeight="1">
      <c r="A120" s="5"/>
      <c r="B120" s="2"/>
    </row>
    <row r="121" spans="1:6" ht="18" customHeight="1">
      <c r="A121" s="5" t="s">
        <v>167</v>
      </c>
      <c r="B121" s="2" t="s">
        <v>36</v>
      </c>
      <c r="F121" s="15">
        <v>119481772</v>
      </c>
    </row>
    <row r="122" spans="1:6" ht="18" customHeight="1">
      <c r="A122" s="5"/>
    </row>
    <row r="123" spans="1:6" ht="18" customHeight="1">
      <c r="A123" s="5" t="s">
        <v>175</v>
      </c>
      <c r="B123" s="2" t="s">
        <v>20</v>
      </c>
      <c r="F123" s="15">
        <v>8465108</v>
      </c>
    </row>
    <row r="124" spans="1:6" ht="18" customHeight="1">
      <c r="A124" s="5"/>
    </row>
    <row r="125" spans="1:6" ht="18" customHeight="1">
      <c r="A125" s="5" t="s">
        <v>176</v>
      </c>
      <c r="B125" s="2" t="s">
        <v>21</v>
      </c>
      <c r="F125" s="15">
        <v>-1975376</v>
      </c>
    </row>
    <row r="126" spans="1:6" ht="18" customHeight="1">
      <c r="A126" s="5"/>
    </row>
    <row r="127" spans="1:6" ht="18" customHeight="1">
      <c r="A127" s="5" t="s">
        <v>177</v>
      </c>
      <c r="B127" s="2" t="s">
        <v>22</v>
      </c>
      <c r="F127" s="15">
        <v>6489732</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3659</v>
      </c>
      <c r="G141" s="41">
        <f t="shared" si="14"/>
        <v>17011</v>
      </c>
      <c r="H141" s="41">
        <f t="shared" si="14"/>
        <v>751462</v>
      </c>
      <c r="I141" s="41">
        <f t="shared" si="14"/>
        <v>674812.87600000005</v>
      </c>
      <c r="J141" s="41">
        <f t="shared" si="14"/>
        <v>0</v>
      </c>
      <c r="K141" s="41">
        <f t="shared" si="14"/>
        <v>1426274.8760000002</v>
      </c>
    </row>
    <row r="142" spans="1:11" ht="18" customHeight="1">
      <c r="A142" s="5" t="s">
        <v>142</v>
      </c>
      <c r="B142" s="2" t="s">
        <v>65</v>
      </c>
      <c r="F142" s="41">
        <f t="shared" ref="F142:K142" si="15">F49</f>
        <v>18618</v>
      </c>
      <c r="G142" s="41">
        <f t="shared" si="15"/>
        <v>485</v>
      </c>
      <c r="H142" s="41">
        <f t="shared" si="15"/>
        <v>604109</v>
      </c>
      <c r="I142" s="41">
        <f t="shared" si="15"/>
        <v>183917</v>
      </c>
      <c r="J142" s="41">
        <f t="shared" si="15"/>
        <v>0</v>
      </c>
      <c r="K142" s="41">
        <f t="shared" si="15"/>
        <v>788026</v>
      </c>
    </row>
    <row r="143" spans="1:11" ht="18" customHeight="1">
      <c r="A143" s="5" t="s">
        <v>144</v>
      </c>
      <c r="B143" s="2" t="s">
        <v>66</v>
      </c>
      <c r="F143" s="41">
        <f t="shared" ref="F143:K143" si="16">F64</f>
        <v>83874</v>
      </c>
      <c r="G143" s="41">
        <f t="shared" si="16"/>
        <v>23059</v>
      </c>
      <c r="H143" s="41">
        <f t="shared" si="16"/>
        <v>9681567.4269110002</v>
      </c>
      <c r="I143" s="41">
        <f t="shared" si="16"/>
        <v>5270081.0411737403</v>
      </c>
      <c r="J143" s="41">
        <f t="shared" si="16"/>
        <v>4977994.6716060117</v>
      </c>
      <c r="K143" s="41">
        <f t="shared" si="16"/>
        <v>9973653.7964787297</v>
      </c>
    </row>
    <row r="144" spans="1:11" ht="18" customHeight="1">
      <c r="A144" s="5" t="s">
        <v>146</v>
      </c>
      <c r="B144" s="2" t="s">
        <v>67</v>
      </c>
      <c r="F144" s="41">
        <f t="shared" ref="F144:K144" si="17">F74</f>
        <v>0</v>
      </c>
      <c r="G144" s="41">
        <f t="shared" si="17"/>
        <v>0</v>
      </c>
      <c r="H144" s="41">
        <f t="shared" si="17"/>
        <v>0</v>
      </c>
      <c r="I144" s="41">
        <f t="shared" si="17"/>
        <v>0</v>
      </c>
      <c r="J144" s="41">
        <f t="shared" si="17"/>
        <v>0</v>
      </c>
      <c r="K144" s="41">
        <f t="shared" si="17"/>
        <v>0</v>
      </c>
    </row>
    <row r="145" spans="1:11" ht="18" customHeight="1">
      <c r="A145" s="5" t="s">
        <v>148</v>
      </c>
      <c r="B145" s="2" t="s">
        <v>68</v>
      </c>
      <c r="F145" s="41">
        <f t="shared" ref="F145:K145" si="18">F82</f>
        <v>120</v>
      </c>
      <c r="G145" s="41">
        <f t="shared" si="18"/>
        <v>870</v>
      </c>
      <c r="H145" s="41">
        <f t="shared" si="18"/>
        <v>19045</v>
      </c>
      <c r="I145" s="41">
        <f t="shared" si="18"/>
        <v>9773</v>
      </c>
      <c r="J145" s="41">
        <f t="shared" si="18"/>
        <v>0</v>
      </c>
      <c r="K145" s="41">
        <f t="shared" si="18"/>
        <v>28818</v>
      </c>
    </row>
    <row r="146" spans="1:11" ht="18" customHeight="1">
      <c r="A146" s="5" t="s">
        <v>150</v>
      </c>
      <c r="B146" s="2" t="s">
        <v>69</v>
      </c>
      <c r="F146" s="41">
        <f t="shared" ref="F146:K146" si="19">F98</f>
        <v>1403</v>
      </c>
      <c r="G146" s="41">
        <f t="shared" si="19"/>
        <v>122</v>
      </c>
      <c r="H146" s="41">
        <f t="shared" si="19"/>
        <v>56985</v>
      </c>
      <c r="I146" s="41">
        <f t="shared" si="19"/>
        <v>51172.530000000006</v>
      </c>
      <c r="J146" s="41">
        <f t="shared" si="19"/>
        <v>0</v>
      </c>
      <c r="K146" s="41">
        <f t="shared" si="19"/>
        <v>108157.53</v>
      </c>
    </row>
    <row r="147" spans="1:11" ht="18" customHeight="1">
      <c r="A147" s="5" t="s">
        <v>153</v>
      </c>
      <c r="B147" s="2" t="s">
        <v>61</v>
      </c>
      <c r="F147" s="18">
        <f t="shared" ref="F147:K147" si="20">F108</f>
        <v>183</v>
      </c>
      <c r="G147" s="18">
        <f t="shared" si="20"/>
        <v>0</v>
      </c>
      <c r="H147" s="18">
        <f t="shared" si="20"/>
        <v>29673</v>
      </c>
      <c r="I147" s="18">
        <f t="shared" si="20"/>
        <v>26646.353999999999</v>
      </c>
      <c r="J147" s="18">
        <f t="shared" si="20"/>
        <v>11000</v>
      </c>
      <c r="K147" s="18">
        <f t="shared" si="20"/>
        <v>45319.353999999999</v>
      </c>
    </row>
    <row r="148" spans="1:11" ht="18" customHeight="1">
      <c r="A148" s="5" t="s">
        <v>155</v>
      </c>
      <c r="B148" s="2" t="s">
        <v>70</v>
      </c>
      <c r="F148" s="42" t="s">
        <v>73</v>
      </c>
      <c r="G148" s="42" t="s">
        <v>73</v>
      </c>
      <c r="H148" s="43" t="s">
        <v>73</v>
      </c>
      <c r="I148" s="43" t="s">
        <v>73</v>
      </c>
      <c r="J148" s="43" t="s">
        <v>73</v>
      </c>
      <c r="K148" s="37">
        <f>F111</f>
        <v>7010751</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3548258.0497057899</v>
      </c>
      <c r="I150" s="18">
        <f>I18</f>
        <v>0</v>
      </c>
      <c r="J150" s="18">
        <f>J18</f>
        <v>3034204.2819452551</v>
      </c>
      <c r="K150" s="18">
        <f>K18</f>
        <v>514053.76776053477</v>
      </c>
    </row>
    <row r="151" spans="1:11" ht="18" customHeight="1">
      <c r="B151" s="2"/>
      <c r="F151" s="48"/>
      <c r="G151" s="48"/>
      <c r="H151" s="48"/>
      <c r="I151" s="48"/>
      <c r="J151" s="48"/>
      <c r="K151" s="48"/>
    </row>
    <row r="152" spans="1:11" ht="18" customHeight="1">
      <c r="A152" s="6" t="s">
        <v>165</v>
      </c>
      <c r="B152" s="2" t="s">
        <v>26</v>
      </c>
      <c r="F152" s="49">
        <f t="shared" ref="F152:K152" si="22">SUM(F141:F150)</f>
        <v>107857</v>
      </c>
      <c r="G152" s="49">
        <f t="shared" si="22"/>
        <v>41547</v>
      </c>
      <c r="H152" s="49">
        <f t="shared" si="22"/>
        <v>14691099.476616791</v>
      </c>
      <c r="I152" s="49">
        <f t="shared" si="22"/>
        <v>6216402.801173741</v>
      </c>
      <c r="J152" s="49">
        <f t="shared" si="22"/>
        <v>8023198.9535512663</v>
      </c>
      <c r="K152" s="49">
        <f t="shared" si="22"/>
        <v>19895054.324239265</v>
      </c>
    </row>
    <row r="154" spans="1:11" ht="18" customHeight="1">
      <c r="A154" s="6" t="s">
        <v>168</v>
      </c>
      <c r="B154" s="2" t="s">
        <v>28</v>
      </c>
      <c r="F154" s="348">
        <f>K152/F121</f>
        <v>0.16651120912601852</v>
      </c>
    </row>
    <row r="155" spans="1:11" ht="18" customHeight="1">
      <c r="A155" s="6" t="s">
        <v>169</v>
      </c>
      <c r="B155" s="2" t="s">
        <v>72</v>
      </c>
      <c r="F155" s="348">
        <f>K152/F127</f>
        <v>3.065620325190511</v>
      </c>
      <c r="G155" s="2"/>
    </row>
    <row r="156" spans="1:11" ht="18" customHeight="1">
      <c r="G156" s="2"/>
    </row>
  </sheetData>
  <sheetProtection password="EF72" sheet="1" objects="1" scenarios="1"/>
  <mergeCells count="29">
    <mergeCell ref="B41:C41"/>
    <mergeCell ref="D2:H2"/>
    <mergeCell ref="C5:G5"/>
    <mergeCell ref="C6:G6"/>
    <mergeCell ref="C7:G7"/>
    <mergeCell ref="C9:G9"/>
    <mergeCell ref="C10:G10"/>
    <mergeCell ref="C11:G11"/>
    <mergeCell ref="B13:H13"/>
    <mergeCell ref="B30:D30"/>
    <mergeCell ref="B31:D31"/>
    <mergeCell ref="B34:D34"/>
    <mergeCell ref="B104:D104"/>
    <mergeCell ref="B44:D44"/>
    <mergeCell ref="B45:D45"/>
    <mergeCell ref="B46:D46"/>
    <mergeCell ref="B47:D47"/>
    <mergeCell ref="B52:C52"/>
    <mergeCell ref="B62:D62"/>
    <mergeCell ref="B90:C90"/>
    <mergeCell ref="B94:D94"/>
    <mergeCell ref="B95:D95"/>
    <mergeCell ref="B96:D96"/>
    <mergeCell ref="B103:C103"/>
    <mergeCell ref="B105:D105"/>
    <mergeCell ref="B106:D106"/>
    <mergeCell ref="B133:D133"/>
    <mergeCell ref="B134:D134"/>
    <mergeCell ref="B135:D13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15" zoomScale="70" zoomScaleNormal="50" zoomScaleSheetLayoutView="70" workbookViewId="0">
      <selection activeCell="F162" sqref="F162"/>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722</v>
      </c>
      <c r="D5" s="654"/>
      <c r="E5" s="654"/>
      <c r="F5" s="654"/>
      <c r="G5" s="655"/>
    </row>
    <row r="6" spans="1:11" ht="18" customHeight="1">
      <c r="B6" s="5" t="s">
        <v>3</v>
      </c>
      <c r="C6" s="671">
        <v>40</v>
      </c>
      <c r="D6" s="657"/>
      <c r="E6" s="657"/>
      <c r="F6" s="657"/>
      <c r="G6" s="658"/>
    </row>
    <row r="7" spans="1:11" ht="18" customHeight="1">
      <c r="B7" s="5" t="s">
        <v>4</v>
      </c>
      <c r="C7" s="659">
        <v>1607</v>
      </c>
      <c r="D7" s="660"/>
      <c r="E7" s="660"/>
      <c r="F7" s="660"/>
      <c r="G7" s="661"/>
    </row>
    <row r="9" spans="1:11" ht="18" customHeight="1">
      <c r="B9" s="5" t="s">
        <v>1</v>
      </c>
      <c r="C9" s="670" t="s">
        <v>613</v>
      </c>
      <c r="D9" s="654"/>
      <c r="E9" s="654"/>
      <c r="F9" s="654"/>
      <c r="G9" s="655"/>
    </row>
    <row r="10" spans="1:11" ht="18" customHeight="1">
      <c r="B10" s="5" t="s">
        <v>2</v>
      </c>
      <c r="C10" s="674" t="s">
        <v>614</v>
      </c>
      <c r="D10" s="663"/>
      <c r="E10" s="663"/>
      <c r="F10" s="663"/>
      <c r="G10" s="664"/>
    </row>
    <row r="11" spans="1:11" ht="18" customHeight="1">
      <c r="B11" s="5" t="s">
        <v>32</v>
      </c>
      <c r="C11" s="670" t="s">
        <v>615</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6214793</v>
      </c>
      <c r="I18" s="50">
        <v>0</v>
      </c>
      <c r="J18" s="15">
        <v>5314425</v>
      </c>
      <c r="K18" s="16">
        <f>(H18+I18)-J18</f>
        <v>900368</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1542</v>
      </c>
      <c r="G21" s="14">
        <v>319</v>
      </c>
      <c r="H21" s="15">
        <v>51473</v>
      </c>
      <c r="I21" s="50">
        <f t="shared" ref="I21:I34" si="0">H21*F$114</f>
        <v>35171.500899999999</v>
      </c>
      <c r="J21" s="15"/>
      <c r="K21" s="16">
        <f t="shared" ref="K21:K34" si="1">(H21+I21)-J21</f>
        <v>86644.500899999999</v>
      </c>
    </row>
    <row r="22" spans="1:11" ht="18" customHeight="1">
      <c r="A22" s="5" t="s">
        <v>76</v>
      </c>
      <c r="B22" t="s">
        <v>6</v>
      </c>
      <c r="F22" s="14"/>
      <c r="G22" s="14"/>
      <c r="H22" s="15"/>
      <c r="I22" s="50">
        <f t="shared" si="0"/>
        <v>0</v>
      </c>
      <c r="J22" s="15"/>
      <c r="K22" s="16">
        <f t="shared" si="1"/>
        <v>0</v>
      </c>
    </row>
    <row r="23" spans="1:11" ht="18" customHeight="1">
      <c r="A23" s="5" t="s">
        <v>77</v>
      </c>
      <c r="B23" t="s">
        <v>43</v>
      </c>
      <c r="F23" s="14"/>
      <c r="G23" s="14"/>
      <c r="H23" s="15"/>
      <c r="I23" s="50">
        <f t="shared" si="0"/>
        <v>0</v>
      </c>
      <c r="J23" s="15"/>
      <c r="K23" s="16">
        <f t="shared" si="1"/>
        <v>0</v>
      </c>
    </row>
    <row r="24" spans="1:11" ht="18" customHeight="1">
      <c r="A24" s="5" t="s">
        <v>78</v>
      </c>
      <c r="B24" t="s">
        <v>44</v>
      </c>
      <c r="F24" s="14">
        <v>2460</v>
      </c>
      <c r="G24" s="14">
        <v>852</v>
      </c>
      <c r="H24" s="15">
        <v>106580</v>
      </c>
      <c r="I24" s="50">
        <f t="shared" si="0"/>
        <v>72826.114000000001</v>
      </c>
      <c r="J24" s="15">
        <v>51355</v>
      </c>
      <c r="K24" s="16">
        <f t="shared" si="1"/>
        <v>128051.114</v>
      </c>
    </row>
    <row r="25" spans="1:11" ht="18" customHeight="1">
      <c r="A25" s="5" t="s">
        <v>79</v>
      </c>
      <c r="B25" t="s">
        <v>5</v>
      </c>
      <c r="F25" s="14"/>
      <c r="G25" s="14"/>
      <c r="H25" s="15"/>
      <c r="I25" s="50">
        <f t="shared" si="0"/>
        <v>0</v>
      </c>
      <c r="J25" s="15"/>
      <c r="K25" s="16">
        <f t="shared" si="1"/>
        <v>0</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3714</v>
      </c>
      <c r="G29" s="14">
        <v>187</v>
      </c>
      <c r="H29" s="15">
        <v>939880</v>
      </c>
      <c r="I29" s="50">
        <f t="shared" si="0"/>
        <v>642220.00400000007</v>
      </c>
      <c r="J29" s="15">
        <v>319585</v>
      </c>
      <c r="K29" s="16">
        <f t="shared" si="1"/>
        <v>1262515.0040000002</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363"/>
      <c r="C32" s="364"/>
      <c r="D32" s="365"/>
      <c r="F32" s="14"/>
      <c r="G32" s="342" t="s">
        <v>85</v>
      </c>
      <c r="H32" s="15"/>
      <c r="I32" s="50">
        <f t="shared" si="0"/>
        <v>0</v>
      </c>
      <c r="J32" s="15"/>
      <c r="K32" s="16">
        <f t="shared" si="1"/>
        <v>0</v>
      </c>
    </row>
    <row r="33" spans="1:11" ht="18" customHeight="1">
      <c r="A33" s="5" t="s">
        <v>135</v>
      </c>
      <c r="B33" s="363"/>
      <c r="C33" s="364"/>
      <c r="D33" s="365"/>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7716</v>
      </c>
      <c r="G36" s="18">
        <f t="shared" si="2"/>
        <v>1358</v>
      </c>
      <c r="H36" s="18">
        <f t="shared" si="2"/>
        <v>1097933</v>
      </c>
      <c r="I36" s="16">
        <f t="shared" si="2"/>
        <v>750217.61890000012</v>
      </c>
      <c r="J36" s="16">
        <f t="shared" si="2"/>
        <v>370940</v>
      </c>
      <c r="K36" s="16">
        <f t="shared" si="2"/>
        <v>1477210.6189000001</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f t="shared" ref="I40:I47" si="3">H40*F$114</f>
        <v>0</v>
      </c>
      <c r="J40" s="15"/>
      <c r="K40" s="16">
        <f t="shared" ref="K40:K47" si="4">(H40+I40)-J40</f>
        <v>0</v>
      </c>
    </row>
    <row r="41" spans="1:11" ht="18" customHeight="1">
      <c r="A41" s="5" t="s">
        <v>88</v>
      </c>
      <c r="B41" s="641" t="s">
        <v>50</v>
      </c>
      <c r="C41" s="649"/>
      <c r="F41" s="14">
        <v>2606</v>
      </c>
      <c r="G41" s="14"/>
      <c r="H41" s="15">
        <v>91210</v>
      </c>
      <c r="I41" s="50">
        <f t="shared" si="3"/>
        <v>62323.793000000005</v>
      </c>
      <c r="J41" s="15"/>
      <c r="K41" s="16">
        <f t="shared" si="4"/>
        <v>153533.79300000001</v>
      </c>
    </row>
    <row r="42" spans="1:11" ht="18" customHeight="1">
      <c r="A42" s="5" t="s">
        <v>89</v>
      </c>
      <c r="B42" s="341" t="s">
        <v>11</v>
      </c>
      <c r="F42" s="14">
        <v>1520</v>
      </c>
      <c r="G42" s="14"/>
      <c r="H42" s="15">
        <v>88281</v>
      </c>
      <c r="I42" s="50">
        <f t="shared" si="3"/>
        <v>60322.407299999999</v>
      </c>
      <c r="J42" s="15"/>
      <c r="K42" s="16">
        <f t="shared" si="4"/>
        <v>148603.40729999999</v>
      </c>
    </row>
    <row r="43" spans="1:11" ht="18" customHeight="1">
      <c r="A43" s="5" t="s">
        <v>90</v>
      </c>
      <c r="B43" s="343" t="s">
        <v>10</v>
      </c>
      <c r="C43" s="10"/>
      <c r="D43" s="10"/>
      <c r="F43" s="14"/>
      <c r="G43" s="14"/>
      <c r="H43" s="15"/>
      <c r="I43" s="50">
        <f t="shared" si="3"/>
        <v>0</v>
      </c>
      <c r="J43" s="15"/>
      <c r="K43" s="16">
        <f t="shared" si="4"/>
        <v>0</v>
      </c>
    </row>
    <row r="44" spans="1:11" ht="18" customHeight="1">
      <c r="A44" s="5" t="s">
        <v>91</v>
      </c>
      <c r="B44" s="636"/>
      <c r="C44" s="637"/>
      <c r="D44" s="638"/>
      <c r="F44" s="54"/>
      <c r="G44" s="54"/>
      <c r="H44" s="54"/>
      <c r="I44" s="50">
        <f t="shared" si="3"/>
        <v>0</v>
      </c>
      <c r="J44" s="54"/>
      <c r="K44" s="56">
        <f t="shared" si="4"/>
        <v>0</v>
      </c>
    </row>
    <row r="45" spans="1:11" ht="18" customHeight="1">
      <c r="A45" s="5" t="s">
        <v>139</v>
      </c>
      <c r="B45" s="636"/>
      <c r="C45" s="637"/>
      <c r="D45" s="638"/>
      <c r="F45" s="14"/>
      <c r="G45" s="14"/>
      <c r="H45" s="15"/>
      <c r="I45" s="50">
        <f t="shared" si="3"/>
        <v>0</v>
      </c>
      <c r="J45" s="15"/>
      <c r="K45" s="16">
        <f t="shared" si="4"/>
        <v>0</v>
      </c>
    </row>
    <row r="46" spans="1:11" ht="18" customHeight="1">
      <c r="A46" s="5" t="s">
        <v>140</v>
      </c>
      <c r="B46" s="636"/>
      <c r="C46" s="637"/>
      <c r="D46" s="638"/>
      <c r="F46" s="14"/>
      <c r="G46" s="14"/>
      <c r="H46" s="15"/>
      <c r="I46" s="50">
        <f t="shared" si="3"/>
        <v>0</v>
      </c>
      <c r="J46" s="15"/>
      <c r="K46" s="16">
        <f t="shared" si="4"/>
        <v>0</v>
      </c>
    </row>
    <row r="47" spans="1:11" ht="18" customHeight="1">
      <c r="A47" s="5" t="s">
        <v>141</v>
      </c>
      <c r="B47" s="636"/>
      <c r="C47" s="637"/>
      <c r="D47" s="638"/>
      <c r="F47" s="14"/>
      <c r="G47" s="14"/>
      <c r="H47" s="15"/>
      <c r="I47" s="50">
        <f t="shared" si="3"/>
        <v>0</v>
      </c>
      <c r="J47" s="15"/>
      <c r="K47" s="16">
        <f t="shared" si="4"/>
        <v>0</v>
      </c>
    </row>
    <row r="49" spans="1:11" ht="18" customHeight="1">
      <c r="A49" s="6" t="s">
        <v>142</v>
      </c>
      <c r="B49" s="2" t="s">
        <v>143</v>
      </c>
      <c r="E49" s="2" t="s">
        <v>7</v>
      </c>
      <c r="F49" s="23">
        <f t="shared" ref="F49:K49" si="5">SUM(F40:F47)</f>
        <v>4126</v>
      </c>
      <c r="G49" s="23">
        <f t="shared" si="5"/>
        <v>0</v>
      </c>
      <c r="H49" s="16">
        <f t="shared" si="5"/>
        <v>179491</v>
      </c>
      <c r="I49" s="16">
        <f t="shared" si="5"/>
        <v>122646.2003</v>
      </c>
      <c r="J49" s="16">
        <f t="shared" si="5"/>
        <v>0</v>
      </c>
      <c r="K49" s="16">
        <f t="shared" si="5"/>
        <v>302137.20030000003</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723</v>
      </c>
      <c r="C53" s="648"/>
      <c r="D53" s="644"/>
      <c r="F53" s="14"/>
      <c r="G53" s="14"/>
      <c r="H53" s="15">
        <v>2289367</v>
      </c>
      <c r="I53" s="50">
        <f t="shared" ref="I53:I62" si="6">H53*F$114</f>
        <v>1564324.4711</v>
      </c>
      <c r="J53" s="15"/>
      <c r="K53" s="16">
        <f t="shared" ref="K53:K62" si="7">(H53+I53)-J53</f>
        <v>3853691.4710999997</v>
      </c>
    </row>
    <row r="54" spans="1:11" ht="18" customHeight="1">
      <c r="A54" s="5" t="s">
        <v>93</v>
      </c>
      <c r="B54" s="360" t="s">
        <v>724</v>
      </c>
      <c r="C54" s="361"/>
      <c r="D54" s="362"/>
      <c r="F54" s="14"/>
      <c r="G54" s="14"/>
      <c r="H54" s="15">
        <v>691978</v>
      </c>
      <c r="I54" s="50">
        <f t="shared" si="6"/>
        <v>472828.5674</v>
      </c>
      <c r="J54" s="15"/>
      <c r="K54" s="16">
        <f t="shared" si="7"/>
        <v>1164806.5674000001</v>
      </c>
    </row>
    <row r="55" spans="1:11" ht="18" customHeight="1">
      <c r="A55" s="5" t="s">
        <v>94</v>
      </c>
      <c r="B55" s="642" t="s">
        <v>725</v>
      </c>
      <c r="C55" s="643"/>
      <c r="D55" s="644"/>
      <c r="F55" s="14"/>
      <c r="G55" s="14"/>
      <c r="H55" s="15">
        <v>1784072</v>
      </c>
      <c r="I55" s="50">
        <f t="shared" si="6"/>
        <v>1219056.3976</v>
      </c>
      <c r="J55" s="15"/>
      <c r="K55" s="16">
        <f t="shared" si="7"/>
        <v>3003128.3975999998</v>
      </c>
    </row>
    <row r="56" spans="1:11" ht="18" customHeight="1">
      <c r="A56" s="5" t="s">
        <v>95</v>
      </c>
      <c r="B56" s="642" t="s">
        <v>726</v>
      </c>
      <c r="C56" s="643"/>
      <c r="D56" s="644"/>
      <c r="F56" s="14"/>
      <c r="G56" s="14"/>
      <c r="H56" s="15">
        <v>108291</v>
      </c>
      <c r="I56" s="50">
        <f t="shared" si="6"/>
        <v>73995.240300000005</v>
      </c>
      <c r="J56" s="15"/>
      <c r="K56" s="16">
        <f t="shared" si="7"/>
        <v>182286.2403</v>
      </c>
    </row>
    <row r="57" spans="1:11" ht="18" customHeight="1">
      <c r="A57" s="5" t="s">
        <v>96</v>
      </c>
      <c r="B57" s="642"/>
      <c r="C57" s="643"/>
      <c r="D57" s="644"/>
      <c r="F57" s="14"/>
      <c r="G57" s="14"/>
      <c r="H57" s="15"/>
      <c r="I57" s="50">
        <f t="shared" si="6"/>
        <v>0</v>
      </c>
      <c r="J57" s="15"/>
      <c r="K57" s="16">
        <f t="shared" si="7"/>
        <v>0</v>
      </c>
    </row>
    <row r="58" spans="1:11" ht="18" customHeight="1">
      <c r="A58" s="5" t="s">
        <v>97</v>
      </c>
      <c r="B58" s="360"/>
      <c r="C58" s="361"/>
      <c r="D58" s="362"/>
      <c r="F58" s="14"/>
      <c r="G58" s="14"/>
      <c r="H58" s="15"/>
      <c r="I58" s="50">
        <f t="shared" si="6"/>
        <v>0</v>
      </c>
      <c r="J58" s="15"/>
      <c r="K58" s="16">
        <f t="shared" si="7"/>
        <v>0</v>
      </c>
    </row>
    <row r="59" spans="1:11" ht="18" customHeight="1">
      <c r="A59" s="5" t="s">
        <v>98</v>
      </c>
      <c r="B59" s="642"/>
      <c r="C59" s="643"/>
      <c r="D59" s="644"/>
      <c r="F59" s="14"/>
      <c r="G59" s="14"/>
      <c r="H59" s="15"/>
      <c r="I59" s="50">
        <f t="shared" si="6"/>
        <v>0</v>
      </c>
      <c r="J59" s="15"/>
      <c r="K59" s="16">
        <f t="shared" si="7"/>
        <v>0</v>
      </c>
    </row>
    <row r="60" spans="1:11" ht="18" customHeight="1">
      <c r="A60" s="5" t="s">
        <v>99</v>
      </c>
      <c r="B60" s="360"/>
      <c r="C60" s="361"/>
      <c r="D60" s="362"/>
      <c r="F60" s="14"/>
      <c r="G60" s="14"/>
      <c r="H60" s="15"/>
      <c r="I60" s="50">
        <f t="shared" si="6"/>
        <v>0</v>
      </c>
      <c r="J60" s="15"/>
      <c r="K60" s="16">
        <f t="shared" si="7"/>
        <v>0</v>
      </c>
    </row>
    <row r="61" spans="1:11" ht="18" customHeight="1">
      <c r="A61" s="5" t="s">
        <v>100</v>
      </c>
      <c r="B61" s="360"/>
      <c r="C61" s="361"/>
      <c r="D61" s="362"/>
      <c r="F61" s="14"/>
      <c r="G61" s="14"/>
      <c r="H61" s="15"/>
      <c r="I61" s="50">
        <f t="shared" si="6"/>
        <v>0</v>
      </c>
      <c r="J61" s="15"/>
      <c r="K61" s="16">
        <f t="shared" si="7"/>
        <v>0</v>
      </c>
    </row>
    <row r="62" spans="1:11" ht="18" customHeight="1">
      <c r="A62" s="5" t="s">
        <v>101</v>
      </c>
      <c r="B62" s="642"/>
      <c r="C62" s="643"/>
      <c r="D62" s="644"/>
      <c r="F62" s="14"/>
      <c r="G62" s="14"/>
      <c r="H62" s="15"/>
      <c r="I62" s="50">
        <f t="shared" si="6"/>
        <v>0</v>
      </c>
      <c r="J62" s="15"/>
      <c r="K62" s="16">
        <f t="shared" si="7"/>
        <v>0</v>
      </c>
    </row>
    <row r="63" spans="1:11" ht="18" customHeight="1">
      <c r="A63" s="5"/>
      <c r="I63" s="46"/>
    </row>
    <row r="64" spans="1:11" ht="18" customHeight="1">
      <c r="A64" s="5" t="s">
        <v>144</v>
      </c>
      <c r="B64" s="2" t="s">
        <v>145</v>
      </c>
      <c r="E64" s="2" t="s">
        <v>7</v>
      </c>
      <c r="F64" s="18">
        <f t="shared" ref="F64:K64" si="8">SUM(F53:F62)</f>
        <v>0</v>
      </c>
      <c r="G64" s="18">
        <f t="shared" si="8"/>
        <v>0</v>
      </c>
      <c r="H64" s="16">
        <f t="shared" si="8"/>
        <v>4873708</v>
      </c>
      <c r="I64" s="16">
        <f t="shared" si="8"/>
        <v>3330204.6764000002</v>
      </c>
      <c r="J64" s="16">
        <f t="shared" si="8"/>
        <v>0</v>
      </c>
      <c r="K64" s="16">
        <f t="shared" si="8"/>
        <v>8203912.6763999993</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v>1382</v>
      </c>
      <c r="G68" s="51"/>
      <c r="H68" s="50">
        <v>150339</v>
      </c>
      <c r="I68" s="50">
        <f t="shared" ref="I68" si="9">H68*F$114</f>
        <v>102726.6387</v>
      </c>
      <c r="J68" s="50">
        <v>79089</v>
      </c>
      <c r="K68" s="16">
        <f>(H68+I68)-J68</f>
        <v>173976.63870000001</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10">SUM(F68:F72)</f>
        <v>1382</v>
      </c>
      <c r="G74" s="21">
        <f t="shared" si="10"/>
        <v>0</v>
      </c>
      <c r="H74" s="21">
        <f t="shared" si="10"/>
        <v>150339</v>
      </c>
      <c r="I74" s="53">
        <f t="shared" si="10"/>
        <v>102726.6387</v>
      </c>
      <c r="J74" s="21">
        <f t="shared" si="10"/>
        <v>79089</v>
      </c>
      <c r="K74" s="17">
        <f t="shared" si="10"/>
        <v>173976.63870000001</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v>85079</v>
      </c>
      <c r="I77" s="50">
        <v>0</v>
      </c>
      <c r="J77" s="15"/>
      <c r="K77" s="16">
        <f>(H77+I77)-J77</f>
        <v>85079</v>
      </c>
    </row>
    <row r="78" spans="1:11" ht="18" customHeight="1">
      <c r="A78" s="5" t="s">
        <v>108</v>
      </c>
      <c r="B78" s="341" t="s">
        <v>55</v>
      </c>
      <c r="F78" s="14"/>
      <c r="G78" s="14"/>
      <c r="H78" s="15"/>
      <c r="I78" s="50">
        <v>0</v>
      </c>
      <c r="J78" s="15"/>
      <c r="K78" s="16">
        <f>(H78+I78)-J78</f>
        <v>0</v>
      </c>
    </row>
    <row r="79" spans="1:11" ht="18" customHeight="1">
      <c r="A79" s="5" t="s">
        <v>109</v>
      </c>
      <c r="B79" s="341" t="s">
        <v>13</v>
      </c>
      <c r="F79" s="14"/>
      <c r="G79" s="14"/>
      <c r="H79" s="15"/>
      <c r="I79" s="50">
        <v>0</v>
      </c>
      <c r="J79" s="15"/>
      <c r="K79" s="16">
        <f>(H79+I79)-J79</f>
        <v>0</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11">SUM(F77:F80)</f>
        <v>0</v>
      </c>
      <c r="G82" s="21">
        <f t="shared" si="11"/>
        <v>0</v>
      </c>
      <c r="H82" s="17">
        <f t="shared" si="11"/>
        <v>85079</v>
      </c>
      <c r="I82" s="17">
        <f t="shared" si="11"/>
        <v>0</v>
      </c>
      <c r="J82" s="17">
        <f t="shared" si="11"/>
        <v>0</v>
      </c>
      <c r="K82" s="17">
        <f t="shared" si="11"/>
        <v>85079</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2">H86*F$114</f>
        <v>0</v>
      </c>
      <c r="J86" s="15"/>
      <c r="K86" s="16">
        <f t="shared" ref="K86:K96" si="13">(H86+I86)-J86</f>
        <v>0</v>
      </c>
    </row>
    <row r="87" spans="1:11" ht="18" customHeight="1">
      <c r="A87" s="5" t="s">
        <v>114</v>
      </c>
      <c r="B87" s="341" t="s">
        <v>14</v>
      </c>
      <c r="F87" s="14"/>
      <c r="G87" s="14"/>
      <c r="H87" s="15"/>
      <c r="I87" s="50">
        <f t="shared" si="12"/>
        <v>0</v>
      </c>
      <c r="J87" s="15"/>
      <c r="K87" s="16">
        <f t="shared" si="13"/>
        <v>0</v>
      </c>
    </row>
    <row r="88" spans="1:11" ht="18" customHeight="1">
      <c r="A88" s="5" t="s">
        <v>115</v>
      </c>
      <c r="B88" s="341" t="s">
        <v>116</v>
      </c>
      <c r="F88" s="14"/>
      <c r="G88" s="14"/>
      <c r="H88" s="15">
        <v>101295</v>
      </c>
      <c r="I88" s="50">
        <f t="shared" si="12"/>
        <v>69214.873500000002</v>
      </c>
      <c r="J88" s="15">
        <v>34445</v>
      </c>
      <c r="K88" s="16">
        <f t="shared" si="13"/>
        <v>136064.87349999999</v>
      </c>
    </row>
    <row r="89" spans="1:11" ht="18" customHeight="1">
      <c r="A89" s="5" t="s">
        <v>117</v>
      </c>
      <c r="B89" s="341" t="s">
        <v>58</v>
      </c>
      <c r="F89" s="14"/>
      <c r="G89" s="14"/>
      <c r="H89" s="15"/>
      <c r="I89" s="50">
        <f t="shared" si="12"/>
        <v>0</v>
      </c>
      <c r="J89" s="15"/>
      <c r="K89" s="16">
        <f t="shared" si="13"/>
        <v>0</v>
      </c>
    </row>
    <row r="90" spans="1:11" ht="18" customHeight="1">
      <c r="A90" s="5" t="s">
        <v>118</v>
      </c>
      <c r="B90" s="641" t="s">
        <v>59</v>
      </c>
      <c r="C90" s="649"/>
      <c r="F90" s="14"/>
      <c r="G90" s="14"/>
      <c r="H90" s="15"/>
      <c r="I90" s="50">
        <f t="shared" si="12"/>
        <v>0</v>
      </c>
      <c r="J90" s="15"/>
      <c r="K90" s="16">
        <f t="shared" si="13"/>
        <v>0</v>
      </c>
    </row>
    <row r="91" spans="1:11" ht="18" customHeight="1">
      <c r="A91" s="5" t="s">
        <v>119</v>
      </c>
      <c r="B91" s="341" t="s">
        <v>60</v>
      </c>
      <c r="F91" s="14">
        <v>455</v>
      </c>
      <c r="G91" s="14"/>
      <c r="H91" s="15">
        <v>15389</v>
      </c>
      <c r="I91" s="50">
        <f t="shared" si="12"/>
        <v>10515.3037</v>
      </c>
      <c r="J91" s="15"/>
      <c r="K91" s="16">
        <f t="shared" si="13"/>
        <v>25904.3037</v>
      </c>
    </row>
    <row r="92" spans="1:11" ht="18" customHeight="1">
      <c r="A92" s="5" t="s">
        <v>120</v>
      </c>
      <c r="B92" s="341" t="s">
        <v>121</v>
      </c>
      <c r="F92" s="38"/>
      <c r="G92" s="38"/>
      <c r="H92" s="39"/>
      <c r="I92" s="50">
        <f t="shared" si="12"/>
        <v>0</v>
      </c>
      <c r="J92" s="39"/>
      <c r="K92" s="16">
        <f t="shared" si="13"/>
        <v>0</v>
      </c>
    </row>
    <row r="93" spans="1:11" ht="18" customHeight="1">
      <c r="A93" s="5" t="s">
        <v>122</v>
      </c>
      <c r="B93" s="341" t="s">
        <v>123</v>
      </c>
      <c r="F93" s="14"/>
      <c r="G93" s="14"/>
      <c r="H93" s="15"/>
      <c r="I93" s="50">
        <f t="shared" si="12"/>
        <v>0</v>
      </c>
      <c r="J93" s="15"/>
      <c r="K93" s="16">
        <f t="shared" si="13"/>
        <v>0</v>
      </c>
    </row>
    <row r="94" spans="1:11" ht="18" customHeight="1">
      <c r="A94" s="5" t="s">
        <v>124</v>
      </c>
      <c r="B94" s="642"/>
      <c r="C94" s="643"/>
      <c r="D94" s="644"/>
      <c r="F94" s="14"/>
      <c r="G94" s="14"/>
      <c r="H94" s="15"/>
      <c r="I94" s="50">
        <f t="shared" si="12"/>
        <v>0</v>
      </c>
      <c r="J94" s="15"/>
      <c r="K94" s="16">
        <f t="shared" si="13"/>
        <v>0</v>
      </c>
    </row>
    <row r="95" spans="1:11" ht="18" customHeight="1">
      <c r="A95" s="5" t="s">
        <v>125</v>
      </c>
      <c r="B95" s="642"/>
      <c r="C95" s="643"/>
      <c r="D95" s="644"/>
      <c r="F95" s="14"/>
      <c r="G95" s="14"/>
      <c r="H95" s="15"/>
      <c r="I95" s="50">
        <f t="shared" si="12"/>
        <v>0</v>
      </c>
      <c r="J95" s="15"/>
      <c r="K95" s="16">
        <f t="shared" si="13"/>
        <v>0</v>
      </c>
    </row>
    <row r="96" spans="1:11" ht="18" customHeight="1">
      <c r="A96" s="5" t="s">
        <v>126</v>
      </c>
      <c r="B96" s="642"/>
      <c r="C96" s="643"/>
      <c r="D96" s="644"/>
      <c r="F96" s="14"/>
      <c r="G96" s="14"/>
      <c r="H96" s="15"/>
      <c r="I96" s="50">
        <f t="shared" si="12"/>
        <v>0</v>
      </c>
      <c r="J96" s="15"/>
      <c r="K96" s="16">
        <f t="shared" si="13"/>
        <v>0</v>
      </c>
    </row>
    <row r="97" spans="1:11" ht="18" customHeight="1">
      <c r="A97" s="5"/>
      <c r="B97" s="341"/>
    </row>
    <row r="98" spans="1:11" ht="18" customHeight="1">
      <c r="A98" s="6" t="s">
        <v>150</v>
      </c>
      <c r="B98" s="2" t="s">
        <v>151</v>
      </c>
      <c r="E98" s="2" t="s">
        <v>7</v>
      </c>
      <c r="F98" s="18">
        <f t="shared" ref="F98:K98" si="14">SUM(F86:F96)</f>
        <v>455</v>
      </c>
      <c r="G98" s="18">
        <f t="shared" si="14"/>
        <v>0</v>
      </c>
      <c r="H98" s="18">
        <f t="shared" si="14"/>
        <v>116684</v>
      </c>
      <c r="I98" s="18">
        <f t="shared" si="14"/>
        <v>79730.177200000006</v>
      </c>
      <c r="J98" s="18">
        <f t="shared" si="14"/>
        <v>34445</v>
      </c>
      <c r="K98" s="18">
        <f t="shared" si="14"/>
        <v>161969.17719999998</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583</v>
      </c>
      <c r="G102" s="14"/>
      <c r="H102" s="15">
        <v>25207</v>
      </c>
      <c r="I102" s="50">
        <f>H102*F$114</f>
        <v>17223.9431</v>
      </c>
      <c r="J102" s="15"/>
      <c r="K102" s="16">
        <f>(H102+I102)-J102</f>
        <v>42430.943100000004</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5">SUM(F102:F106)</f>
        <v>583</v>
      </c>
      <c r="G108" s="18">
        <f t="shared" si="15"/>
        <v>0</v>
      </c>
      <c r="H108" s="16">
        <f t="shared" si="15"/>
        <v>25207</v>
      </c>
      <c r="I108" s="16">
        <f t="shared" si="15"/>
        <v>17223.9431</v>
      </c>
      <c r="J108" s="16">
        <f t="shared" si="15"/>
        <v>0</v>
      </c>
      <c r="K108" s="16">
        <f t="shared" si="15"/>
        <v>42430.943100000004</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6203971</v>
      </c>
    </row>
    <row r="112" spans="1:11" ht="18" customHeight="1">
      <c r="B112" s="2"/>
      <c r="E112" s="2"/>
      <c r="F112" s="22"/>
    </row>
    <row r="113" spans="1:6" ht="18" customHeight="1">
      <c r="A113" s="6"/>
      <c r="B113" s="2" t="s">
        <v>15</v>
      </c>
    </row>
    <row r="114" spans="1:6" ht="18" customHeight="1">
      <c r="A114" s="5" t="s">
        <v>171</v>
      </c>
      <c r="B114" s="341" t="s">
        <v>35</v>
      </c>
      <c r="F114" s="25">
        <v>0.68330000000000002</v>
      </c>
    </row>
    <row r="115" spans="1:6" ht="18" customHeight="1">
      <c r="A115" s="5"/>
      <c r="B115" s="2"/>
    </row>
    <row r="116" spans="1:6" ht="18" customHeight="1">
      <c r="A116" s="5" t="s">
        <v>170</v>
      </c>
      <c r="B116" s="2" t="s">
        <v>16</v>
      </c>
    </row>
    <row r="117" spans="1:6" ht="18" customHeight="1">
      <c r="A117" s="5" t="s">
        <v>172</v>
      </c>
      <c r="B117" s="341" t="s">
        <v>17</v>
      </c>
      <c r="F117" s="15">
        <v>215195000</v>
      </c>
    </row>
    <row r="118" spans="1:6" ht="18" customHeight="1">
      <c r="A118" s="5" t="s">
        <v>173</v>
      </c>
      <c r="B118" t="s">
        <v>18</v>
      </c>
      <c r="F118" s="15">
        <v>6425000</v>
      </c>
    </row>
    <row r="119" spans="1:6" ht="18" customHeight="1">
      <c r="A119" s="5" t="s">
        <v>174</v>
      </c>
      <c r="B119" s="2" t="s">
        <v>19</v>
      </c>
      <c r="F119" s="17">
        <f>SUM(F117:F118)</f>
        <v>221620000</v>
      </c>
    </row>
    <row r="120" spans="1:6" ht="18" customHeight="1">
      <c r="A120" s="5"/>
      <c r="B120" s="2"/>
    </row>
    <row r="121" spans="1:6" ht="18" customHeight="1">
      <c r="A121" s="5" t="s">
        <v>167</v>
      </c>
      <c r="B121" s="2" t="s">
        <v>36</v>
      </c>
      <c r="F121" s="15">
        <v>212164000</v>
      </c>
    </row>
    <row r="122" spans="1:6" ht="18" customHeight="1">
      <c r="A122" s="5"/>
    </row>
    <row r="123" spans="1:6" ht="18" customHeight="1">
      <c r="A123" s="5" t="s">
        <v>175</v>
      </c>
      <c r="B123" s="2" t="s">
        <v>20</v>
      </c>
      <c r="F123" s="15">
        <f>F119-F121</f>
        <v>9456000</v>
      </c>
    </row>
    <row r="124" spans="1:6" ht="18" customHeight="1">
      <c r="A124" s="5"/>
    </row>
    <row r="125" spans="1:6" ht="18" customHeight="1">
      <c r="A125" s="5" t="s">
        <v>176</v>
      </c>
      <c r="B125" s="2" t="s">
        <v>21</v>
      </c>
      <c r="F125" s="15">
        <v>16162000</v>
      </c>
    </row>
    <row r="126" spans="1:6" ht="18" customHeight="1">
      <c r="A126" s="5"/>
    </row>
    <row r="127" spans="1:6" ht="18" customHeight="1">
      <c r="A127" s="5" t="s">
        <v>177</v>
      </c>
      <c r="B127" s="2" t="s">
        <v>22</v>
      </c>
      <c r="F127" s="15">
        <f>F123+F125</f>
        <v>25618000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6">SUM(F131:F135)</f>
        <v>0</v>
      </c>
      <c r="G137" s="18">
        <f t="shared" si="16"/>
        <v>0</v>
      </c>
      <c r="H137" s="16">
        <f t="shared" si="16"/>
        <v>0</v>
      </c>
      <c r="I137" s="16">
        <f t="shared" si="16"/>
        <v>0</v>
      </c>
      <c r="J137" s="16">
        <f t="shared" si="16"/>
        <v>0</v>
      </c>
      <c r="K137" s="16">
        <f t="shared" si="16"/>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7">F36</f>
        <v>7716</v>
      </c>
      <c r="G141" s="41">
        <f t="shared" si="17"/>
        <v>1358</v>
      </c>
      <c r="H141" s="41">
        <f t="shared" si="17"/>
        <v>1097933</v>
      </c>
      <c r="I141" s="41">
        <f t="shared" si="17"/>
        <v>750217.61890000012</v>
      </c>
      <c r="J141" s="41">
        <f t="shared" si="17"/>
        <v>370940</v>
      </c>
      <c r="K141" s="41">
        <f t="shared" si="17"/>
        <v>1477210.6189000001</v>
      </c>
    </row>
    <row r="142" spans="1:11" ht="18" customHeight="1">
      <c r="A142" s="5" t="s">
        <v>142</v>
      </c>
      <c r="B142" s="2" t="s">
        <v>65</v>
      </c>
      <c r="F142" s="41">
        <f t="shared" ref="F142:K142" si="18">F49</f>
        <v>4126</v>
      </c>
      <c r="G142" s="41">
        <f t="shared" si="18"/>
        <v>0</v>
      </c>
      <c r="H142" s="41">
        <f t="shared" si="18"/>
        <v>179491</v>
      </c>
      <c r="I142" s="41">
        <f t="shared" si="18"/>
        <v>122646.2003</v>
      </c>
      <c r="J142" s="41">
        <f t="shared" si="18"/>
        <v>0</v>
      </c>
      <c r="K142" s="41">
        <f t="shared" si="18"/>
        <v>302137.20030000003</v>
      </c>
    </row>
    <row r="143" spans="1:11" ht="18" customHeight="1">
      <c r="A143" s="5" t="s">
        <v>144</v>
      </c>
      <c r="B143" s="2" t="s">
        <v>66</v>
      </c>
      <c r="F143" s="41">
        <f t="shared" ref="F143:K143" si="19">F64</f>
        <v>0</v>
      </c>
      <c r="G143" s="41">
        <f t="shared" si="19"/>
        <v>0</v>
      </c>
      <c r="H143" s="41">
        <f t="shared" si="19"/>
        <v>4873708</v>
      </c>
      <c r="I143" s="41">
        <f t="shared" si="19"/>
        <v>3330204.6764000002</v>
      </c>
      <c r="J143" s="41">
        <f t="shared" si="19"/>
        <v>0</v>
      </c>
      <c r="K143" s="41">
        <f t="shared" si="19"/>
        <v>8203912.6763999993</v>
      </c>
    </row>
    <row r="144" spans="1:11" ht="18" customHeight="1">
      <c r="A144" s="5" t="s">
        <v>146</v>
      </c>
      <c r="B144" s="2" t="s">
        <v>67</v>
      </c>
      <c r="F144" s="41">
        <f t="shared" ref="F144:K144" si="20">F74</f>
        <v>1382</v>
      </c>
      <c r="G144" s="41">
        <f t="shared" si="20"/>
        <v>0</v>
      </c>
      <c r="H144" s="41">
        <f t="shared" si="20"/>
        <v>150339</v>
      </c>
      <c r="I144" s="41">
        <f t="shared" si="20"/>
        <v>102726.6387</v>
      </c>
      <c r="J144" s="41">
        <f t="shared" si="20"/>
        <v>79089</v>
      </c>
      <c r="K144" s="41">
        <f t="shared" si="20"/>
        <v>173976.63870000001</v>
      </c>
    </row>
    <row r="145" spans="1:11" ht="18" customHeight="1">
      <c r="A145" s="5" t="s">
        <v>148</v>
      </c>
      <c r="B145" s="2" t="s">
        <v>68</v>
      </c>
      <c r="F145" s="41">
        <f t="shared" ref="F145:K145" si="21">F82</f>
        <v>0</v>
      </c>
      <c r="G145" s="41">
        <f t="shared" si="21"/>
        <v>0</v>
      </c>
      <c r="H145" s="41">
        <f t="shared" si="21"/>
        <v>85079</v>
      </c>
      <c r="I145" s="41">
        <f t="shared" si="21"/>
        <v>0</v>
      </c>
      <c r="J145" s="41">
        <f t="shared" si="21"/>
        <v>0</v>
      </c>
      <c r="K145" s="41">
        <f t="shared" si="21"/>
        <v>85079</v>
      </c>
    </row>
    <row r="146" spans="1:11" ht="18" customHeight="1">
      <c r="A146" s="5" t="s">
        <v>150</v>
      </c>
      <c r="B146" s="2" t="s">
        <v>69</v>
      </c>
      <c r="F146" s="41">
        <f t="shared" ref="F146:K146" si="22">F98</f>
        <v>455</v>
      </c>
      <c r="G146" s="41">
        <f t="shared" si="22"/>
        <v>0</v>
      </c>
      <c r="H146" s="41">
        <f t="shared" si="22"/>
        <v>116684</v>
      </c>
      <c r="I146" s="41">
        <f t="shared" si="22"/>
        <v>79730.177200000006</v>
      </c>
      <c r="J146" s="41">
        <f t="shared" si="22"/>
        <v>34445</v>
      </c>
      <c r="K146" s="41">
        <f t="shared" si="22"/>
        <v>161969.17719999998</v>
      </c>
    </row>
    <row r="147" spans="1:11" ht="18" customHeight="1">
      <c r="A147" s="5" t="s">
        <v>153</v>
      </c>
      <c r="B147" s="2" t="s">
        <v>61</v>
      </c>
      <c r="F147" s="18">
        <f t="shared" ref="F147:K147" si="23">F108</f>
        <v>583</v>
      </c>
      <c r="G147" s="18">
        <f t="shared" si="23"/>
        <v>0</v>
      </c>
      <c r="H147" s="18">
        <f t="shared" si="23"/>
        <v>25207</v>
      </c>
      <c r="I147" s="18">
        <f t="shared" si="23"/>
        <v>17223.9431</v>
      </c>
      <c r="J147" s="18">
        <f t="shared" si="23"/>
        <v>0</v>
      </c>
      <c r="K147" s="18">
        <f t="shared" si="23"/>
        <v>42430.943100000004</v>
      </c>
    </row>
    <row r="148" spans="1:11" ht="18" customHeight="1">
      <c r="A148" s="5" t="s">
        <v>155</v>
      </c>
      <c r="B148" s="2" t="s">
        <v>70</v>
      </c>
      <c r="F148" s="42" t="s">
        <v>73</v>
      </c>
      <c r="G148" s="42" t="s">
        <v>73</v>
      </c>
      <c r="H148" s="43" t="s">
        <v>73</v>
      </c>
      <c r="I148" s="43" t="s">
        <v>73</v>
      </c>
      <c r="J148" s="43" t="s">
        <v>73</v>
      </c>
      <c r="K148" s="37">
        <f>F111</f>
        <v>6203971</v>
      </c>
    </row>
    <row r="149" spans="1:11" ht="18" customHeight="1">
      <c r="A149" s="5" t="s">
        <v>163</v>
      </c>
      <c r="B149" s="2" t="s">
        <v>71</v>
      </c>
      <c r="F149" s="18">
        <f t="shared" ref="F149:K149" si="24">F137</f>
        <v>0</v>
      </c>
      <c r="G149" s="18">
        <f t="shared" si="24"/>
        <v>0</v>
      </c>
      <c r="H149" s="18">
        <f t="shared" si="24"/>
        <v>0</v>
      </c>
      <c r="I149" s="18">
        <f t="shared" si="24"/>
        <v>0</v>
      </c>
      <c r="J149" s="18">
        <f t="shared" si="24"/>
        <v>0</v>
      </c>
      <c r="K149" s="18">
        <f t="shared" si="24"/>
        <v>0</v>
      </c>
    </row>
    <row r="150" spans="1:11" ht="18" customHeight="1">
      <c r="A150" s="5" t="s">
        <v>185</v>
      </c>
      <c r="B150" s="2" t="s">
        <v>186</v>
      </c>
      <c r="F150" s="42" t="s">
        <v>73</v>
      </c>
      <c r="G150" s="42" t="s">
        <v>73</v>
      </c>
      <c r="H150" s="18">
        <f>H18</f>
        <v>6214793</v>
      </c>
      <c r="I150" s="18">
        <f>I18</f>
        <v>0</v>
      </c>
      <c r="J150" s="18">
        <f>J18</f>
        <v>5314425</v>
      </c>
      <c r="K150" s="18">
        <f>K18</f>
        <v>900368</v>
      </c>
    </row>
    <row r="151" spans="1:11" ht="18" customHeight="1">
      <c r="B151" s="2"/>
      <c r="F151" s="48"/>
      <c r="G151" s="48"/>
      <c r="H151" s="48"/>
      <c r="I151" s="48"/>
      <c r="J151" s="48"/>
      <c r="K151" s="48"/>
    </row>
    <row r="152" spans="1:11" ht="18" customHeight="1">
      <c r="A152" s="6" t="s">
        <v>165</v>
      </c>
      <c r="B152" s="2" t="s">
        <v>26</v>
      </c>
      <c r="F152" s="49">
        <f t="shared" ref="F152:K152" si="25">SUM(F141:F150)</f>
        <v>14262</v>
      </c>
      <c r="G152" s="49">
        <f t="shared" si="25"/>
        <v>1358</v>
      </c>
      <c r="H152" s="49">
        <f t="shared" si="25"/>
        <v>12743234</v>
      </c>
      <c r="I152" s="49">
        <f t="shared" si="25"/>
        <v>4402749.2545999996</v>
      </c>
      <c r="J152" s="49">
        <f t="shared" si="25"/>
        <v>5798899</v>
      </c>
      <c r="K152" s="49">
        <f t="shared" si="25"/>
        <v>17551055.254600003</v>
      </c>
    </row>
    <row r="154" spans="1:11" ht="18" customHeight="1">
      <c r="A154" s="6" t="s">
        <v>168</v>
      </c>
      <c r="B154" s="2" t="s">
        <v>28</v>
      </c>
      <c r="F154" s="348">
        <f>K152/F121</f>
        <v>8.2724002444335532E-2</v>
      </c>
    </row>
    <row r="155" spans="1:11" ht="18" customHeight="1">
      <c r="A155" s="6" t="s">
        <v>169</v>
      </c>
      <c r="B155" s="2" t="s">
        <v>72</v>
      </c>
      <c r="F155" s="348">
        <f>K152/F127</f>
        <v>0.68510638045905237</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27" zoomScale="70" zoomScaleNormal="50" zoomScaleSheetLayoutView="70" workbookViewId="0">
      <selection activeCell="J18" sqref="J18"/>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829</v>
      </c>
      <c r="D5" s="654"/>
      <c r="E5" s="654"/>
      <c r="F5" s="654"/>
      <c r="G5" s="655"/>
    </row>
    <row r="6" spans="1:11" ht="18" customHeight="1">
      <c r="B6" s="5" t="s">
        <v>3</v>
      </c>
      <c r="C6" s="671">
        <v>43</v>
      </c>
      <c r="D6" s="657"/>
      <c r="E6" s="657"/>
      <c r="F6" s="657"/>
      <c r="G6" s="658"/>
    </row>
    <row r="7" spans="1:11" ht="18" customHeight="1">
      <c r="B7" s="5" t="s">
        <v>4</v>
      </c>
      <c r="C7" s="659">
        <v>2909</v>
      </c>
      <c r="D7" s="660"/>
      <c r="E7" s="660"/>
      <c r="F7" s="660"/>
      <c r="G7" s="661"/>
    </row>
    <row r="9" spans="1:11" ht="18" customHeight="1">
      <c r="B9" s="5" t="s">
        <v>1</v>
      </c>
      <c r="C9" s="670" t="s">
        <v>830</v>
      </c>
      <c r="D9" s="654"/>
      <c r="E9" s="654"/>
      <c r="F9" s="654"/>
      <c r="G9" s="655"/>
    </row>
    <row r="10" spans="1:11" ht="18" customHeight="1">
      <c r="B10" s="5" t="s">
        <v>2</v>
      </c>
      <c r="C10" s="674" t="s">
        <v>831</v>
      </c>
      <c r="D10" s="663"/>
      <c r="E10" s="663"/>
      <c r="F10" s="663"/>
      <c r="G10" s="664"/>
    </row>
    <row r="11" spans="1:11" ht="18" customHeight="1">
      <c r="B11" s="5" t="s">
        <v>32</v>
      </c>
      <c r="C11" s="670" t="s">
        <v>832</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2"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9695149</v>
      </c>
      <c r="I18" s="50">
        <v>0</v>
      </c>
      <c r="J18" s="15">
        <v>8290565</v>
      </c>
      <c r="K18" s="16">
        <f>(H18+I18)-J18</f>
        <v>1404584</v>
      </c>
    </row>
    <row r="19" spans="1:11" ht="45.2"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1855.3</v>
      </c>
      <c r="G21" s="14">
        <v>2000</v>
      </c>
      <c r="H21" s="15">
        <v>122734</v>
      </c>
      <c r="I21" s="50">
        <v>41754</v>
      </c>
      <c r="J21" s="15">
        <v>2483</v>
      </c>
      <c r="K21" s="16">
        <f t="shared" ref="K21:K34" si="0">(H21+I21)-J21</f>
        <v>162005</v>
      </c>
    </row>
    <row r="22" spans="1:11" ht="18" customHeight="1">
      <c r="A22" s="5" t="s">
        <v>76</v>
      </c>
      <c r="B22" t="s">
        <v>6</v>
      </c>
      <c r="F22" s="14">
        <v>108</v>
      </c>
      <c r="G22" s="14">
        <v>601</v>
      </c>
      <c r="H22" s="15">
        <v>5302</v>
      </c>
      <c r="I22" s="50">
        <v>1849</v>
      </c>
      <c r="J22" s="15"/>
      <c r="K22" s="16">
        <f t="shared" si="0"/>
        <v>7151</v>
      </c>
    </row>
    <row r="23" spans="1:11" ht="18" customHeight="1">
      <c r="A23" s="5" t="s">
        <v>77</v>
      </c>
      <c r="B23" t="s">
        <v>43</v>
      </c>
      <c r="F23" s="14">
        <v>24</v>
      </c>
      <c r="G23" s="14">
        <v>659</v>
      </c>
      <c r="H23" s="15">
        <v>50650</v>
      </c>
      <c r="I23" s="50">
        <v>375</v>
      </c>
      <c r="J23" s="15">
        <v>39525</v>
      </c>
      <c r="K23" s="16">
        <f t="shared" si="0"/>
        <v>11500</v>
      </c>
    </row>
    <row r="24" spans="1:11" ht="18" customHeight="1">
      <c r="A24" s="5" t="s">
        <v>78</v>
      </c>
      <c r="B24" t="s">
        <v>44</v>
      </c>
      <c r="F24" s="14">
        <v>4</v>
      </c>
      <c r="G24" s="14">
        <v>30</v>
      </c>
      <c r="H24" s="15">
        <v>134</v>
      </c>
      <c r="I24" s="50">
        <v>0</v>
      </c>
      <c r="J24" s="15"/>
      <c r="K24" s="16">
        <f t="shared" si="0"/>
        <v>134</v>
      </c>
    </row>
    <row r="25" spans="1:11" ht="18" customHeight="1">
      <c r="A25" s="5" t="s">
        <v>79</v>
      </c>
      <c r="B25" t="s">
        <v>5</v>
      </c>
      <c r="F25" s="14">
        <v>17</v>
      </c>
      <c r="G25" s="14">
        <v>208</v>
      </c>
      <c r="H25" s="15">
        <v>53699</v>
      </c>
      <c r="I25" s="50">
        <v>21909</v>
      </c>
      <c r="J25" s="15"/>
      <c r="K25" s="16">
        <f t="shared" si="0"/>
        <v>75608</v>
      </c>
    </row>
    <row r="26" spans="1:11" ht="18" customHeight="1">
      <c r="A26" s="5" t="s">
        <v>80</v>
      </c>
      <c r="B26" t="s">
        <v>45</v>
      </c>
      <c r="F26" s="14">
        <v>15</v>
      </c>
      <c r="G26" s="14">
        <v>770</v>
      </c>
      <c r="H26" s="15">
        <v>5298</v>
      </c>
      <c r="I26" s="50">
        <v>0</v>
      </c>
      <c r="J26" s="15"/>
      <c r="K26" s="16">
        <f t="shared" si="0"/>
        <v>5298</v>
      </c>
    </row>
    <row r="27" spans="1:11" ht="18" customHeight="1">
      <c r="A27" s="5" t="s">
        <v>81</v>
      </c>
      <c r="B27" t="s">
        <v>46</v>
      </c>
      <c r="F27" s="14"/>
      <c r="G27" s="14"/>
      <c r="H27" s="15"/>
      <c r="I27" s="50">
        <f t="shared" ref="I27:I34" si="1">H27*F$114</f>
        <v>0</v>
      </c>
      <c r="J27" s="15"/>
      <c r="K27" s="16">
        <f t="shared" si="0"/>
        <v>0</v>
      </c>
    </row>
    <row r="28" spans="1:11" ht="18" customHeight="1">
      <c r="A28" s="5" t="s">
        <v>82</v>
      </c>
      <c r="B28" t="s">
        <v>47</v>
      </c>
      <c r="F28" s="14"/>
      <c r="G28" s="14"/>
      <c r="H28" s="15"/>
      <c r="I28" s="50">
        <f t="shared" si="1"/>
        <v>0</v>
      </c>
      <c r="J28" s="15"/>
      <c r="K28" s="16">
        <f t="shared" si="0"/>
        <v>0</v>
      </c>
    </row>
    <row r="29" spans="1:11" ht="18" customHeight="1">
      <c r="A29" s="5" t="s">
        <v>83</v>
      </c>
      <c r="B29" t="s">
        <v>48</v>
      </c>
      <c r="F29" s="14">
        <v>4160</v>
      </c>
      <c r="G29" s="14">
        <v>740</v>
      </c>
      <c r="H29" s="15">
        <v>656106</v>
      </c>
      <c r="I29" s="50">
        <v>233977</v>
      </c>
      <c r="J29" s="15"/>
      <c r="K29" s="16">
        <f t="shared" si="0"/>
        <v>890083</v>
      </c>
    </row>
    <row r="30" spans="1:11" ht="18" customHeight="1">
      <c r="A30" s="5" t="s">
        <v>84</v>
      </c>
      <c r="B30" s="636"/>
      <c r="C30" s="637"/>
      <c r="D30" s="638"/>
      <c r="F30" s="14"/>
      <c r="G30" s="14"/>
      <c r="H30" s="15"/>
      <c r="I30" s="50">
        <f t="shared" si="1"/>
        <v>0</v>
      </c>
      <c r="J30" s="15"/>
      <c r="K30" s="16">
        <f t="shared" si="0"/>
        <v>0</v>
      </c>
    </row>
    <row r="31" spans="1:11" ht="18" customHeight="1">
      <c r="A31" s="5" t="s">
        <v>133</v>
      </c>
      <c r="B31" s="636"/>
      <c r="C31" s="637"/>
      <c r="D31" s="638"/>
      <c r="F31" s="14"/>
      <c r="G31" s="14"/>
      <c r="H31" s="15"/>
      <c r="I31" s="50">
        <f t="shared" si="1"/>
        <v>0</v>
      </c>
      <c r="J31" s="15"/>
      <c r="K31" s="16">
        <f t="shared" si="0"/>
        <v>0</v>
      </c>
    </row>
    <row r="32" spans="1:11" ht="18" customHeight="1">
      <c r="A32" s="5" t="s">
        <v>134</v>
      </c>
      <c r="B32" s="363"/>
      <c r="C32" s="364"/>
      <c r="D32" s="365"/>
      <c r="F32" s="14"/>
      <c r="G32" s="342" t="s">
        <v>85</v>
      </c>
      <c r="H32" s="15"/>
      <c r="I32" s="50">
        <f t="shared" si="1"/>
        <v>0</v>
      </c>
      <c r="J32" s="15"/>
      <c r="K32" s="16">
        <f t="shared" si="0"/>
        <v>0</v>
      </c>
    </row>
    <row r="33" spans="1:11" ht="18" customHeight="1">
      <c r="A33" s="5" t="s">
        <v>135</v>
      </c>
      <c r="B33" s="363"/>
      <c r="C33" s="364"/>
      <c r="D33" s="365"/>
      <c r="F33" s="14"/>
      <c r="G33" s="342" t="s">
        <v>85</v>
      </c>
      <c r="H33" s="15"/>
      <c r="I33" s="50">
        <f t="shared" si="1"/>
        <v>0</v>
      </c>
      <c r="J33" s="15"/>
      <c r="K33" s="16">
        <f t="shared" si="0"/>
        <v>0</v>
      </c>
    </row>
    <row r="34" spans="1:11" ht="18" customHeight="1">
      <c r="A34" s="5" t="s">
        <v>136</v>
      </c>
      <c r="B34" s="636"/>
      <c r="C34" s="637"/>
      <c r="D34" s="638"/>
      <c r="F34" s="14"/>
      <c r="G34" s="342" t="s">
        <v>85</v>
      </c>
      <c r="H34" s="15"/>
      <c r="I34" s="50">
        <f t="shared" si="1"/>
        <v>0</v>
      </c>
      <c r="J34" s="15"/>
      <c r="K34" s="16">
        <f t="shared" si="0"/>
        <v>0</v>
      </c>
    </row>
    <row r="35" spans="1:11" ht="18" customHeight="1">
      <c r="K35" s="44"/>
    </row>
    <row r="36" spans="1:11" ht="18" customHeight="1">
      <c r="A36" s="6" t="s">
        <v>137</v>
      </c>
      <c r="B36" s="2" t="s">
        <v>138</v>
      </c>
      <c r="E36" s="2" t="s">
        <v>7</v>
      </c>
      <c r="F36" s="18">
        <f t="shared" ref="F36:K36" si="2">SUM(F21:F34)</f>
        <v>6183.3</v>
      </c>
      <c r="G36" s="18">
        <f t="shared" si="2"/>
        <v>5008</v>
      </c>
      <c r="H36" s="18">
        <f t="shared" si="2"/>
        <v>893923</v>
      </c>
      <c r="I36" s="16">
        <f t="shared" si="2"/>
        <v>299864</v>
      </c>
      <c r="J36" s="16">
        <f t="shared" si="2"/>
        <v>42008</v>
      </c>
      <c r="K36" s="16">
        <f t="shared" si="2"/>
        <v>1151779</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v>34</v>
      </c>
      <c r="H40" s="15">
        <v>471126</v>
      </c>
      <c r="I40" s="50">
        <v>192219</v>
      </c>
      <c r="J40" s="15"/>
      <c r="K40" s="16">
        <f t="shared" ref="K40:K47" si="3">(H40+I40)-J40</f>
        <v>663345</v>
      </c>
    </row>
    <row r="41" spans="1:11" ht="18" customHeight="1">
      <c r="A41" s="5" t="s">
        <v>88</v>
      </c>
      <c r="B41" s="641" t="s">
        <v>50</v>
      </c>
      <c r="C41" s="649"/>
      <c r="F41" s="14">
        <v>83407</v>
      </c>
      <c r="G41" s="14">
        <v>550</v>
      </c>
      <c r="H41" s="15">
        <v>4247018</v>
      </c>
      <c r="I41" s="50">
        <v>1732783</v>
      </c>
      <c r="J41" s="15"/>
      <c r="K41" s="16">
        <f t="shared" si="3"/>
        <v>5979801</v>
      </c>
    </row>
    <row r="42" spans="1:11" ht="18" customHeight="1">
      <c r="A42" s="5" t="s">
        <v>89</v>
      </c>
      <c r="B42" s="341" t="s">
        <v>11</v>
      </c>
      <c r="F42" s="14">
        <v>316</v>
      </c>
      <c r="G42" s="14">
        <v>3</v>
      </c>
      <c r="H42" s="15">
        <v>15286</v>
      </c>
      <c r="I42" s="50">
        <v>6237</v>
      </c>
      <c r="J42" s="15"/>
      <c r="K42" s="16">
        <f t="shared" si="3"/>
        <v>21523</v>
      </c>
    </row>
    <row r="43" spans="1:11" ht="18" customHeight="1">
      <c r="A43" s="5" t="s">
        <v>90</v>
      </c>
      <c r="B43" s="343" t="s">
        <v>10</v>
      </c>
      <c r="C43" s="10"/>
      <c r="D43" s="10"/>
      <c r="F43" s="14"/>
      <c r="G43" s="14"/>
      <c r="H43" s="15"/>
      <c r="I43" s="50">
        <v>0</v>
      </c>
      <c r="J43" s="15"/>
      <c r="K43" s="16">
        <f t="shared" si="3"/>
        <v>0</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83723</v>
      </c>
      <c r="G49" s="23">
        <f t="shared" si="4"/>
        <v>587</v>
      </c>
      <c r="H49" s="16">
        <f t="shared" si="4"/>
        <v>4733430</v>
      </c>
      <c r="I49" s="16">
        <f t="shared" si="4"/>
        <v>1931239</v>
      </c>
      <c r="J49" s="16">
        <f t="shared" si="4"/>
        <v>0</v>
      </c>
      <c r="K49" s="16">
        <f t="shared" si="4"/>
        <v>6664669</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833</v>
      </c>
      <c r="C53" s="648"/>
      <c r="D53" s="644"/>
      <c r="F53" s="14">
        <v>69824</v>
      </c>
      <c r="G53" s="14">
        <v>4734</v>
      </c>
      <c r="H53" s="15">
        <v>4872140</v>
      </c>
      <c r="I53" s="50">
        <v>1989866</v>
      </c>
      <c r="J53" s="15">
        <v>5801161</v>
      </c>
      <c r="K53" s="16">
        <f t="shared" ref="K53:K62" si="5">(H53+I53)-J53</f>
        <v>1060845</v>
      </c>
    </row>
    <row r="54" spans="1:11" ht="18" customHeight="1">
      <c r="A54" s="5" t="s">
        <v>93</v>
      </c>
      <c r="B54" s="360" t="s">
        <v>834</v>
      </c>
      <c r="C54" s="361"/>
      <c r="D54" s="362"/>
      <c r="F54" s="14"/>
      <c r="G54" s="14"/>
      <c r="H54" s="15">
        <v>4884852</v>
      </c>
      <c r="I54" s="50">
        <v>1993020</v>
      </c>
      <c r="J54" s="15"/>
      <c r="K54" s="16">
        <f t="shared" si="5"/>
        <v>6877872</v>
      </c>
    </row>
    <row r="55" spans="1:11" ht="18" customHeight="1">
      <c r="A55" s="5" t="s">
        <v>94</v>
      </c>
      <c r="B55" s="642"/>
      <c r="C55" s="643"/>
      <c r="D55" s="644"/>
      <c r="F55" s="14"/>
      <c r="G55" s="14"/>
      <c r="H55" s="15"/>
      <c r="I55" s="50">
        <v>0</v>
      </c>
      <c r="J55" s="15"/>
      <c r="K55" s="16">
        <f t="shared" si="5"/>
        <v>0</v>
      </c>
    </row>
    <row r="56" spans="1:11" ht="18" customHeight="1">
      <c r="A56" s="5" t="s">
        <v>95</v>
      </c>
      <c r="B56" s="642"/>
      <c r="C56" s="643"/>
      <c r="D56" s="644"/>
      <c r="F56" s="14"/>
      <c r="G56" s="14"/>
      <c r="H56" s="15"/>
      <c r="I56" s="50">
        <v>0</v>
      </c>
      <c r="J56" s="15"/>
      <c r="K56" s="16">
        <f t="shared" si="5"/>
        <v>0</v>
      </c>
    </row>
    <row r="57" spans="1:11" ht="18" customHeight="1">
      <c r="A57" s="5" t="s">
        <v>96</v>
      </c>
      <c r="B57" s="642"/>
      <c r="C57" s="643"/>
      <c r="D57" s="644"/>
      <c r="F57" s="14"/>
      <c r="G57" s="14"/>
      <c r="H57" s="15"/>
      <c r="I57" s="50">
        <v>0</v>
      </c>
      <c r="J57" s="15"/>
      <c r="K57" s="16">
        <f t="shared" si="5"/>
        <v>0</v>
      </c>
    </row>
    <row r="58" spans="1:11" ht="18" customHeight="1">
      <c r="A58" s="5" t="s">
        <v>97</v>
      </c>
      <c r="B58" s="360"/>
      <c r="C58" s="361"/>
      <c r="D58" s="362"/>
      <c r="F58" s="14"/>
      <c r="G58" s="14"/>
      <c r="H58" s="15"/>
      <c r="I58" s="50">
        <v>0</v>
      </c>
      <c r="J58" s="15"/>
      <c r="K58" s="16">
        <f t="shared" si="5"/>
        <v>0</v>
      </c>
    </row>
    <row r="59" spans="1:11" ht="18" customHeight="1">
      <c r="A59" s="5" t="s">
        <v>98</v>
      </c>
      <c r="B59" s="642"/>
      <c r="C59" s="643"/>
      <c r="D59" s="644"/>
      <c r="F59" s="14"/>
      <c r="G59" s="14"/>
      <c r="H59" s="15"/>
      <c r="I59" s="50">
        <v>0</v>
      </c>
      <c r="J59" s="15"/>
      <c r="K59" s="16">
        <f t="shared" si="5"/>
        <v>0</v>
      </c>
    </row>
    <row r="60" spans="1:11" ht="18" customHeight="1">
      <c r="A60" s="5" t="s">
        <v>99</v>
      </c>
      <c r="B60" s="360"/>
      <c r="C60" s="361"/>
      <c r="D60" s="362"/>
      <c r="F60" s="14"/>
      <c r="G60" s="14"/>
      <c r="H60" s="15"/>
      <c r="I60" s="50">
        <v>0</v>
      </c>
      <c r="J60" s="15"/>
      <c r="K60" s="16">
        <f t="shared" si="5"/>
        <v>0</v>
      </c>
    </row>
    <row r="61" spans="1:11" ht="18" customHeight="1">
      <c r="A61" s="5" t="s">
        <v>100</v>
      </c>
      <c r="B61" s="360"/>
      <c r="C61" s="361"/>
      <c r="D61" s="362"/>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69824</v>
      </c>
      <c r="G64" s="18">
        <f t="shared" si="6"/>
        <v>4734</v>
      </c>
      <c r="H64" s="16">
        <f t="shared" si="6"/>
        <v>9756992</v>
      </c>
      <c r="I64" s="16">
        <f t="shared" si="6"/>
        <v>3982886</v>
      </c>
      <c r="J64" s="16">
        <f t="shared" si="6"/>
        <v>5801161</v>
      </c>
      <c r="K64" s="16">
        <f t="shared" si="6"/>
        <v>7938717</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v>4471</v>
      </c>
      <c r="G68" s="51">
        <v>878</v>
      </c>
      <c r="H68" s="51">
        <v>369628</v>
      </c>
      <c r="I68" s="50">
        <v>150808</v>
      </c>
      <c r="J68" s="51"/>
      <c r="K68" s="16">
        <f>(H68+I68)-J68</f>
        <v>520436</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4471</v>
      </c>
      <c r="G74" s="21">
        <f t="shared" si="7"/>
        <v>878</v>
      </c>
      <c r="H74" s="21">
        <f t="shared" si="7"/>
        <v>369628</v>
      </c>
      <c r="I74" s="53">
        <f t="shared" si="7"/>
        <v>150808</v>
      </c>
      <c r="J74" s="21">
        <f t="shared" si="7"/>
        <v>0</v>
      </c>
      <c r="K74" s="17">
        <f t="shared" si="7"/>
        <v>520436</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v>12</v>
      </c>
      <c r="G77" s="14">
        <v>238</v>
      </c>
      <c r="H77" s="15">
        <v>66803</v>
      </c>
      <c r="I77" s="50">
        <v>0</v>
      </c>
      <c r="J77" s="15"/>
      <c r="K77" s="16">
        <f>(H77+I77)-J77</f>
        <v>66803</v>
      </c>
    </row>
    <row r="78" spans="1:11" ht="18" customHeight="1">
      <c r="A78" s="5" t="s">
        <v>108</v>
      </c>
      <c r="B78" s="341" t="s">
        <v>55</v>
      </c>
      <c r="F78" s="14"/>
      <c r="G78" s="14"/>
      <c r="H78" s="15"/>
      <c r="I78" s="50">
        <v>0</v>
      </c>
      <c r="J78" s="15"/>
      <c r="K78" s="16">
        <f>(H78+I78)-J78</f>
        <v>0</v>
      </c>
    </row>
    <row r="79" spans="1:11" ht="18" customHeight="1">
      <c r="A79" s="5" t="s">
        <v>109</v>
      </c>
      <c r="B79" s="341" t="s">
        <v>13</v>
      </c>
      <c r="F79" s="14">
        <v>1442</v>
      </c>
      <c r="G79" s="14">
        <v>1255</v>
      </c>
      <c r="H79" s="15">
        <v>155200</v>
      </c>
      <c r="I79" s="50">
        <v>336</v>
      </c>
      <c r="J79" s="15"/>
      <c r="K79" s="16">
        <f>(H79+I79)-J79</f>
        <v>155536</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8">SUM(F77:F80)</f>
        <v>1454</v>
      </c>
      <c r="G82" s="21">
        <f t="shared" si="8"/>
        <v>1493</v>
      </c>
      <c r="H82" s="17">
        <f t="shared" si="8"/>
        <v>222003</v>
      </c>
      <c r="I82" s="17">
        <f t="shared" si="8"/>
        <v>336</v>
      </c>
      <c r="J82" s="17">
        <f t="shared" si="8"/>
        <v>0</v>
      </c>
      <c r="K82" s="17">
        <f t="shared" si="8"/>
        <v>222339</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14">
        <v>34</v>
      </c>
      <c r="G87" s="14">
        <v>32</v>
      </c>
      <c r="H87" s="15">
        <v>3535</v>
      </c>
      <c r="I87" s="50">
        <v>1442</v>
      </c>
      <c r="J87" s="15"/>
      <c r="K87" s="16">
        <f t="shared" si="10"/>
        <v>4977</v>
      </c>
    </row>
    <row r="88" spans="1:11" ht="18" customHeight="1">
      <c r="A88" s="5" t="s">
        <v>115</v>
      </c>
      <c r="B88" s="341" t="s">
        <v>116</v>
      </c>
      <c r="F88" s="14">
        <v>26</v>
      </c>
      <c r="G88" s="14">
        <v>240</v>
      </c>
      <c r="H88" s="15">
        <v>2905</v>
      </c>
      <c r="I88" s="50">
        <v>0</v>
      </c>
      <c r="J88" s="15"/>
      <c r="K88" s="16">
        <f t="shared" si="10"/>
        <v>2905</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c r="G91" s="14"/>
      <c r="H91" s="15"/>
      <c r="I91" s="50">
        <f t="shared" si="9"/>
        <v>0</v>
      </c>
      <c r="J91" s="15"/>
      <c r="K91" s="16">
        <f t="shared" si="10"/>
        <v>0</v>
      </c>
    </row>
    <row r="92" spans="1:11" ht="18" customHeight="1">
      <c r="A92" s="5" t="s">
        <v>120</v>
      </c>
      <c r="B92" s="341" t="s">
        <v>121</v>
      </c>
      <c r="F92" s="38"/>
      <c r="G92" s="38"/>
      <c r="H92" s="39"/>
      <c r="I92" s="50">
        <f t="shared" si="9"/>
        <v>0</v>
      </c>
      <c r="J92" s="39"/>
      <c r="K92" s="16">
        <f t="shared" si="10"/>
        <v>0</v>
      </c>
    </row>
    <row r="93" spans="1:11" ht="18" customHeight="1">
      <c r="A93" s="5" t="s">
        <v>122</v>
      </c>
      <c r="B93" s="341" t="s">
        <v>123</v>
      </c>
      <c r="F93" s="14"/>
      <c r="G93" s="14"/>
      <c r="H93" s="15"/>
      <c r="I93" s="50">
        <f t="shared" si="9"/>
        <v>0</v>
      </c>
      <c r="J93" s="15"/>
      <c r="K93" s="16">
        <f t="shared" si="10"/>
        <v>0</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60</v>
      </c>
      <c r="G98" s="18">
        <f t="shared" si="11"/>
        <v>272</v>
      </c>
      <c r="H98" s="18">
        <f t="shared" si="11"/>
        <v>6440</v>
      </c>
      <c r="I98" s="18">
        <f t="shared" si="11"/>
        <v>1442</v>
      </c>
      <c r="J98" s="18">
        <f t="shared" si="11"/>
        <v>0</v>
      </c>
      <c r="K98" s="18">
        <f t="shared" si="11"/>
        <v>7882</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104</v>
      </c>
      <c r="G102" s="14"/>
      <c r="H102" s="15">
        <v>6375</v>
      </c>
      <c r="I102" s="50">
        <f>H102*F$114</f>
        <v>2603.5499999999997</v>
      </c>
      <c r="J102" s="15"/>
      <c r="K102" s="16">
        <f>(H102+I102)-J102</f>
        <v>8978.5499999999993</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t="s">
        <v>630</v>
      </c>
      <c r="C104" s="643"/>
      <c r="D104" s="644"/>
      <c r="F104" s="14"/>
      <c r="G104" s="14"/>
      <c r="H104" s="15">
        <v>215</v>
      </c>
      <c r="I104" s="50">
        <v>0</v>
      </c>
      <c r="J104" s="15"/>
      <c r="K104" s="16">
        <f>(H104+I104)-J104</f>
        <v>215</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104</v>
      </c>
      <c r="G108" s="18">
        <f t="shared" si="12"/>
        <v>0</v>
      </c>
      <c r="H108" s="16">
        <f t="shared" si="12"/>
        <v>6590</v>
      </c>
      <c r="I108" s="16">
        <f t="shared" si="12"/>
        <v>2603.5499999999997</v>
      </c>
      <c r="J108" s="16">
        <f t="shared" si="12"/>
        <v>0</v>
      </c>
      <c r="K108" s="16">
        <f t="shared" si="12"/>
        <v>9193.5499999999993</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13307037.59</v>
      </c>
    </row>
    <row r="112" spans="1:11" ht="18" customHeight="1">
      <c r="B112" s="2"/>
      <c r="E112" s="2"/>
      <c r="F112" s="22"/>
    </row>
    <row r="113" spans="1:6" ht="18" customHeight="1">
      <c r="A113" s="6"/>
      <c r="B113" s="2" t="s">
        <v>15</v>
      </c>
    </row>
    <row r="114" spans="1:6" ht="18" customHeight="1">
      <c r="A114" s="5" t="s">
        <v>171</v>
      </c>
      <c r="B114" s="341" t="s">
        <v>35</v>
      </c>
      <c r="F114" s="25">
        <v>0.40839999999999999</v>
      </c>
    </row>
    <row r="115" spans="1:6" ht="18" customHeight="1">
      <c r="A115" s="5"/>
      <c r="B115" s="2"/>
    </row>
    <row r="116" spans="1:6" ht="18" customHeight="1">
      <c r="A116" s="5" t="s">
        <v>170</v>
      </c>
      <c r="B116" s="2" t="s">
        <v>16</v>
      </c>
    </row>
    <row r="117" spans="1:6" ht="18" customHeight="1">
      <c r="A117" s="5" t="s">
        <v>172</v>
      </c>
      <c r="B117" s="341" t="s">
        <v>17</v>
      </c>
      <c r="F117" s="15">
        <v>331967000</v>
      </c>
    </row>
    <row r="118" spans="1:6" ht="18" customHeight="1">
      <c r="A118" s="5" t="s">
        <v>173</v>
      </c>
      <c r="B118" t="s">
        <v>18</v>
      </c>
      <c r="F118" s="15">
        <v>3433000</v>
      </c>
    </row>
    <row r="119" spans="1:6" ht="18" customHeight="1">
      <c r="A119" s="5" t="s">
        <v>174</v>
      </c>
      <c r="B119" s="2" t="s">
        <v>19</v>
      </c>
      <c r="F119" s="17">
        <f>SUM(F117:F118)</f>
        <v>335400000</v>
      </c>
    </row>
    <row r="120" spans="1:6" ht="18" customHeight="1">
      <c r="A120" s="5"/>
      <c r="B120" s="2"/>
    </row>
    <row r="121" spans="1:6" ht="18" customHeight="1">
      <c r="A121" s="5" t="s">
        <v>167</v>
      </c>
      <c r="B121" s="2" t="s">
        <v>36</v>
      </c>
      <c r="F121" s="15">
        <v>319031000</v>
      </c>
    </row>
    <row r="122" spans="1:6" ht="18" customHeight="1">
      <c r="A122" s="5"/>
    </row>
    <row r="123" spans="1:6" ht="18" customHeight="1">
      <c r="A123" s="5" t="s">
        <v>175</v>
      </c>
      <c r="B123" s="2" t="s">
        <v>20</v>
      </c>
      <c r="F123" s="15">
        <v>16369000</v>
      </c>
    </row>
    <row r="124" spans="1:6" ht="18" customHeight="1">
      <c r="A124" s="5"/>
    </row>
    <row r="125" spans="1:6" ht="18" customHeight="1">
      <c r="A125" s="5" t="s">
        <v>176</v>
      </c>
      <c r="B125" s="2" t="s">
        <v>21</v>
      </c>
      <c r="F125" s="15">
        <v>3103000</v>
      </c>
    </row>
    <row r="126" spans="1:6" ht="18" customHeight="1">
      <c r="A126" s="5"/>
    </row>
    <row r="127" spans="1:6" ht="18" customHeight="1">
      <c r="A127" s="5" t="s">
        <v>177</v>
      </c>
      <c r="B127" s="2" t="s">
        <v>22</v>
      </c>
      <c r="F127" s="15">
        <v>19472000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v>7850</v>
      </c>
      <c r="I132" s="50">
        <v>0</v>
      </c>
      <c r="J132" s="15"/>
      <c r="K132" s="16">
        <f>(H132+I132)-J132</f>
        <v>7850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7850</v>
      </c>
      <c r="I137" s="16">
        <f t="shared" si="13"/>
        <v>0</v>
      </c>
      <c r="J137" s="16">
        <f t="shared" si="13"/>
        <v>0</v>
      </c>
      <c r="K137" s="16">
        <f t="shared" si="13"/>
        <v>7850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6183.3</v>
      </c>
      <c r="G141" s="41">
        <f t="shared" si="14"/>
        <v>5008</v>
      </c>
      <c r="H141" s="41">
        <f t="shared" si="14"/>
        <v>893923</v>
      </c>
      <c r="I141" s="41">
        <f t="shared" si="14"/>
        <v>299864</v>
      </c>
      <c r="J141" s="41">
        <f t="shared" si="14"/>
        <v>42008</v>
      </c>
      <c r="K141" s="41">
        <f t="shared" si="14"/>
        <v>1151779</v>
      </c>
    </row>
    <row r="142" spans="1:11" ht="18" customHeight="1">
      <c r="A142" s="5" t="s">
        <v>142</v>
      </c>
      <c r="B142" s="2" t="s">
        <v>65</v>
      </c>
      <c r="F142" s="41">
        <f t="shared" ref="F142:K142" si="15">F49</f>
        <v>83723</v>
      </c>
      <c r="G142" s="41">
        <f t="shared" si="15"/>
        <v>587</v>
      </c>
      <c r="H142" s="41">
        <f t="shared" si="15"/>
        <v>4733430</v>
      </c>
      <c r="I142" s="41">
        <f t="shared" si="15"/>
        <v>1931239</v>
      </c>
      <c r="J142" s="41">
        <f t="shared" si="15"/>
        <v>0</v>
      </c>
      <c r="K142" s="41">
        <f t="shared" si="15"/>
        <v>6664669</v>
      </c>
    </row>
    <row r="143" spans="1:11" ht="18" customHeight="1">
      <c r="A143" s="5" t="s">
        <v>144</v>
      </c>
      <c r="B143" s="2" t="s">
        <v>66</v>
      </c>
      <c r="F143" s="41">
        <f t="shared" ref="F143:K143" si="16">F64</f>
        <v>69824</v>
      </c>
      <c r="G143" s="41">
        <f t="shared" si="16"/>
        <v>4734</v>
      </c>
      <c r="H143" s="41">
        <f t="shared" si="16"/>
        <v>9756992</v>
      </c>
      <c r="I143" s="41">
        <f t="shared" si="16"/>
        <v>3982886</v>
      </c>
      <c r="J143" s="41">
        <f t="shared" si="16"/>
        <v>5801161</v>
      </c>
      <c r="K143" s="41">
        <f t="shared" si="16"/>
        <v>7938717</v>
      </c>
    </row>
    <row r="144" spans="1:11" ht="18" customHeight="1">
      <c r="A144" s="5" t="s">
        <v>146</v>
      </c>
      <c r="B144" s="2" t="s">
        <v>67</v>
      </c>
      <c r="F144" s="41">
        <f t="shared" ref="F144:K144" si="17">F74</f>
        <v>4471</v>
      </c>
      <c r="G144" s="41">
        <f t="shared" si="17"/>
        <v>878</v>
      </c>
      <c r="H144" s="41">
        <f t="shared" si="17"/>
        <v>369628</v>
      </c>
      <c r="I144" s="41">
        <f t="shared" si="17"/>
        <v>150808</v>
      </c>
      <c r="J144" s="41">
        <f t="shared" si="17"/>
        <v>0</v>
      </c>
      <c r="K144" s="41">
        <f t="shared" si="17"/>
        <v>520436</v>
      </c>
    </row>
    <row r="145" spans="1:11" ht="18" customHeight="1">
      <c r="A145" s="5" t="s">
        <v>148</v>
      </c>
      <c r="B145" s="2" t="s">
        <v>68</v>
      </c>
      <c r="F145" s="41">
        <f t="shared" ref="F145:K145" si="18">F82</f>
        <v>1454</v>
      </c>
      <c r="G145" s="41">
        <f t="shared" si="18"/>
        <v>1493</v>
      </c>
      <c r="H145" s="41">
        <f t="shared" si="18"/>
        <v>222003</v>
      </c>
      <c r="I145" s="41">
        <f t="shared" si="18"/>
        <v>336</v>
      </c>
      <c r="J145" s="41">
        <f t="shared" si="18"/>
        <v>0</v>
      </c>
      <c r="K145" s="41">
        <f t="shared" si="18"/>
        <v>222339</v>
      </c>
    </row>
    <row r="146" spans="1:11" ht="18" customHeight="1">
      <c r="A146" s="5" t="s">
        <v>150</v>
      </c>
      <c r="B146" s="2" t="s">
        <v>69</v>
      </c>
      <c r="F146" s="41">
        <f t="shared" ref="F146:K146" si="19">F98</f>
        <v>60</v>
      </c>
      <c r="G146" s="41">
        <f t="shared" si="19"/>
        <v>272</v>
      </c>
      <c r="H146" s="41">
        <f t="shared" si="19"/>
        <v>6440</v>
      </c>
      <c r="I146" s="41">
        <f t="shared" si="19"/>
        <v>1442</v>
      </c>
      <c r="J146" s="41">
        <f t="shared" si="19"/>
        <v>0</v>
      </c>
      <c r="K146" s="41">
        <f t="shared" si="19"/>
        <v>7882</v>
      </c>
    </row>
    <row r="147" spans="1:11" ht="18" customHeight="1">
      <c r="A147" s="5" t="s">
        <v>153</v>
      </c>
      <c r="B147" s="2" t="s">
        <v>61</v>
      </c>
      <c r="F147" s="18">
        <f t="shared" ref="F147:K147" si="20">F108</f>
        <v>104</v>
      </c>
      <c r="G147" s="18">
        <f t="shared" si="20"/>
        <v>0</v>
      </c>
      <c r="H147" s="18">
        <f t="shared" si="20"/>
        <v>6590</v>
      </c>
      <c r="I147" s="18">
        <f t="shared" si="20"/>
        <v>2603.5499999999997</v>
      </c>
      <c r="J147" s="18">
        <f t="shared" si="20"/>
        <v>0</v>
      </c>
      <c r="K147" s="18">
        <f t="shared" si="20"/>
        <v>9193.5499999999993</v>
      </c>
    </row>
    <row r="148" spans="1:11" ht="18" customHeight="1">
      <c r="A148" s="5" t="s">
        <v>155</v>
      </c>
      <c r="B148" s="2" t="s">
        <v>70</v>
      </c>
      <c r="F148" s="42" t="s">
        <v>73</v>
      </c>
      <c r="G148" s="42" t="s">
        <v>73</v>
      </c>
      <c r="H148" s="43" t="s">
        <v>73</v>
      </c>
      <c r="I148" s="43" t="s">
        <v>73</v>
      </c>
      <c r="J148" s="43" t="s">
        <v>73</v>
      </c>
      <c r="K148" s="37">
        <f>F111</f>
        <v>13307037.59</v>
      </c>
    </row>
    <row r="149" spans="1:11" ht="18" customHeight="1">
      <c r="A149" s="5" t="s">
        <v>163</v>
      </c>
      <c r="B149" s="2" t="s">
        <v>71</v>
      </c>
      <c r="F149" s="18">
        <f t="shared" ref="F149:K149" si="21">F137</f>
        <v>0</v>
      </c>
      <c r="G149" s="18">
        <f t="shared" si="21"/>
        <v>0</v>
      </c>
      <c r="H149" s="18">
        <f t="shared" si="21"/>
        <v>7850</v>
      </c>
      <c r="I149" s="18">
        <f t="shared" si="21"/>
        <v>0</v>
      </c>
      <c r="J149" s="18">
        <f t="shared" si="21"/>
        <v>0</v>
      </c>
      <c r="K149" s="18">
        <f t="shared" si="21"/>
        <v>7850</v>
      </c>
    </row>
    <row r="150" spans="1:11" ht="18" customHeight="1">
      <c r="A150" s="5" t="s">
        <v>185</v>
      </c>
      <c r="B150" s="2" t="s">
        <v>186</v>
      </c>
      <c r="F150" s="42" t="s">
        <v>73</v>
      </c>
      <c r="G150" s="42" t="s">
        <v>73</v>
      </c>
      <c r="H150" s="18">
        <f>H18</f>
        <v>9695149</v>
      </c>
      <c r="I150" s="18">
        <f>I18</f>
        <v>0</v>
      </c>
      <c r="J150" s="18">
        <f>J18</f>
        <v>8290565</v>
      </c>
      <c r="K150" s="18">
        <f>K18</f>
        <v>1404584</v>
      </c>
    </row>
    <row r="151" spans="1:11" ht="18" customHeight="1">
      <c r="B151" s="2"/>
      <c r="F151" s="48"/>
      <c r="G151" s="48"/>
      <c r="H151" s="48"/>
      <c r="I151" s="48"/>
      <c r="J151" s="48"/>
      <c r="K151" s="48"/>
    </row>
    <row r="152" spans="1:11" ht="18" customHeight="1">
      <c r="A152" s="6" t="s">
        <v>165</v>
      </c>
      <c r="B152" s="2" t="s">
        <v>26</v>
      </c>
      <c r="F152" s="49">
        <f t="shared" ref="F152:K152" si="22">SUM(F141:F150)</f>
        <v>165819.29999999999</v>
      </c>
      <c r="G152" s="49">
        <f t="shared" si="22"/>
        <v>12972</v>
      </c>
      <c r="H152" s="49">
        <f t="shared" si="22"/>
        <v>25692005</v>
      </c>
      <c r="I152" s="49">
        <f t="shared" si="22"/>
        <v>6369178.5499999998</v>
      </c>
      <c r="J152" s="49">
        <f t="shared" si="22"/>
        <v>14133734</v>
      </c>
      <c r="K152" s="49">
        <f t="shared" si="22"/>
        <v>31234487.140000001</v>
      </c>
    </row>
    <row r="154" spans="1:11" ht="18" customHeight="1">
      <c r="A154" s="6" t="s">
        <v>168</v>
      </c>
      <c r="B154" s="2" t="s">
        <v>28</v>
      </c>
      <c r="F154" s="348">
        <f>K152/F121</f>
        <v>9.7904238584965095E-2</v>
      </c>
    </row>
    <row r="155" spans="1:11" ht="18" customHeight="1">
      <c r="A155" s="6" t="s">
        <v>169</v>
      </c>
      <c r="B155" s="2" t="s">
        <v>72</v>
      </c>
      <c r="F155" s="348">
        <f>K152/F127</f>
        <v>1.604071853944125</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130" zoomScale="70" zoomScaleNormal="70" zoomScaleSheetLayoutView="70" workbookViewId="0">
      <selection activeCell="F69" sqref="F69"/>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529</v>
      </c>
      <c r="D5" s="654"/>
      <c r="E5" s="654"/>
      <c r="F5" s="654"/>
      <c r="G5" s="655"/>
    </row>
    <row r="6" spans="1:11" ht="18" customHeight="1">
      <c r="B6" s="5" t="s">
        <v>3</v>
      </c>
      <c r="C6" s="671">
        <v>44</v>
      </c>
      <c r="D6" s="657"/>
      <c r="E6" s="657"/>
      <c r="F6" s="657"/>
      <c r="G6" s="658"/>
    </row>
    <row r="7" spans="1:11" ht="18" customHeight="1">
      <c r="B7" s="5" t="s">
        <v>4</v>
      </c>
      <c r="C7" s="659">
        <v>2559</v>
      </c>
      <c r="D7" s="660"/>
      <c r="E7" s="660"/>
      <c r="F7" s="660"/>
      <c r="G7" s="661"/>
    </row>
    <row r="9" spans="1:11" ht="18" customHeight="1">
      <c r="B9" s="5" t="s">
        <v>1</v>
      </c>
      <c r="C9" s="670" t="s">
        <v>530</v>
      </c>
      <c r="D9" s="654"/>
      <c r="E9" s="654"/>
      <c r="F9" s="654"/>
      <c r="G9" s="655"/>
    </row>
    <row r="10" spans="1:11" ht="18" customHeight="1">
      <c r="B10" s="5" t="s">
        <v>2</v>
      </c>
      <c r="C10" s="674" t="s">
        <v>531</v>
      </c>
      <c r="D10" s="663"/>
      <c r="E10" s="663"/>
      <c r="F10" s="663"/>
      <c r="G10" s="664"/>
    </row>
    <row r="11" spans="1:11" ht="18" customHeight="1">
      <c r="B11" s="5" t="s">
        <v>32</v>
      </c>
      <c r="C11" s="670" t="s">
        <v>532</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f>10590088</f>
        <v>10590088</v>
      </c>
      <c r="I18" s="50">
        <v>0</v>
      </c>
      <c r="J18" s="15">
        <f>9055849</f>
        <v>9055849</v>
      </c>
      <c r="K18" s="16">
        <f>(H18+I18)-J18</f>
        <v>1534239</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362.5</v>
      </c>
      <c r="G21" s="14">
        <v>14188</v>
      </c>
      <c r="H21" s="15">
        <v>162177</v>
      </c>
      <c r="I21" s="50">
        <f t="shared" ref="I21:I34" si="0">H21*F$114</f>
        <v>95360.076000000001</v>
      </c>
      <c r="J21" s="15">
        <v>0</v>
      </c>
      <c r="K21" s="16">
        <f t="shared" ref="K21:K34" si="1">(H21+I21)-J21</f>
        <v>257537.076</v>
      </c>
    </row>
    <row r="22" spans="1:11" ht="18" customHeight="1">
      <c r="A22" s="5" t="s">
        <v>76</v>
      </c>
      <c r="B22" t="s">
        <v>6</v>
      </c>
      <c r="F22" s="14">
        <v>63</v>
      </c>
      <c r="G22" s="14">
        <v>475</v>
      </c>
      <c r="H22" s="15">
        <v>3345</v>
      </c>
      <c r="I22" s="50">
        <f t="shared" si="0"/>
        <v>1966.86</v>
      </c>
      <c r="J22" s="15">
        <v>0</v>
      </c>
      <c r="K22" s="16">
        <f t="shared" si="1"/>
        <v>5311.86</v>
      </c>
    </row>
    <row r="23" spans="1:11" ht="18" customHeight="1">
      <c r="A23" s="5" t="s">
        <v>77</v>
      </c>
      <c r="B23" t="s">
        <v>43</v>
      </c>
      <c r="F23" s="14">
        <v>100</v>
      </c>
      <c r="G23" s="14">
        <v>825</v>
      </c>
      <c r="H23" s="15">
        <v>43392</v>
      </c>
      <c r="I23" s="50">
        <f t="shared" si="0"/>
        <v>25514.495999999999</v>
      </c>
      <c r="J23" s="15">
        <v>0</v>
      </c>
      <c r="K23" s="16">
        <f t="shared" si="1"/>
        <v>68906.495999999999</v>
      </c>
    </row>
    <row r="24" spans="1:11" ht="18" customHeight="1">
      <c r="A24" s="5" t="s">
        <v>78</v>
      </c>
      <c r="B24" t="s">
        <v>44</v>
      </c>
      <c r="F24" s="14">
        <v>0</v>
      </c>
      <c r="G24" s="14">
        <v>0</v>
      </c>
      <c r="H24" s="15">
        <v>0</v>
      </c>
      <c r="I24" s="50">
        <v>0</v>
      </c>
      <c r="J24" s="15">
        <v>0</v>
      </c>
      <c r="K24" s="16">
        <f t="shared" si="1"/>
        <v>0</v>
      </c>
    </row>
    <row r="25" spans="1:11" ht="18" customHeight="1">
      <c r="A25" s="5" t="s">
        <v>79</v>
      </c>
      <c r="B25" t="s">
        <v>5</v>
      </c>
      <c r="F25" s="14">
        <v>140.5</v>
      </c>
      <c r="G25" s="14">
        <v>1541</v>
      </c>
      <c r="H25" s="15">
        <v>16165</v>
      </c>
      <c r="I25" s="50">
        <f t="shared" si="0"/>
        <v>9505.0199999999986</v>
      </c>
      <c r="J25" s="15">
        <v>45</v>
      </c>
      <c r="K25" s="16">
        <f t="shared" si="1"/>
        <v>25625.019999999997</v>
      </c>
    </row>
    <row r="26" spans="1:11" ht="18" customHeight="1">
      <c r="A26" s="5" t="s">
        <v>80</v>
      </c>
      <c r="B26" t="s">
        <v>45</v>
      </c>
      <c r="F26" s="14">
        <v>0</v>
      </c>
      <c r="G26" s="14">
        <v>0</v>
      </c>
      <c r="H26" s="15">
        <v>0</v>
      </c>
      <c r="I26" s="50">
        <f t="shared" si="0"/>
        <v>0</v>
      </c>
      <c r="J26" s="15">
        <v>0</v>
      </c>
      <c r="K26" s="16">
        <f t="shared" si="1"/>
        <v>0</v>
      </c>
    </row>
    <row r="27" spans="1:11" ht="18" customHeight="1">
      <c r="A27" s="5" t="s">
        <v>81</v>
      </c>
      <c r="B27" t="s">
        <v>46</v>
      </c>
      <c r="F27" s="14">
        <v>0</v>
      </c>
      <c r="G27" s="14">
        <v>0</v>
      </c>
      <c r="H27" s="15">
        <v>0</v>
      </c>
      <c r="I27" s="50">
        <f t="shared" si="0"/>
        <v>0</v>
      </c>
      <c r="J27" s="15">
        <v>0</v>
      </c>
      <c r="K27" s="16">
        <f t="shared" si="1"/>
        <v>0</v>
      </c>
    </row>
    <row r="28" spans="1:11" ht="18" customHeight="1">
      <c r="A28" s="5" t="s">
        <v>82</v>
      </c>
      <c r="B28" t="s">
        <v>47</v>
      </c>
      <c r="F28" s="14">
        <v>0</v>
      </c>
      <c r="G28" s="14">
        <v>0</v>
      </c>
      <c r="H28" s="15">
        <v>0</v>
      </c>
      <c r="I28" s="50">
        <f t="shared" si="0"/>
        <v>0</v>
      </c>
      <c r="J28" s="15">
        <v>0</v>
      </c>
      <c r="K28" s="16">
        <f t="shared" si="1"/>
        <v>0</v>
      </c>
    </row>
    <row r="29" spans="1:11" ht="18" customHeight="1">
      <c r="A29" s="5" t="s">
        <v>83</v>
      </c>
      <c r="B29" t="s">
        <v>48</v>
      </c>
      <c r="F29" s="14">
        <v>2080</v>
      </c>
      <c r="G29" s="14">
        <v>484</v>
      </c>
      <c r="H29" s="15">
        <v>235190</v>
      </c>
      <c r="I29" s="50">
        <f t="shared" si="0"/>
        <v>138291.72</v>
      </c>
      <c r="J29" s="15">
        <v>0</v>
      </c>
      <c r="K29" s="16">
        <f t="shared" si="1"/>
        <v>373481.72</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335"/>
      <c r="C32" s="336"/>
      <c r="D32" s="337"/>
      <c r="F32" s="14"/>
      <c r="G32" s="342" t="s">
        <v>85</v>
      </c>
      <c r="H32" s="15"/>
      <c r="I32" s="50">
        <f t="shared" si="0"/>
        <v>0</v>
      </c>
      <c r="J32" s="15"/>
      <c r="K32" s="16">
        <f t="shared" si="1"/>
        <v>0</v>
      </c>
    </row>
    <row r="33" spans="1:11" ht="18" customHeight="1">
      <c r="A33" s="5" t="s">
        <v>135</v>
      </c>
      <c r="B33" s="335"/>
      <c r="C33" s="336"/>
      <c r="D33" s="337"/>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2746</v>
      </c>
      <c r="G36" s="18">
        <f t="shared" si="2"/>
        <v>17513</v>
      </c>
      <c r="H36" s="18">
        <f t="shared" si="2"/>
        <v>460269</v>
      </c>
      <c r="I36" s="16">
        <f t="shared" si="2"/>
        <v>270638.17200000002</v>
      </c>
      <c r="J36" s="16">
        <f t="shared" si="2"/>
        <v>45</v>
      </c>
      <c r="K36" s="16">
        <f t="shared" si="2"/>
        <v>730862.17200000002</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f>130946</f>
        <v>130946</v>
      </c>
      <c r="G40" s="14"/>
      <c r="H40" s="15">
        <f>5676581</f>
        <v>5676581</v>
      </c>
      <c r="I40" s="50">
        <f>H40*F114</f>
        <v>3337829.628</v>
      </c>
      <c r="J40" s="15"/>
      <c r="K40" s="16">
        <f t="shared" ref="K40:K47" si="3">(H40+I40)-J40</f>
        <v>9014410.6280000005</v>
      </c>
    </row>
    <row r="41" spans="1:11" ht="18" customHeight="1">
      <c r="A41" s="5" t="s">
        <v>88</v>
      </c>
      <c r="B41" s="641" t="s">
        <v>50</v>
      </c>
      <c r="C41" s="649"/>
      <c r="F41" s="14">
        <f>26342</f>
        <v>26342</v>
      </c>
      <c r="G41" s="14"/>
      <c r="H41" s="15">
        <f>405800</f>
        <v>405800</v>
      </c>
      <c r="I41" s="50">
        <f>H41*F114</f>
        <v>238610.4</v>
      </c>
      <c r="J41" s="15"/>
      <c r="K41" s="16">
        <f t="shared" si="3"/>
        <v>644410.4</v>
      </c>
    </row>
    <row r="42" spans="1:11" ht="18" customHeight="1">
      <c r="A42" s="5" t="s">
        <v>89</v>
      </c>
      <c r="B42" s="341" t="s">
        <v>11</v>
      </c>
      <c r="F42" s="14">
        <f>4160</f>
        <v>4160</v>
      </c>
      <c r="G42" s="14"/>
      <c r="H42" s="15">
        <f>162714</f>
        <v>162714</v>
      </c>
      <c r="I42" s="50">
        <f>H42*F114</f>
        <v>95675.831999999995</v>
      </c>
      <c r="J42" s="15">
        <f>64625</f>
        <v>64625</v>
      </c>
      <c r="K42" s="16">
        <f t="shared" si="3"/>
        <v>193764.83199999999</v>
      </c>
    </row>
    <row r="43" spans="1:11" ht="18" customHeight="1">
      <c r="A43" s="5" t="s">
        <v>90</v>
      </c>
      <c r="B43" s="343" t="s">
        <v>10</v>
      </c>
      <c r="C43" s="10"/>
      <c r="D43" s="10"/>
      <c r="F43" s="14"/>
      <c r="G43" s="14"/>
      <c r="H43" s="15"/>
      <c r="I43" s="50">
        <v>0</v>
      </c>
      <c r="J43" s="15"/>
      <c r="K43" s="16">
        <f t="shared" si="3"/>
        <v>0</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161448</v>
      </c>
      <c r="G49" s="23">
        <f t="shared" si="4"/>
        <v>0</v>
      </c>
      <c r="H49" s="16">
        <f t="shared" si="4"/>
        <v>6245095</v>
      </c>
      <c r="I49" s="16">
        <f t="shared" si="4"/>
        <v>3672115.86</v>
      </c>
      <c r="J49" s="16">
        <f t="shared" si="4"/>
        <v>64625</v>
      </c>
      <c r="K49" s="16">
        <f t="shared" si="4"/>
        <v>9852585.8600000013</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533</v>
      </c>
      <c r="C53" s="648"/>
      <c r="D53" s="644"/>
      <c r="F53" s="14">
        <v>1820.6</v>
      </c>
      <c r="G53" s="14">
        <v>0</v>
      </c>
      <c r="H53" s="15">
        <v>145588</v>
      </c>
      <c r="I53" s="50">
        <f>H53*$F$114</f>
        <v>85605.743999999992</v>
      </c>
      <c r="J53" s="15">
        <v>24189</v>
      </c>
      <c r="K53" s="16">
        <f t="shared" ref="K53:K62" si="5">(H53+I53)-J53</f>
        <v>207004.74400000001</v>
      </c>
    </row>
    <row r="54" spans="1:11" ht="18" customHeight="1">
      <c r="A54" s="5" t="s">
        <v>93</v>
      </c>
      <c r="B54" s="338" t="s">
        <v>534</v>
      </c>
      <c r="C54" s="339"/>
      <c r="D54" s="340"/>
      <c r="F54" s="14">
        <v>4380.5</v>
      </c>
      <c r="G54" s="14">
        <v>0</v>
      </c>
      <c r="H54" s="15">
        <v>694004</v>
      </c>
      <c r="I54" s="50">
        <f>H54*$F$114</f>
        <v>408074.35199999996</v>
      </c>
      <c r="J54" s="15">
        <v>459376</v>
      </c>
      <c r="K54" s="16">
        <f t="shared" si="5"/>
        <v>642702.35199999996</v>
      </c>
    </row>
    <row r="55" spans="1:11" ht="18" customHeight="1">
      <c r="A55" s="5" t="s">
        <v>94</v>
      </c>
      <c r="B55" s="642" t="s">
        <v>535</v>
      </c>
      <c r="C55" s="643"/>
      <c r="D55" s="644"/>
      <c r="F55" s="14">
        <v>0</v>
      </c>
      <c r="G55" s="14">
        <v>0</v>
      </c>
      <c r="H55" s="15">
        <v>67530.78</v>
      </c>
      <c r="I55" s="50">
        <v>0</v>
      </c>
      <c r="J55" s="15">
        <v>0</v>
      </c>
      <c r="K55" s="16">
        <f t="shared" si="5"/>
        <v>67530.78</v>
      </c>
    </row>
    <row r="56" spans="1:11" ht="18" customHeight="1">
      <c r="A56" s="5" t="s">
        <v>95</v>
      </c>
      <c r="B56" s="650" t="s">
        <v>536</v>
      </c>
      <c r="C56" s="643"/>
      <c r="D56" s="644"/>
      <c r="F56" s="14">
        <v>2080</v>
      </c>
      <c r="G56" s="14">
        <v>1941</v>
      </c>
      <c r="H56" s="15">
        <v>69648</v>
      </c>
      <c r="I56" s="50">
        <f>H56*$F$114</f>
        <v>40953.023999999998</v>
      </c>
      <c r="J56" s="15">
        <v>0</v>
      </c>
      <c r="K56" s="16">
        <f t="shared" si="5"/>
        <v>110601.024</v>
      </c>
    </row>
    <row r="57" spans="1:11" ht="18" customHeight="1">
      <c r="A57" s="5" t="s">
        <v>96</v>
      </c>
      <c r="B57" s="642"/>
      <c r="C57" s="643"/>
      <c r="D57" s="644"/>
      <c r="F57" s="14"/>
      <c r="G57" s="14"/>
      <c r="H57" s="15"/>
      <c r="I57" s="50">
        <v>0</v>
      </c>
      <c r="J57" s="15"/>
      <c r="K57" s="16">
        <f t="shared" si="5"/>
        <v>0</v>
      </c>
    </row>
    <row r="58" spans="1:11" ht="18" customHeight="1">
      <c r="A58" s="5" t="s">
        <v>97</v>
      </c>
      <c r="B58" s="338"/>
      <c r="C58" s="339"/>
      <c r="D58" s="340"/>
      <c r="F58" s="14"/>
      <c r="G58" s="14"/>
      <c r="H58" s="15"/>
      <c r="I58" s="50">
        <v>0</v>
      </c>
      <c r="J58" s="15"/>
      <c r="K58" s="16">
        <f t="shared" si="5"/>
        <v>0</v>
      </c>
    </row>
    <row r="59" spans="1:11" ht="18" customHeight="1">
      <c r="A59" s="5" t="s">
        <v>98</v>
      </c>
      <c r="B59" s="642"/>
      <c r="C59" s="643"/>
      <c r="D59" s="644"/>
      <c r="F59" s="14"/>
      <c r="G59" s="14"/>
      <c r="H59" s="15"/>
      <c r="I59" s="50">
        <v>0</v>
      </c>
      <c r="J59" s="15"/>
      <c r="K59" s="16">
        <f t="shared" si="5"/>
        <v>0</v>
      </c>
    </row>
    <row r="60" spans="1:11" ht="18" customHeight="1">
      <c r="A60" s="5" t="s">
        <v>99</v>
      </c>
      <c r="B60" s="338"/>
      <c r="C60" s="339"/>
      <c r="D60" s="340"/>
      <c r="F60" s="14"/>
      <c r="G60" s="14"/>
      <c r="H60" s="15"/>
      <c r="I60" s="50">
        <v>0</v>
      </c>
      <c r="J60" s="15"/>
      <c r="K60" s="16">
        <f t="shared" si="5"/>
        <v>0</v>
      </c>
    </row>
    <row r="61" spans="1:11" ht="18" customHeight="1">
      <c r="A61" s="5" t="s">
        <v>100</v>
      </c>
      <c r="B61" s="338"/>
      <c r="C61" s="339"/>
      <c r="D61" s="340"/>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8281.1</v>
      </c>
      <c r="G64" s="18">
        <f t="shared" si="6"/>
        <v>1941</v>
      </c>
      <c r="H64" s="16">
        <f t="shared" si="6"/>
        <v>976770.78</v>
      </c>
      <c r="I64" s="16">
        <f t="shared" si="6"/>
        <v>534633.12</v>
      </c>
      <c r="J64" s="16">
        <f t="shared" si="6"/>
        <v>483565</v>
      </c>
      <c r="K64" s="16">
        <f t="shared" si="6"/>
        <v>1027838.8999999999</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v>7379.7</v>
      </c>
      <c r="G69" s="51">
        <v>0</v>
      </c>
      <c r="H69" s="51">
        <v>352693</v>
      </c>
      <c r="I69" s="50">
        <f>H69*$F$114</f>
        <v>207383.484</v>
      </c>
      <c r="J69" s="51">
        <v>14000</v>
      </c>
      <c r="K69" s="16">
        <f>(H69+I69)-J69</f>
        <v>546076.48399999994</v>
      </c>
    </row>
    <row r="70" spans="1:11" ht="18" customHeight="1">
      <c r="A70" s="5" t="s">
        <v>178</v>
      </c>
      <c r="B70" s="338"/>
      <c r="C70" s="339"/>
      <c r="D70" s="340"/>
      <c r="E70" s="2"/>
      <c r="F70" s="35"/>
      <c r="G70" s="35"/>
      <c r="H70" s="36"/>
      <c r="I70" s="50">
        <v>0</v>
      </c>
      <c r="J70" s="36"/>
      <c r="K70" s="16">
        <f>(H70+I70)-J70</f>
        <v>0</v>
      </c>
    </row>
    <row r="71" spans="1:11" ht="18" customHeight="1">
      <c r="A71" s="5" t="s">
        <v>179</v>
      </c>
      <c r="B71" s="338"/>
      <c r="C71" s="339"/>
      <c r="D71" s="340"/>
      <c r="E71" s="2"/>
      <c r="F71" s="35"/>
      <c r="G71" s="35"/>
      <c r="H71" s="36"/>
      <c r="I71" s="50">
        <v>0</v>
      </c>
      <c r="J71" s="36"/>
      <c r="K71" s="16">
        <f>(H71+I71)-J71</f>
        <v>0</v>
      </c>
    </row>
    <row r="72" spans="1:11" ht="18" customHeight="1">
      <c r="A72" s="5" t="s">
        <v>180</v>
      </c>
      <c r="B72" s="344"/>
      <c r="C72" s="345"/>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7379.7</v>
      </c>
      <c r="G74" s="21">
        <f t="shared" si="7"/>
        <v>0</v>
      </c>
      <c r="H74" s="21">
        <f t="shared" si="7"/>
        <v>352693</v>
      </c>
      <c r="I74" s="53">
        <f t="shared" si="7"/>
        <v>207383.484</v>
      </c>
      <c r="J74" s="21">
        <f t="shared" si="7"/>
        <v>14000</v>
      </c>
      <c r="K74" s="17">
        <f t="shared" si="7"/>
        <v>546076.48399999994</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v>33000</v>
      </c>
      <c r="I77" s="50">
        <v>0</v>
      </c>
      <c r="J77" s="15"/>
      <c r="K77" s="16">
        <f>(H77+I77)-J77</f>
        <v>33000</v>
      </c>
    </row>
    <row r="78" spans="1:11" ht="18" customHeight="1">
      <c r="A78" s="5" t="s">
        <v>108</v>
      </c>
      <c r="B78" s="341" t="s">
        <v>55</v>
      </c>
      <c r="F78" s="14"/>
      <c r="G78" s="14"/>
      <c r="H78" s="15"/>
      <c r="I78" s="50">
        <v>0</v>
      </c>
      <c r="J78" s="15"/>
      <c r="K78" s="16">
        <f>(H78+I78)-J78</f>
        <v>0</v>
      </c>
    </row>
    <row r="79" spans="1:11" ht="18" customHeight="1">
      <c r="A79" s="5" t="s">
        <v>109</v>
      </c>
      <c r="B79" s="341" t="s">
        <v>13</v>
      </c>
      <c r="F79" s="14">
        <v>123</v>
      </c>
      <c r="G79" s="14">
        <v>513</v>
      </c>
      <c r="H79" s="15">
        <v>11234</v>
      </c>
      <c r="I79" s="50">
        <v>0</v>
      </c>
      <c r="J79" s="15">
        <v>0</v>
      </c>
      <c r="K79" s="16">
        <f>(H79+I79)-J79</f>
        <v>11234</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8">SUM(F77:F80)</f>
        <v>123</v>
      </c>
      <c r="G82" s="21">
        <f t="shared" si="8"/>
        <v>513</v>
      </c>
      <c r="H82" s="17">
        <f t="shared" si="8"/>
        <v>44234</v>
      </c>
      <c r="I82" s="17">
        <f t="shared" si="8"/>
        <v>0</v>
      </c>
      <c r="J82" s="17">
        <f t="shared" si="8"/>
        <v>0</v>
      </c>
      <c r="K82" s="17">
        <f t="shared" si="8"/>
        <v>44234</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14"/>
      <c r="G87" s="14"/>
      <c r="H87" s="15"/>
      <c r="I87" s="50">
        <f t="shared" si="9"/>
        <v>0</v>
      </c>
      <c r="J87" s="15"/>
      <c r="K87" s="16">
        <f t="shared" si="10"/>
        <v>0</v>
      </c>
    </row>
    <row r="88" spans="1:11" ht="18" customHeight="1">
      <c r="A88" s="5" t="s">
        <v>115</v>
      </c>
      <c r="B88" s="341" t="s">
        <v>116</v>
      </c>
      <c r="F88" s="14"/>
      <c r="G88" s="14"/>
      <c r="H88" s="15">
        <v>25000</v>
      </c>
      <c r="I88" s="50">
        <f>0</f>
        <v>0</v>
      </c>
      <c r="J88" s="15"/>
      <c r="K88" s="16">
        <f t="shared" si="10"/>
        <v>25000</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c r="G91" s="14"/>
      <c r="H91" s="15"/>
      <c r="I91" s="50">
        <f t="shared" si="9"/>
        <v>0</v>
      </c>
      <c r="J91" s="15"/>
      <c r="K91" s="16">
        <f t="shared" si="10"/>
        <v>0</v>
      </c>
    </row>
    <row r="92" spans="1:11" ht="18" customHeight="1">
      <c r="A92" s="5" t="s">
        <v>120</v>
      </c>
      <c r="B92" s="341" t="s">
        <v>121</v>
      </c>
      <c r="F92" s="38"/>
      <c r="G92" s="38"/>
      <c r="H92" s="39"/>
      <c r="I92" s="50">
        <f t="shared" si="9"/>
        <v>0</v>
      </c>
      <c r="J92" s="39"/>
      <c r="K92" s="16">
        <f t="shared" si="10"/>
        <v>0</v>
      </c>
    </row>
    <row r="93" spans="1:11" ht="18" customHeight="1">
      <c r="A93" s="5" t="s">
        <v>122</v>
      </c>
      <c r="B93" s="341" t="s">
        <v>123</v>
      </c>
      <c r="F93" s="14"/>
      <c r="G93" s="14"/>
      <c r="H93" s="15"/>
      <c r="I93" s="50">
        <f t="shared" si="9"/>
        <v>0</v>
      </c>
      <c r="J93" s="15"/>
      <c r="K93" s="16">
        <f t="shared" si="10"/>
        <v>0</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0</v>
      </c>
      <c r="G98" s="18">
        <f t="shared" si="11"/>
        <v>0</v>
      </c>
      <c r="H98" s="18">
        <f t="shared" si="11"/>
        <v>25000</v>
      </c>
      <c r="I98" s="18">
        <f t="shared" si="11"/>
        <v>0</v>
      </c>
      <c r="J98" s="18">
        <f t="shared" si="11"/>
        <v>0</v>
      </c>
      <c r="K98" s="18">
        <f t="shared" si="11"/>
        <v>25000</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4370</v>
      </c>
      <c r="G102" s="14"/>
      <c r="H102" s="15">
        <v>139947</v>
      </c>
      <c r="I102" s="50">
        <f>H102*F$114</f>
        <v>82288.835999999996</v>
      </c>
      <c r="J102" s="15"/>
      <c r="K102" s="16">
        <f>(H102+I102)-J102</f>
        <v>222235.83600000001</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4370</v>
      </c>
      <c r="G108" s="18">
        <f t="shared" si="12"/>
        <v>0</v>
      </c>
      <c r="H108" s="16">
        <f t="shared" si="12"/>
        <v>139947</v>
      </c>
      <c r="I108" s="16">
        <f t="shared" si="12"/>
        <v>82288.835999999996</v>
      </c>
      <c r="J108" s="16">
        <f t="shared" si="12"/>
        <v>0</v>
      </c>
      <c r="K108" s="16">
        <f t="shared" si="12"/>
        <v>222235.83600000001</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f>4337420</f>
        <v>4337420</v>
      </c>
    </row>
    <row r="112" spans="1:11" ht="18" customHeight="1">
      <c r="B112" s="2"/>
      <c r="E112" s="2"/>
      <c r="F112" s="22"/>
    </row>
    <row r="113" spans="1:6" ht="18" customHeight="1">
      <c r="A113" s="6"/>
      <c r="B113" s="2" t="s">
        <v>15</v>
      </c>
    </row>
    <row r="114" spans="1:6" ht="18" customHeight="1">
      <c r="A114" s="5" t="s">
        <v>171</v>
      </c>
      <c r="B114" s="341" t="s">
        <v>35</v>
      </c>
      <c r="F114" s="25">
        <v>0.58799999999999997</v>
      </c>
    </row>
    <row r="115" spans="1:6" ht="18" customHeight="1">
      <c r="A115" s="5"/>
      <c r="B115" s="2"/>
    </row>
    <row r="116" spans="1:6" ht="18" customHeight="1">
      <c r="A116" s="5" t="s">
        <v>170</v>
      </c>
      <c r="B116" s="2" t="s">
        <v>16</v>
      </c>
    </row>
    <row r="117" spans="1:6" ht="18" customHeight="1">
      <c r="A117" s="5" t="s">
        <v>172</v>
      </c>
      <c r="B117" s="341" t="s">
        <v>17</v>
      </c>
      <c r="F117" s="15">
        <f>379065000</f>
        <v>379065000</v>
      </c>
    </row>
    <row r="118" spans="1:6" ht="18" customHeight="1">
      <c r="A118" s="5" t="s">
        <v>173</v>
      </c>
      <c r="B118" t="s">
        <v>18</v>
      </c>
      <c r="F118" s="15">
        <f>(17707000+5770000)</f>
        <v>23477000</v>
      </c>
    </row>
    <row r="119" spans="1:6" ht="18" customHeight="1">
      <c r="A119" s="5" t="s">
        <v>174</v>
      </c>
      <c r="B119" s="2" t="s">
        <v>19</v>
      </c>
      <c r="F119" s="17">
        <f>SUM(F117:F118)</f>
        <v>402542000</v>
      </c>
    </row>
    <row r="120" spans="1:6" ht="18" customHeight="1">
      <c r="A120" s="5"/>
      <c r="B120" s="2"/>
    </row>
    <row r="121" spans="1:6" ht="18" customHeight="1">
      <c r="A121" s="5" t="s">
        <v>167</v>
      </c>
      <c r="B121" s="2" t="s">
        <v>36</v>
      </c>
      <c r="F121" s="15">
        <f>381697000</f>
        <v>381697000</v>
      </c>
    </row>
    <row r="122" spans="1:6" ht="18" customHeight="1">
      <c r="A122" s="5"/>
    </row>
    <row r="123" spans="1:6" ht="18" customHeight="1">
      <c r="A123" s="5" t="s">
        <v>175</v>
      </c>
      <c r="B123" s="2" t="s">
        <v>20</v>
      </c>
      <c r="F123" s="15">
        <f>F119-F121</f>
        <v>20845000</v>
      </c>
    </row>
    <row r="124" spans="1:6" ht="18" customHeight="1">
      <c r="A124" s="5"/>
    </row>
    <row r="125" spans="1:6" ht="18" customHeight="1">
      <c r="A125" s="5" t="s">
        <v>176</v>
      </c>
      <c r="B125" s="2" t="s">
        <v>21</v>
      </c>
      <c r="F125" s="15">
        <f>(419000+18977000+299000)</f>
        <v>19695000</v>
      </c>
    </row>
    <row r="126" spans="1:6" ht="18" customHeight="1">
      <c r="A126" s="5"/>
    </row>
    <row r="127" spans="1:6" ht="18" customHeight="1">
      <c r="A127" s="5" t="s">
        <v>177</v>
      </c>
      <c r="B127" s="2" t="s">
        <v>22</v>
      </c>
      <c r="F127" s="15">
        <f>F123+F125</f>
        <v>40540000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2746</v>
      </c>
      <c r="G141" s="41">
        <f t="shared" si="14"/>
        <v>17513</v>
      </c>
      <c r="H141" s="41">
        <f t="shared" si="14"/>
        <v>460269</v>
      </c>
      <c r="I141" s="41">
        <f t="shared" si="14"/>
        <v>270638.17200000002</v>
      </c>
      <c r="J141" s="41">
        <f t="shared" si="14"/>
        <v>45</v>
      </c>
      <c r="K141" s="41">
        <f t="shared" si="14"/>
        <v>730862.17200000002</v>
      </c>
    </row>
    <row r="142" spans="1:11" ht="18" customHeight="1">
      <c r="A142" s="5" t="s">
        <v>142</v>
      </c>
      <c r="B142" s="2" t="s">
        <v>65</v>
      </c>
      <c r="F142" s="41">
        <f t="shared" ref="F142:K142" si="15">F49</f>
        <v>161448</v>
      </c>
      <c r="G142" s="41">
        <f t="shared" si="15"/>
        <v>0</v>
      </c>
      <c r="H142" s="41">
        <f t="shared" si="15"/>
        <v>6245095</v>
      </c>
      <c r="I142" s="41">
        <f t="shared" si="15"/>
        <v>3672115.86</v>
      </c>
      <c r="J142" s="41">
        <f t="shared" si="15"/>
        <v>64625</v>
      </c>
      <c r="K142" s="41">
        <f t="shared" si="15"/>
        <v>9852585.8600000013</v>
      </c>
    </row>
    <row r="143" spans="1:11" ht="18" customHeight="1">
      <c r="A143" s="5" t="s">
        <v>144</v>
      </c>
      <c r="B143" s="2" t="s">
        <v>66</v>
      </c>
      <c r="F143" s="41">
        <f t="shared" ref="F143:K143" si="16">F64</f>
        <v>8281.1</v>
      </c>
      <c r="G143" s="41">
        <f t="shared" si="16"/>
        <v>1941</v>
      </c>
      <c r="H143" s="41">
        <f t="shared" si="16"/>
        <v>976770.78</v>
      </c>
      <c r="I143" s="41">
        <f t="shared" si="16"/>
        <v>534633.12</v>
      </c>
      <c r="J143" s="41">
        <f t="shared" si="16"/>
        <v>483565</v>
      </c>
      <c r="K143" s="41">
        <f t="shared" si="16"/>
        <v>1027838.8999999999</v>
      </c>
    </row>
    <row r="144" spans="1:11" ht="18" customHeight="1">
      <c r="A144" s="5" t="s">
        <v>146</v>
      </c>
      <c r="B144" s="2" t="s">
        <v>67</v>
      </c>
      <c r="F144" s="41">
        <f t="shared" ref="F144:K144" si="17">F74</f>
        <v>7379.7</v>
      </c>
      <c r="G144" s="41">
        <f t="shared" si="17"/>
        <v>0</v>
      </c>
      <c r="H144" s="41">
        <f t="shared" si="17"/>
        <v>352693</v>
      </c>
      <c r="I144" s="41">
        <f t="shared" si="17"/>
        <v>207383.484</v>
      </c>
      <c r="J144" s="41">
        <f t="shared" si="17"/>
        <v>14000</v>
      </c>
      <c r="K144" s="41">
        <f t="shared" si="17"/>
        <v>546076.48399999994</v>
      </c>
    </row>
    <row r="145" spans="1:11" ht="18" customHeight="1">
      <c r="A145" s="5" t="s">
        <v>148</v>
      </c>
      <c r="B145" s="2" t="s">
        <v>68</v>
      </c>
      <c r="F145" s="41">
        <f t="shared" ref="F145:K145" si="18">F82</f>
        <v>123</v>
      </c>
      <c r="G145" s="41">
        <f t="shared" si="18"/>
        <v>513</v>
      </c>
      <c r="H145" s="41">
        <f t="shared" si="18"/>
        <v>44234</v>
      </c>
      <c r="I145" s="41">
        <f t="shared" si="18"/>
        <v>0</v>
      </c>
      <c r="J145" s="41">
        <f t="shared" si="18"/>
        <v>0</v>
      </c>
      <c r="K145" s="41">
        <f t="shared" si="18"/>
        <v>44234</v>
      </c>
    </row>
    <row r="146" spans="1:11" ht="18" customHeight="1">
      <c r="A146" s="5" t="s">
        <v>150</v>
      </c>
      <c r="B146" s="2" t="s">
        <v>69</v>
      </c>
      <c r="F146" s="41">
        <f t="shared" ref="F146:K146" si="19">F98</f>
        <v>0</v>
      </c>
      <c r="G146" s="41">
        <f t="shared" si="19"/>
        <v>0</v>
      </c>
      <c r="H146" s="41">
        <f t="shared" si="19"/>
        <v>25000</v>
      </c>
      <c r="I146" s="41">
        <f t="shared" si="19"/>
        <v>0</v>
      </c>
      <c r="J146" s="41">
        <f t="shared" si="19"/>
        <v>0</v>
      </c>
      <c r="K146" s="41">
        <f t="shared" si="19"/>
        <v>25000</v>
      </c>
    </row>
    <row r="147" spans="1:11" ht="18" customHeight="1">
      <c r="A147" s="5" t="s">
        <v>153</v>
      </c>
      <c r="B147" s="2" t="s">
        <v>61</v>
      </c>
      <c r="F147" s="18">
        <f t="shared" ref="F147:K147" si="20">F108</f>
        <v>4370</v>
      </c>
      <c r="G147" s="18">
        <f t="shared" si="20"/>
        <v>0</v>
      </c>
      <c r="H147" s="18">
        <f t="shared" si="20"/>
        <v>139947</v>
      </c>
      <c r="I147" s="18">
        <f t="shared" si="20"/>
        <v>82288.835999999996</v>
      </c>
      <c r="J147" s="18">
        <f t="shared" si="20"/>
        <v>0</v>
      </c>
      <c r="K147" s="18">
        <f t="shared" si="20"/>
        <v>222235.83600000001</v>
      </c>
    </row>
    <row r="148" spans="1:11" ht="18" customHeight="1">
      <c r="A148" s="5" t="s">
        <v>155</v>
      </c>
      <c r="B148" s="2" t="s">
        <v>70</v>
      </c>
      <c r="F148" s="42" t="s">
        <v>73</v>
      </c>
      <c r="G148" s="42" t="s">
        <v>73</v>
      </c>
      <c r="H148" s="43" t="s">
        <v>73</v>
      </c>
      <c r="I148" s="43" t="s">
        <v>73</v>
      </c>
      <c r="J148" s="43" t="s">
        <v>73</v>
      </c>
      <c r="K148" s="37">
        <f>F111</f>
        <v>4337420</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10590088</v>
      </c>
      <c r="I150" s="18">
        <f>I18</f>
        <v>0</v>
      </c>
      <c r="J150" s="18">
        <f>J18</f>
        <v>9055849</v>
      </c>
      <c r="K150" s="18">
        <f>K18</f>
        <v>1534239</v>
      </c>
    </row>
    <row r="151" spans="1:11" ht="18" customHeight="1">
      <c r="B151" s="2"/>
      <c r="F151" s="48"/>
      <c r="G151" s="48"/>
      <c r="H151" s="48"/>
      <c r="I151" s="48"/>
      <c r="J151" s="48"/>
      <c r="K151" s="48"/>
    </row>
    <row r="152" spans="1:11" ht="18" customHeight="1">
      <c r="A152" s="6" t="s">
        <v>165</v>
      </c>
      <c r="B152" s="2" t="s">
        <v>26</v>
      </c>
      <c r="F152" s="49">
        <f t="shared" ref="F152:K152" si="22">SUM(F141:F150)</f>
        <v>184347.80000000002</v>
      </c>
      <c r="G152" s="49">
        <f t="shared" si="22"/>
        <v>19967</v>
      </c>
      <c r="H152" s="49">
        <f t="shared" si="22"/>
        <v>18834096.780000001</v>
      </c>
      <c r="I152" s="49">
        <f t="shared" si="22"/>
        <v>4767059.4720000001</v>
      </c>
      <c r="J152" s="49">
        <f t="shared" si="22"/>
        <v>9618084</v>
      </c>
      <c r="K152" s="49">
        <f t="shared" si="22"/>
        <v>18320492.252</v>
      </c>
    </row>
    <row r="154" spans="1:11" ht="18" customHeight="1">
      <c r="A154" s="6" t="s">
        <v>168</v>
      </c>
      <c r="B154" s="2" t="s">
        <v>28</v>
      </c>
      <c r="F154" s="64">
        <f>K152/F121</f>
        <v>4.7997475096739038E-2</v>
      </c>
    </row>
    <row r="155" spans="1:11" ht="18" customHeight="1">
      <c r="A155" s="6" t="s">
        <v>169</v>
      </c>
      <c r="B155" s="2" t="s">
        <v>72</v>
      </c>
      <c r="F155" s="64">
        <f>K152/F127</f>
        <v>0.4519115010360138</v>
      </c>
      <c r="G155" s="2"/>
    </row>
    <row r="156" spans="1:11" ht="18" customHeight="1">
      <c r="G156" s="2"/>
    </row>
  </sheetData>
  <sheetProtection password="EF72" sheet="1" objects="1" scenarios="1"/>
  <mergeCells count="34">
    <mergeCell ref="B106:D106"/>
    <mergeCell ref="B133:D133"/>
    <mergeCell ref="B134:D134"/>
    <mergeCell ref="B135:D135"/>
    <mergeCell ref="B94:D94"/>
    <mergeCell ref="B95:D95"/>
    <mergeCell ref="B96:D96"/>
    <mergeCell ref="B103:C103"/>
    <mergeCell ref="B104:D104"/>
    <mergeCell ref="B105:D105"/>
    <mergeCell ref="B90:C90"/>
    <mergeCell ref="B44:D44"/>
    <mergeCell ref="B45:D45"/>
    <mergeCell ref="B46:D46"/>
    <mergeCell ref="B47:D47"/>
    <mergeCell ref="B52:C52"/>
    <mergeCell ref="B53:D53"/>
    <mergeCell ref="B55:D55"/>
    <mergeCell ref="B56:D56"/>
    <mergeCell ref="B57:D57"/>
    <mergeCell ref="B59:D59"/>
    <mergeCell ref="B62:D62"/>
    <mergeCell ref="B41:C41"/>
    <mergeCell ref="D2:H2"/>
    <mergeCell ref="C5:G5"/>
    <mergeCell ref="C6:G6"/>
    <mergeCell ref="C7:G7"/>
    <mergeCell ref="C9:G9"/>
    <mergeCell ref="C10:G10"/>
    <mergeCell ref="C11:G11"/>
    <mergeCell ref="B13:H13"/>
    <mergeCell ref="B30:D30"/>
    <mergeCell ref="B31:D31"/>
    <mergeCell ref="B34:D34"/>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21" zoomScale="70" zoomScaleNormal="50" zoomScaleSheetLayoutView="70" workbookViewId="0">
      <selection activeCell="G123" sqref="G123"/>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617</v>
      </c>
      <c r="D5" s="654"/>
      <c r="E5" s="654"/>
      <c r="F5" s="654"/>
      <c r="G5" s="655"/>
    </row>
    <row r="6" spans="1:11" ht="18" customHeight="1">
      <c r="B6" s="5" t="s">
        <v>3</v>
      </c>
      <c r="C6" s="671">
        <v>210045</v>
      </c>
      <c r="D6" s="657"/>
      <c r="E6" s="657"/>
      <c r="F6" s="657"/>
      <c r="G6" s="658"/>
    </row>
    <row r="7" spans="1:11" ht="18" customHeight="1">
      <c r="B7" s="5" t="s">
        <v>4</v>
      </c>
      <c r="C7" s="659">
        <v>250</v>
      </c>
      <c r="D7" s="660"/>
      <c r="E7" s="660"/>
      <c r="F7" s="660"/>
      <c r="G7" s="661"/>
    </row>
    <row r="9" spans="1:11" ht="18" customHeight="1">
      <c r="B9" s="5" t="s">
        <v>1</v>
      </c>
      <c r="C9" s="670" t="s">
        <v>618</v>
      </c>
      <c r="D9" s="654"/>
      <c r="E9" s="654"/>
      <c r="F9" s="654"/>
      <c r="G9" s="655"/>
    </row>
    <row r="10" spans="1:11" ht="18" customHeight="1">
      <c r="B10" s="5" t="s">
        <v>2</v>
      </c>
      <c r="C10" s="674" t="s">
        <v>619</v>
      </c>
      <c r="D10" s="663"/>
      <c r="E10" s="663"/>
      <c r="F10" s="663"/>
      <c r="G10" s="664"/>
    </row>
    <row r="11" spans="1:11" ht="18" customHeight="1">
      <c r="B11" s="5" t="s">
        <v>32</v>
      </c>
      <c r="C11" s="670" t="s">
        <v>620</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454983</v>
      </c>
      <c r="I18" s="50">
        <v>0</v>
      </c>
      <c r="J18" s="15">
        <v>389067</v>
      </c>
      <c r="K18" s="16">
        <f>(H18+I18)-J18</f>
        <v>65916</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110</v>
      </c>
      <c r="G21" s="14">
        <v>890</v>
      </c>
      <c r="H21" s="15">
        <v>3814</v>
      </c>
      <c r="I21" s="50">
        <f t="shared" ref="I21:I34" si="0">H21*F$114</f>
        <v>2852.8719999999998</v>
      </c>
      <c r="J21" s="15"/>
      <c r="K21" s="16">
        <f t="shared" ref="K21:K34" si="1">(H21+I21)-J21</f>
        <v>6666.8719999999994</v>
      </c>
    </row>
    <row r="22" spans="1:11" ht="18" customHeight="1">
      <c r="A22" s="5" t="s">
        <v>76</v>
      </c>
      <c r="B22" t="s">
        <v>6</v>
      </c>
      <c r="F22" s="14"/>
      <c r="G22" s="14"/>
      <c r="H22" s="15"/>
      <c r="I22" s="50">
        <f t="shared" si="0"/>
        <v>0</v>
      </c>
      <c r="J22" s="15"/>
      <c r="K22" s="16">
        <f t="shared" si="1"/>
        <v>0</v>
      </c>
    </row>
    <row r="23" spans="1:11" ht="18" customHeight="1">
      <c r="A23" s="5" t="s">
        <v>77</v>
      </c>
      <c r="B23" t="s">
        <v>43</v>
      </c>
      <c r="F23" s="14"/>
      <c r="G23" s="14"/>
      <c r="H23" s="15"/>
      <c r="I23" s="50">
        <f t="shared" si="0"/>
        <v>0</v>
      </c>
      <c r="J23" s="15"/>
      <c r="K23" s="16">
        <f t="shared" si="1"/>
        <v>0</v>
      </c>
    </row>
    <row r="24" spans="1:11" ht="18" customHeight="1">
      <c r="A24" s="5" t="s">
        <v>78</v>
      </c>
      <c r="B24" t="s">
        <v>44</v>
      </c>
      <c r="F24" s="14"/>
      <c r="G24" s="14"/>
      <c r="H24" s="15"/>
      <c r="I24" s="50">
        <f t="shared" si="0"/>
        <v>0</v>
      </c>
      <c r="J24" s="15"/>
      <c r="K24" s="16">
        <f t="shared" si="1"/>
        <v>0</v>
      </c>
    </row>
    <row r="25" spans="1:11" ht="18" customHeight="1">
      <c r="A25" s="5" t="s">
        <v>79</v>
      </c>
      <c r="B25" t="s">
        <v>5</v>
      </c>
      <c r="F25" s="14">
        <v>12</v>
      </c>
      <c r="G25" s="14">
        <v>80</v>
      </c>
      <c r="H25" s="15">
        <v>4513</v>
      </c>
      <c r="I25" s="50">
        <f t="shared" si="0"/>
        <v>3375.7240000000002</v>
      </c>
      <c r="J25" s="15"/>
      <c r="K25" s="16">
        <f t="shared" si="1"/>
        <v>7888.7240000000002</v>
      </c>
    </row>
    <row r="26" spans="1:11" ht="18" customHeight="1">
      <c r="A26" s="5" t="s">
        <v>80</v>
      </c>
      <c r="B26" t="s">
        <v>45</v>
      </c>
      <c r="F26" s="14">
        <v>8</v>
      </c>
      <c r="G26" s="14">
        <v>145</v>
      </c>
      <c r="H26" s="15">
        <v>3947</v>
      </c>
      <c r="I26" s="50">
        <f t="shared" si="0"/>
        <v>2952.3559999999998</v>
      </c>
      <c r="J26" s="15"/>
      <c r="K26" s="16">
        <f t="shared" si="1"/>
        <v>6899.3559999999998</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1687</v>
      </c>
      <c r="G29" s="14">
        <v>1998</v>
      </c>
      <c r="H29" s="15">
        <v>28457</v>
      </c>
      <c r="I29" s="50">
        <f t="shared" si="0"/>
        <v>21285.835999999999</v>
      </c>
      <c r="J29" s="15"/>
      <c r="K29" s="16">
        <f t="shared" si="1"/>
        <v>49742.835999999996</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335"/>
      <c r="C32" s="336"/>
      <c r="D32" s="337"/>
      <c r="F32" s="14"/>
      <c r="G32" s="342" t="s">
        <v>85</v>
      </c>
      <c r="H32" s="15"/>
      <c r="I32" s="50">
        <f t="shared" si="0"/>
        <v>0</v>
      </c>
      <c r="J32" s="15"/>
      <c r="K32" s="16">
        <f t="shared" si="1"/>
        <v>0</v>
      </c>
    </row>
    <row r="33" spans="1:11" ht="18" customHeight="1">
      <c r="A33" s="5" t="s">
        <v>135</v>
      </c>
      <c r="B33" s="335"/>
      <c r="C33" s="336"/>
      <c r="D33" s="337"/>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1817</v>
      </c>
      <c r="G36" s="18">
        <f t="shared" si="2"/>
        <v>3113</v>
      </c>
      <c r="H36" s="18">
        <f t="shared" si="2"/>
        <v>40731</v>
      </c>
      <c r="I36" s="16">
        <f t="shared" si="2"/>
        <v>30466.788</v>
      </c>
      <c r="J36" s="16">
        <f t="shared" si="2"/>
        <v>0</v>
      </c>
      <c r="K36" s="16">
        <f t="shared" si="2"/>
        <v>71197.788</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v>0</v>
      </c>
      <c r="J40" s="15"/>
      <c r="K40" s="16">
        <f t="shared" ref="K40:K47" si="3">(H40+I40)-J40</f>
        <v>0</v>
      </c>
    </row>
    <row r="41" spans="1:11" ht="18" customHeight="1">
      <c r="A41" s="5" t="s">
        <v>88</v>
      </c>
      <c r="B41" s="641" t="s">
        <v>50</v>
      </c>
      <c r="C41" s="649"/>
      <c r="F41" s="14"/>
      <c r="G41" s="14"/>
      <c r="H41" s="15"/>
      <c r="I41" s="50">
        <v>0</v>
      </c>
      <c r="J41" s="15"/>
      <c r="K41" s="16">
        <f t="shared" si="3"/>
        <v>0</v>
      </c>
    </row>
    <row r="42" spans="1:11" ht="18" customHeight="1">
      <c r="A42" s="5" t="s">
        <v>89</v>
      </c>
      <c r="B42" s="341" t="s">
        <v>11</v>
      </c>
      <c r="F42" s="14">
        <v>662</v>
      </c>
      <c r="G42" s="14">
        <v>28</v>
      </c>
      <c r="H42" s="15">
        <v>31208</v>
      </c>
      <c r="I42" s="50">
        <v>0</v>
      </c>
      <c r="J42" s="15"/>
      <c r="K42" s="16">
        <f t="shared" si="3"/>
        <v>31208</v>
      </c>
    </row>
    <row r="43" spans="1:11" ht="18" customHeight="1">
      <c r="A43" s="5" t="s">
        <v>90</v>
      </c>
      <c r="B43" s="343" t="s">
        <v>10</v>
      </c>
      <c r="C43" s="10"/>
      <c r="D43" s="10"/>
      <c r="F43" s="14"/>
      <c r="G43" s="14"/>
      <c r="H43" s="15"/>
      <c r="I43" s="50">
        <v>0</v>
      </c>
      <c r="J43" s="15"/>
      <c r="K43" s="16">
        <f t="shared" si="3"/>
        <v>0</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662</v>
      </c>
      <c r="G49" s="23">
        <f t="shared" si="4"/>
        <v>28</v>
      </c>
      <c r="H49" s="16">
        <f t="shared" si="4"/>
        <v>31208</v>
      </c>
      <c r="I49" s="16">
        <f t="shared" si="4"/>
        <v>0</v>
      </c>
      <c r="J49" s="16">
        <f t="shared" si="4"/>
        <v>0</v>
      </c>
      <c r="K49" s="16">
        <f t="shared" si="4"/>
        <v>31208</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c r="C53" s="648"/>
      <c r="D53" s="644"/>
      <c r="F53" s="14">
        <v>0</v>
      </c>
      <c r="G53" s="14"/>
      <c r="H53" s="15">
        <v>0</v>
      </c>
      <c r="I53" s="50">
        <v>0</v>
      </c>
      <c r="J53" s="15"/>
      <c r="K53" s="16">
        <f t="shared" ref="K53:K62" si="5">(H53+I53)-J53</f>
        <v>0</v>
      </c>
    </row>
    <row r="54" spans="1:11" ht="18" customHeight="1">
      <c r="A54" s="5" t="s">
        <v>93</v>
      </c>
      <c r="B54" s="338"/>
      <c r="C54" s="339"/>
      <c r="D54" s="340"/>
      <c r="F54" s="14"/>
      <c r="G54" s="14"/>
      <c r="H54" s="15"/>
      <c r="I54" s="50">
        <v>0</v>
      </c>
      <c r="J54" s="15"/>
      <c r="K54" s="16">
        <f t="shared" si="5"/>
        <v>0</v>
      </c>
    </row>
    <row r="55" spans="1:11" ht="18" customHeight="1">
      <c r="A55" s="5" t="s">
        <v>94</v>
      </c>
      <c r="B55" s="642"/>
      <c r="C55" s="643"/>
      <c r="D55" s="644"/>
      <c r="F55" s="14"/>
      <c r="G55" s="14"/>
      <c r="H55" s="15"/>
      <c r="I55" s="50">
        <v>0</v>
      </c>
      <c r="J55" s="15"/>
      <c r="K55" s="16">
        <f t="shared" si="5"/>
        <v>0</v>
      </c>
    </row>
    <row r="56" spans="1:11" ht="18" customHeight="1">
      <c r="A56" s="5" t="s">
        <v>95</v>
      </c>
      <c r="B56" s="642"/>
      <c r="C56" s="643"/>
      <c r="D56" s="644"/>
      <c r="F56" s="14"/>
      <c r="G56" s="14"/>
      <c r="H56" s="15"/>
      <c r="I56" s="50">
        <v>0</v>
      </c>
      <c r="J56" s="15"/>
      <c r="K56" s="16">
        <f t="shared" si="5"/>
        <v>0</v>
      </c>
    </row>
    <row r="57" spans="1:11" ht="18" customHeight="1">
      <c r="A57" s="5" t="s">
        <v>96</v>
      </c>
      <c r="B57" s="642"/>
      <c r="C57" s="643"/>
      <c r="D57" s="644"/>
      <c r="F57" s="14"/>
      <c r="G57" s="14"/>
      <c r="H57" s="15"/>
      <c r="I57" s="50">
        <v>0</v>
      </c>
      <c r="J57" s="15"/>
      <c r="K57" s="16">
        <f t="shared" si="5"/>
        <v>0</v>
      </c>
    </row>
    <row r="58" spans="1:11" ht="18" customHeight="1">
      <c r="A58" s="5" t="s">
        <v>97</v>
      </c>
      <c r="B58" s="338"/>
      <c r="C58" s="339"/>
      <c r="D58" s="340"/>
      <c r="F58" s="14"/>
      <c r="G58" s="14"/>
      <c r="H58" s="15"/>
      <c r="I58" s="50">
        <v>0</v>
      </c>
      <c r="J58" s="15"/>
      <c r="K58" s="16">
        <f t="shared" si="5"/>
        <v>0</v>
      </c>
    </row>
    <row r="59" spans="1:11" ht="18" customHeight="1">
      <c r="A59" s="5" t="s">
        <v>98</v>
      </c>
      <c r="B59" s="642"/>
      <c r="C59" s="643"/>
      <c r="D59" s="644"/>
      <c r="F59" s="14"/>
      <c r="G59" s="14"/>
      <c r="H59" s="15"/>
      <c r="I59" s="50">
        <v>0</v>
      </c>
      <c r="J59" s="15"/>
      <c r="K59" s="16">
        <f t="shared" si="5"/>
        <v>0</v>
      </c>
    </row>
    <row r="60" spans="1:11" ht="18" customHeight="1">
      <c r="A60" s="5" t="s">
        <v>99</v>
      </c>
      <c r="B60" s="338"/>
      <c r="C60" s="339"/>
      <c r="D60" s="340"/>
      <c r="F60" s="14"/>
      <c r="G60" s="14"/>
      <c r="H60" s="15"/>
      <c r="I60" s="50">
        <v>0</v>
      </c>
      <c r="J60" s="15"/>
      <c r="K60" s="16">
        <f t="shared" si="5"/>
        <v>0</v>
      </c>
    </row>
    <row r="61" spans="1:11" ht="18" customHeight="1">
      <c r="A61" s="5" t="s">
        <v>100</v>
      </c>
      <c r="B61" s="338"/>
      <c r="C61" s="339"/>
      <c r="D61" s="340"/>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0</v>
      </c>
      <c r="G64" s="18">
        <f t="shared" si="6"/>
        <v>0</v>
      </c>
      <c r="H64" s="16">
        <f t="shared" si="6"/>
        <v>0</v>
      </c>
      <c r="I64" s="16">
        <f t="shared" si="6"/>
        <v>0</v>
      </c>
      <c r="J64" s="16">
        <f t="shared" si="6"/>
        <v>0</v>
      </c>
      <c r="K64" s="16">
        <f t="shared" si="6"/>
        <v>0</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v>0</v>
      </c>
      <c r="G68" s="51"/>
      <c r="H68" s="51">
        <v>0</v>
      </c>
      <c r="I68" s="50">
        <v>0</v>
      </c>
      <c r="J68" s="51"/>
      <c r="K68" s="16">
        <f>(H68+I68)-J68</f>
        <v>0</v>
      </c>
    </row>
    <row r="69" spans="1:11" ht="18" customHeight="1">
      <c r="A69" s="5" t="s">
        <v>104</v>
      </c>
      <c r="B69" s="341" t="s">
        <v>53</v>
      </c>
      <c r="F69" s="51">
        <v>0</v>
      </c>
      <c r="G69" s="51"/>
      <c r="H69" s="51">
        <v>0</v>
      </c>
      <c r="I69" s="50">
        <v>0</v>
      </c>
      <c r="J69" s="51"/>
      <c r="K69" s="16">
        <f>(H69+I69)-J69</f>
        <v>0</v>
      </c>
    </row>
    <row r="70" spans="1:11" ht="18" customHeight="1">
      <c r="A70" s="5" t="s">
        <v>178</v>
      </c>
      <c r="B70" s="338"/>
      <c r="C70" s="339"/>
      <c r="D70" s="340"/>
      <c r="E70" s="2"/>
      <c r="F70" s="35"/>
      <c r="G70" s="35"/>
      <c r="H70" s="36"/>
      <c r="I70" s="50">
        <v>0</v>
      </c>
      <c r="J70" s="36"/>
      <c r="K70" s="16">
        <f>(H70+I70)-J70</f>
        <v>0</v>
      </c>
    </row>
    <row r="71" spans="1:11" ht="18" customHeight="1">
      <c r="A71" s="5" t="s">
        <v>179</v>
      </c>
      <c r="B71" s="338"/>
      <c r="C71" s="339"/>
      <c r="D71" s="340"/>
      <c r="E71" s="2"/>
      <c r="F71" s="35"/>
      <c r="G71" s="35"/>
      <c r="H71" s="36"/>
      <c r="I71" s="50">
        <v>0</v>
      </c>
      <c r="J71" s="36"/>
      <c r="K71" s="16">
        <f>(H71+I71)-J71</f>
        <v>0</v>
      </c>
    </row>
    <row r="72" spans="1:11" ht="18" customHeight="1">
      <c r="A72" s="5" t="s">
        <v>180</v>
      </c>
      <c r="B72" s="344"/>
      <c r="C72" s="345"/>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0</v>
      </c>
      <c r="I74" s="53">
        <f t="shared" si="7"/>
        <v>0</v>
      </c>
      <c r="J74" s="21">
        <f t="shared" si="7"/>
        <v>0</v>
      </c>
      <c r="K74" s="17">
        <f t="shared" si="7"/>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v>575</v>
      </c>
      <c r="I77" s="50">
        <v>0</v>
      </c>
      <c r="J77" s="15"/>
      <c r="K77" s="16">
        <f>(H77+I77)-J77</f>
        <v>575</v>
      </c>
    </row>
    <row r="78" spans="1:11" ht="18" customHeight="1">
      <c r="A78" s="5" t="s">
        <v>108</v>
      </c>
      <c r="B78" s="341" t="s">
        <v>55</v>
      </c>
      <c r="F78" s="14"/>
      <c r="G78" s="14"/>
      <c r="H78" s="15"/>
      <c r="I78" s="50">
        <v>0</v>
      </c>
      <c r="J78" s="15"/>
      <c r="K78" s="16">
        <f>(H78+I78)-J78</f>
        <v>0</v>
      </c>
    </row>
    <row r="79" spans="1:11" ht="18" customHeight="1">
      <c r="A79" s="5" t="s">
        <v>109</v>
      </c>
      <c r="B79" s="341" t="s">
        <v>13</v>
      </c>
      <c r="F79" s="14"/>
      <c r="G79" s="14"/>
      <c r="H79" s="15"/>
      <c r="I79" s="50">
        <v>0</v>
      </c>
      <c r="J79" s="15"/>
      <c r="K79" s="16">
        <f>(H79+I79)-J79</f>
        <v>0</v>
      </c>
    </row>
    <row r="80" spans="1:11" ht="18" customHeight="1">
      <c r="A80" s="5" t="s">
        <v>110</v>
      </c>
      <c r="B80" s="341" t="s">
        <v>56</v>
      </c>
      <c r="F80" s="14">
        <v>800</v>
      </c>
      <c r="G80" s="14"/>
      <c r="H80" s="15">
        <v>12000</v>
      </c>
      <c r="I80" s="50">
        <v>0</v>
      </c>
      <c r="J80" s="15"/>
      <c r="K80" s="16">
        <f>(H80+I80)-J80</f>
        <v>12000</v>
      </c>
    </row>
    <row r="81" spans="1:11" ht="18" customHeight="1">
      <c r="A81" s="5"/>
      <c r="K81" s="40"/>
    </row>
    <row r="82" spans="1:11" ht="18" customHeight="1">
      <c r="A82" s="5" t="s">
        <v>148</v>
      </c>
      <c r="B82" s="2" t="s">
        <v>149</v>
      </c>
      <c r="E82" s="2" t="s">
        <v>7</v>
      </c>
      <c r="F82" s="21">
        <f t="shared" ref="F82:K82" si="8">SUM(F77:F80)</f>
        <v>800</v>
      </c>
      <c r="G82" s="21">
        <f t="shared" si="8"/>
        <v>0</v>
      </c>
      <c r="H82" s="17">
        <f t="shared" si="8"/>
        <v>12575</v>
      </c>
      <c r="I82" s="17">
        <f t="shared" si="8"/>
        <v>0</v>
      </c>
      <c r="J82" s="17">
        <f t="shared" si="8"/>
        <v>0</v>
      </c>
      <c r="K82" s="17">
        <f t="shared" si="8"/>
        <v>12575</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14"/>
      <c r="G87" s="14"/>
      <c r="H87" s="15"/>
      <c r="I87" s="50">
        <f t="shared" si="9"/>
        <v>0</v>
      </c>
      <c r="J87" s="15"/>
      <c r="K87" s="16">
        <f t="shared" si="10"/>
        <v>0</v>
      </c>
    </row>
    <row r="88" spans="1:11" ht="18" customHeight="1">
      <c r="A88" s="5" t="s">
        <v>115</v>
      </c>
      <c r="B88" s="341" t="s">
        <v>116</v>
      </c>
      <c r="F88" s="14">
        <v>27</v>
      </c>
      <c r="G88" s="14">
        <v>8</v>
      </c>
      <c r="H88" s="15">
        <v>1132</v>
      </c>
      <c r="I88" s="50">
        <f t="shared" si="9"/>
        <v>846.73599999999999</v>
      </c>
      <c r="J88" s="15"/>
      <c r="K88" s="16">
        <f t="shared" si="10"/>
        <v>1978.7359999999999</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v>26</v>
      </c>
      <c r="G91" s="14">
        <v>16</v>
      </c>
      <c r="H91" s="15">
        <v>828</v>
      </c>
      <c r="I91" s="50">
        <f t="shared" si="9"/>
        <v>619.34400000000005</v>
      </c>
      <c r="J91" s="15"/>
      <c r="K91" s="16">
        <f t="shared" si="10"/>
        <v>1447.3440000000001</v>
      </c>
    </row>
    <row r="92" spans="1:11" ht="18" customHeight="1">
      <c r="A92" s="5" t="s">
        <v>120</v>
      </c>
      <c r="B92" s="341" t="s">
        <v>121</v>
      </c>
      <c r="F92" s="38"/>
      <c r="G92" s="38"/>
      <c r="H92" s="39"/>
      <c r="I92" s="50">
        <f t="shared" si="9"/>
        <v>0</v>
      </c>
      <c r="J92" s="39"/>
      <c r="K92" s="16">
        <f t="shared" si="10"/>
        <v>0</v>
      </c>
    </row>
    <row r="93" spans="1:11" ht="18" customHeight="1">
      <c r="A93" s="5" t="s">
        <v>122</v>
      </c>
      <c r="B93" s="341" t="s">
        <v>123</v>
      </c>
      <c r="F93" s="14"/>
      <c r="G93" s="14"/>
      <c r="H93" s="15"/>
      <c r="I93" s="50">
        <f t="shared" si="9"/>
        <v>0</v>
      </c>
      <c r="J93" s="15"/>
      <c r="K93" s="16">
        <f t="shared" si="10"/>
        <v>0</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53</v>
      </c>
      <c r="G98" s="18">
        <f t="shared" si="11"/>
        <v>24</v>
      </c>
      <c r="H98" s="18">
        <f t="shared" si="11"/>
        <v>1960</v>
      </c>
      <c r="I98" s="18">
        <f t="shared" si="11"/>
        <v>1466.08</v>
      </c>
      <c r="J98" s="18">
        <f t="shared" si="11"/>
        <v>0</v>
      </c>
      <c r="K98" s="18">
        <f t="shared" si="11"/>
        <v>3426.08</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30</v>
      </c>
      <c r="G102" s="14"/>
      <c r="H102" s="15">
        <v>840</v>
      </c>
      <c r="I102" s="50">
        <f>H102*F$114</f>
        <v>628.32000000000005</v>
      </c>
      <c r="J102" s="15"/>
      <c r="K102" s="16">
        <f>(H102+I102)-J102</f>
        <v>1468.3200000000002</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30</v>
      </c>
      <c r="G108" s="18">
        <f t="shared" si="12"/>
        <v>0</v>
      </c>
      <c r="H108" s="16">
        <f t="shared" si="12"/>
        <v>840</v>
      </c>
      <c r="I108" s="16">
        <f t="shared" si="12"/>
        <v>628.32000000000005</v>
      </c>
      <c r="J108" s="16">
        <f t="shared" si="12"/>
        <v>0</v>
      </c>
      <c r="K108" s="16">
        <f t="shared" si="12"/>
        <v>1468.3200000000002</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572384</v>
      </c>
    </row>
    <row r="112" spans="1:11" ht="18" customHeight="1">
      <c r="B112" s="2"/>
      <c r="E112" s="2"/>
      <c r="F112" s="22"/>
    </row>
    <row r="113" spans="1:6" ht="18" customHeight="1">
      <c r="A113" s="6"/>
      <c r="B113" s="2" t="s">
        <v>15</v>
      </c>
    </row>
    <row r="114" spans="1:6" ht="18" customHeight="1">
      <c r="A114" s="5" t="s">
        <v>171</v>
      </c>
      <c r="B114" s="341" t="s">
        <v>35</v>
      </c>
      <c r="F114" s="25">
        <v>0.748</v>
      </c>
    </row>
    <row r="115" spans="1:6" ht="18" customHeight="1">
      <c r="A115" s="5"/>
      <c r="B115" s="2"/>
    </row>
    <row r="116" spans="1:6" ht="18" customHeight="1">
      <c r="A116" s="5" t="s">
        <v>170</v>
      </c>
      <c r="B116" s="2" t="s">
        <v>16</v>
      </c>
    </row>
    <row r="117" spans="1:6" ht="18" customHeight="1">
      <c r="A117" s="5" t="s">
        <v>172</v>
      </c>
      <c r="B117" s="341" t="s">
        <v>17</v>
      </c>
      <c r="F117" s="15">
        <v>15106803</v>
      </c>
    </row>
    <row r="118" spans="1:6" ht="18" customHeight="1">
      <c r="A118" s="5" t="s">
        <v>173</v>
      </c>
      <c r="B118" t="s">
        <v>18</v>
      </c>
      <c r="F118" s="15">
        <v>75565</v>
      </c>
    </row>
    <row r="119" spans="1:6" ht="18" customHeight="1">
      <c r="A119" s="5" t="s">
        <v>174</v>
      </c>
      <c r="B119" s="2" t="s">
        <v>19</v>
      </c>
      <c r="F119" s="17">
        <f>SUM(F117:F118)</f>
        <v>15182368</v>
      </c>
    </row>
    <row r="120" spans="1:6" ht="18" customHeight="1">
      <c r="A120" s="5"/>
      <c r="B120" s="2"/>
    </row>
    <row r="121" spans="1:6" ht="18" customHeight="1">
      <c r="A121" s="5" t="s">
        <v>167</v>
      </c>
      <c r="B121" s="2" t="s">
        <v>36</v>
      </c>
      <c r="F121" s="15">
        <v>14682491</v>
      </c>
    </row>
    <row r="122" spans="1:6" ht="18" customHeight="1">
      <c r="A122" s="5"/>
    </row>
    <row r="123" spans="1:6" ht="18" customHeight="1">
      <c r="A123" s="5" t="s">
        <v>175</v>
      </c>
      <c r="B123" s="2" t="s">
        <v>20</v>
      </c>
      <c r="F123" s="15">
        <v>499877</v>
      </c>
    </row>
    <row r="124" spans="1:6" ht="18" customHeight="1">
      <c r="A124" s="5"/>
    </row>
    <row r="125" spans="1:6" ht="18" customHeight="1">
      <c r="A125" s="5" t="s">
        <v>176</v>
      </c>
      <c r="B125" s="2" t="s">
        <v>21</v>
      </c>
      <c r="F125" s="15">
        <v>1371461</v>
      </c>
    </row>
    <row r="126" spans="1:6" ht="18" customHeight="1">
      <c r="A126" s="5"/>
    </row>
    <row r="127" spans="1:6" ht="18" customHeight="1">
      <c r="A127" s="5" t="s">
        <v>177</v>
      </c>
      <c r="B127" s="2" t="s">
        <v>22</v>
      </c>
      <c r="F127" s="15">
        <v>1871338</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v>0</v>
      </c>
      <c r="G131" s="14"/>
      <c r="H131" s="15">
        <v>0</v>
      </c>
      <c r="I131" s="50">
        <v>0</v>
      </c>
      <c r="J131" s="15"/>
      <c r="K131" s="16">
        <f>(H131+I131)-J131</f>
        <v>0</v>
      </c>
    </row>
    <row r="132" spans="1:11" ht="18" customHeight="1">
      <c r="A132" s="5" t="s">
        <v>159</v>
      </c>
      <c r="B132" t="s">
        <v>25</v>
      </c>
      <c r="F132" s="14">
        <v>0</v>
      </c>
      <c r="G132" s="14"/>
      <c r="H132" s="15">
        <v>0</v>
      </c>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1817</v>
      </c>
      <c r="G141" s="41">
        <f t="shared" si="14"/>
        <v>3113</v>
      </c>
      <c r="H141" s="41">
        <f t="shared" si="14"/>
        <v>40731</v>
      </c>
      <c r="I141" s="41">
        <f t="shared" si="14"/>
        <v>30466.788</v>
      </c>
      <c r="J141" s="41">
        <f t="shared" si="14"/>
        <v>0</v>
      </c>
      <c r="K141" s="41">
        <f t="shared" si="14"/>
        <v>71197.788</v>
      </c>
    </row>
    <row r="142" spans="1:11" ht="18" customHeight="1">
      <c r="A142" s="5" t="s">
        <v>142</v>
      </c>
      <c r="B142" s="2" t="s">
        <v>65</v>
      </c>
      <c r="F142" s="41">
        <f t="shared" ref="F142:K142" si="15">F49</f>
        <v>662</v>
      </c>
      <c r="G142" s="41">
        <f t="shared" si="15"/>
        <v>28</v>
      </c>
      <c r="H142" s="41">
        <f t="shared" si="15"/>
        <v>31208</v>
      </c>
      <c r="I142" s="41">
        <f t="shared" si="15"/>
        <v>0</v>
      </c>
      <c r="J142" s="41">
        <f t="shared" si="15"/>
        <v>0</v>
      </c>
      <c r="K142" s="41">
        <f t="shared" si="15"/>
        <v>31208</v>
      </c>
    </row>
    <row r="143" spans="1:11" ht="18" customHeight="1">
      <c r="A143" s="5" t="s">
        <v>144</v>
      </c>
      <c r="B143" s="2" t="s">
        <v>66</v>
      </c>
      <c r="F143" s="41">
        <f t="shared" ref="F143:K143" si="16">F64</f>
        <v>0</v>
      </c>
      <c r="G143" s="41">
        <f t="shared" si="16"/>
        <v>0</v>
      </c>
      <c r="H143" s="41">
        <f t="shared" si="16"/>
        <v>0</v>
      </c>
      <c r="I143" s="41">
        <f t="shared" si="16"/>
        <v>0</v>
      </c>
      <c r="J143" s="41">
        <f t="shared" si="16"/>
        <v>0</v>
      </c>
      <c r="K143" s="41">
        <f t="shared" si="16"/>
        <v>0</v>
      </c>
    </row>
    <row r="144" spans="1:11" ht="18" customHeight="1">
      <c r="A144" s="5" t="s">
        <v>146</v>
      </c>
      <c r="B144" s="2" t="s">
        <v>67</v>
      </c>
      <c r="F144" s="41">
        <f t="shared" ref="F144:K144" si="17">F74</f>
        <v>0</v>
      </c>
      <c r="G144" s="41">
        <f t="shared" si="17"/>
        <v>0</v>
      </c>
      <c r="H144" s="41">
        <f t="shared" si="17"/>
        <v>0</v>
      </c>
      <c r="I144" s="41">
        <f t="shared" si="17"/>
        <v>0</v>
      </c>
      <c r="J144" s="41">
        <f t="shared" si="17"/>
        <v>0</v>
      </c>
      <c r="K144" s="41">
        <f t="shared" si="17"/>
        <v>0</v>
      </c>
    </row>
    <row r="145" spans="1:11" ht="18" customHeight="1">
      <c r="A145" s="5" t="s">
        <v>148</v>
      </c>
      <c r="B145" s="2" t="s">
        <v>68</v>
      </c>
      <c r="F145" s="41">
        <f t="shared" ref="F145:K145" si="18">F82</f>
        <v>800</v>
      </c>
      <c r="G145" s="41">
        <f t="shared" si="18"/>
        <v>0</v>
      </c>
      <c r="H145" s="41">
        <f t="shared" si="18"/>
        <v>12575</v>
      </c>
      <c r="I145" s="41">
        <f t="shared" si="18"/>
        <v>0</v>
      </c>
      <c r="J145" s="41">
        <f t="shared" si="18"/>
        <v>0</v>
      </c>
      <c r="K145" s="41">
        <f t="shared" si="18"/>
        <v>12575</v>
      </c>
    </row>
    <row r="146" spans="1:11" ht="18" customHeight="1">
      <c r="A146" s="5" t="s">
        <v>150</v>
      </c>
      <c r="B146" s="2" t="s">
        <v>69</v>
      </c>
      <c r="F146" s="41">
        <f t="shared" ref="F146:K146" si="19">F98</f>
        <v>53</v>
      </c>
      <c r="G146" s="41">
        <f t="shared" si="19"/>
        <v>24</v>
      </c>
      <c r="H146" s="41">
        <f t="shared" si="19"/>
        <v>1960</v>
      </c>
      <c r="I146" s="41">
        <f t="shared" si="19"/>
        <v>1466.08</v>
      </c>
      <c r="J146" s="41">
        <f t="shared" si="19"/>
        <v>0</v>
      </c>
      <c r="K146" s="41">
        <f t="shared" si="19"/>
        <v>3426.08</v>
      </c>
    </row>
    <row r="147" spans="1:11" ht="18" customHeight="1">
      <c r="A147" s="5" t="s">
        <v>153</v>
      </c>
      <c r="B147" s="2" t="s">
        <v>61</v>
      </c>
      <c r="F147" s="18">
        <f t="shared" ref="F147:K147" si="20">F108</f>
        <v>30</v>
      </c>
      <c r="G147" s="18">
        <f t="shared" si="20"/>
        <v>0</v>
      </c>
      <c r="H147" s="18">
        <f t="shared" si="20"/>
        <v>840</v>
      </c>
      <c r="I147" s="18">
        <f t="shared" si="20"/>
        <v>628.32000000000005</v>
      </c>
      <c r="J147" s="18">
        <f t="shared" si="20"/>
        <v>0</v>
      </c>
      <c r="K147" s="18">
        <f t="shared" si="20"/>
        <v>1468.3200000000002</v>
      </c>
    </row>
    <row r="148" spans="1:11" ht="18" customHeight="1">
      <c r="A148" s="5" t="s">
        <v>155</v>
      </c>
      <c r="B148" s="2" t="s">
        <v>70</v>
      </c>
      <c r="F148" s="42" t="s">
        <v>73</v>
      </c>
      <c r="G148" s="42" t="s">
        <v>73</v>
      </c>
      <c r="H148" s="43" t="s">
        <v>73</v>
      </c>
      <c r="I148" s="43" t="s">
        <v>73</v>
      </c>
      <c r="J148" s="43" t="s">
        <v>73</v>
      </c>
      <c r="K148" s="37">
        <f>F111</f>
        <v>572384</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454983</v>
      </c>
      <c r="I150" s="18">
        <f>I18</f>
        <v>0</v>
      </c>
      <c r="J150" s="18">
        <f>J18</f>
        <v>389067</v>
      </c>
      <c r="K150" s="18">
        <f>K18</f>
        <v>65916</v>
      </c>
    </row>
    <row r="151" spans="1:11" ht="18" customHeight="1">
      <c r="B151" s="2"/>
      <c r="F151" s="48"/>
      <c r="G151" s="48"/>
      <c r="H151" s="48"/>
      <c r="I151" s="48"/>
      <c r="J151" s="48"/>
      <c r="K151" s="48"/>
    </row>
    <row r="152" spans="1:11" ht="18" customHeight="1">
      <c r="A152" s="6" t="s">
        <v>165</v>
      </c>
      <c r="B152" s="2" t="s">
        <v>26</v>
      </c>
      <c r="F152" s="49">
        <f t="shared" ref="F152:K152" si="22">SUM(F141:F150)</f>
        <v>3362</v>
      </c>
      <c r="G152" s="49">
        <f t="shared" si="22"/>
        <v>3165</v>
      </c>
      <c r="H152" s="49">
        <f t="shared" si="22"/>
        <v>542297</v>
      </c>
      <c r="I152" s="49">
        <f t="shared" si="22"/>
        <v>32561.188000000002</v>
      </c>
      <c r="J152" s="49">
        <f t="shared" si="22"/>
        <v>389067</v>
      </c>
      <c r="K152" s="49">
        <f t="shared" si="22"/>
        <v>758175.18799999997</v>
      </c>
    </row>
    <row r="154" spans="1:11" ht="18" customHeight="1">
      <c r="A154" s="6" t="s">
        <v>168</v>
      </c>
      <c r="B154" s="2" t="s">
        <v>28</v>
      </c>
      <c r="F154" s="348">
        <f>K152/F121</f>
        <v>5.1638048884211814E-2</v>
      </c>
    </row>
    <row r="155" spans="1:11" ht="18" customHeight="1">
      <c r="A155" s="6" t="s">
        <v>169</v>
      </c>
      <c r="B155" s="2" t="s">
        <v>72</v>
      </c>
      <c r="F155" s="348">
        <f>K152/F127</f>
        <v>0.40515138793740091</v>
      </c>
      <c r="G155" s="2"/>
    </row>
    <row r="156" spans="1:11" ht="18" customHeight="1">
      <c r="G156" s="2"/>
    </row>
  </sheetData>
  <sheetProtection password="EF72" sheet="1" objects="1" scenarios="1"/>
  <mergeCells count="34">
    <mergeCell ref="B106:D106"/>
    <mergeCell ref="B133:D133"/>
    <mergeCell ref="B134:D134"/>
    <mergeCell ref="B135:D135"/>
    <mergeCell ref="B94:D94"/>
    <mergeCell ref="B95:D95"/>
    <mergeCell ref="B96:D96"/>
    <mergeCell ref="B103:C103"/>
    <mergeCell ref="B104:D104"/>
    <mergeCell ref="B105:D105"/>
    <mergeCell ref="B90:C90"/>
    <mergeCell ref="B44:D44"/>
    <mergeCell ref="B45:D45"/>
    <mergeCell ref="B46:D46"/>
    <mergeCell ref="B47:D47"/>
    <mergeCell ref="B52:C52"/>
    <mergeCell ref="B53:D53"/>
    <mergeCell ref="B55:D55"/>
    <mergeCell ref="B56:D56"/>
    <mergeCell ref="B57:D57"/>
    <mergeCell ref="B59:D59"/>
    <mergeCell ref="B62:D62"/>
    <mergeCell ref="B41:C41"/>
    <mergeCell ref="D2:H2"/>
    <mergeCell ref="C5:G5"/>
    <mergeCell ref="C6:G6"/>
    <mergeCell ref="C7:G7"/>
    <mergeCell ref="C9:G9"/>
    <mergeCell ref="C10:G10"/>
    <mergeCell ref="C11:G11"/>
    <mergeCell ref="B13:H13"/>
    <mergeCell ref="B30:D30"/>
    <mergeCell ref="B31:D31"/>
    <mergeCell ref="B34:D34"/>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145" zoomScale="90" zoomScaleNormal="90" zoomScaleSheetLayoutView="70" workbookViewId="0">
      <selection activeCell="F127" sqref="F127"/>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550</v>
      </c>
      <c r="D5" s="654"/>
      <c r="E5" s="654"/>
      <c r="F5" s="654"/>
      <c r="G5" s="655"/>
    </row>
    <row r="6" spans="1:11" ht="18" customHeight="1">
      <c r="B6" s="5" t="s">
        <v>3</v>
      </c>
      <c r="C6" s="671" t="s">
        <v>551</v>
      </c>
      <c r="D6" s="657"/>
      <c r="E6" s="657"/>
      <c r="F6" s="657"/>
      <c r="G6" s="658"/>
    </row>
    <row r="7" spans="1:11" ht="18" customHeight="1">
      <c r="B7" s="5" t="s">
        <v>4</v>
      </c>
      <c r="C7" s="659">
        <v>1671</v>
      </c>
      <c r="D7" s="660"/>
      <c r="E7" s="660"/>
      <c r="F7" s="660"/>
      <c r="G7" s="661"/>
    </row>
    <row r="9" spans="1:11" ht="18" customHeight="1">
      <c r="B9" s="5" t="s">
        <v>1</v>
      </c>
      <c r="C9" s="670" t="s">
        <v>552</v>
      </c>
      <c r="D9" s="654"/>
      <c r="E9" s="654"/>
      <c r="F9" s="654"/>
      <c r="G9" s="655"/>
    </row>
    <row r="10" spans="1:11" ht="18" customHeight="1">
      <c r="B10" s="5" t="s">
        <v>2</v>
      </c>
      <c r="C10" s="674" t="s">
        <v>553</v>
      </c>
      <c r="D10" s="663"/>
      <c r="E10" s="663"/>
      <c r="F10" s="663"/>
      <c r="G10" s="664"/>
    </row>
    <row r="11" spans="1:11" ht="18" customHeight="1">
      <c r="B11" s="5" t="s">
        <v>32</v>
      </c>
      <c r="C11" s="670" t="s">
        <v>554</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1039787</v>
      </c>
      <c r="I18" s="15">
        <v>0</v>
      </c>
      <c r="J18" s="15">
        <v>0</v>
      </c>
      <c r="K18" s="16">
        <f>(H18+I18)-J18</f>
        <v>1039787</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10893</v>
      </c>
      <c r="G21" s="14">
        <v>925834</v>
      </c>
      <c r="H21" s="15">
        <v>1042845.5266205251</v>
      </c>
      <c r="I21" s="50">
        <f t="shared" ref="I21:I34" si="0">H21*F$114</f>
        <v>743701.06350779894</v>
      </c>
      <c r="J21" s="15">
        <v>310246</v>
      </c>
      <c r="K21" s="16">
        <f t="shared" ref="K21:K34" si="1">(H21+I21)-J21</f>
        <v>1476300.590128324</v>
      </c>
    </row>
    <row r="22" spans="1:11" ht="18" customHeight="1">
      <c r="A22" s="5" t="s">
        <v>76</v>
      </c>
      <c r="B22" t="s">
        <v>6</v>
      </c>
      <c r="F22" s="14">
        <v>384</v>
      </c>
      <c r="G22" s="14">
        <v>1212</v>
      </c>
      <c r="H22" s="15">
        <v>23976.850529402538</v>
      </c>
      <c r="I22" s="50">
        <f t="shared" si="0"/>
        <v>17098.99384242441</v>
      </c>
      <c r="J22" s="15">
        <v>0</v>
      </c>
      <c r="K22" s="16">
        <f t="shared" si="1"/>
        <v>41075.844371826948</v>
      </c>
    </row>
    <row r="23" spans="1:11" ht="18" customHeight="1">
      <c r="A23" s="5" t="s">
        <v>77</v>
      </c>
      <c r="B23" t="s">
        <v>43</v>
      </c>
      <c r="F23" s="14">
        <v>243</v>
      </c>
      <c r="G23" s="14">
        <v>386</v>
      </c>
      <c r="H23" s="15">
        <v>18420</v>
      </c>
      <c r="I23" s="50">
        <f t="shared" si="0"/>
        <v>13136.148394102951</v>
      </c>
      <c r="J23" s="15">
        <v>8006</v>
      </c>
      <c r="K23" s="16">
        <f t="shared" si="1"/>
        <v>23550.148394102951</v>
      </c>
    </row>
    <row r="24" spans="1:11" ht="18" customHeight="1">
      <c r="A24" s="5" t="s">
        <v>78</v>
      </c>
      <c r="B24" t="s">
        <v>44</v>
      </c>
      <c r="F24" s="14"/>
      <c r="G24" s="14"/>
      <c r="H24" s="15"/>
      <c r="I24" s="50">
        <f t="shared" si="0"/>
        <v>0</v>
      </c>
      <c r="J24" s="15"/>
      <c r="K24" s="16">
        <f t="shared" si="1"/>
        <v>0</v>
      </c>
    </row>
    <row r="25" spans="1:11" ht="18" customHeight="1">
      <c r="A25" s="5" t="s">
        <v>79</v>
      </c>
      <c r="B25" t="s">
        <v>5</v>
      </c>
      <c r="F25" s="14">
        <v>3480</v>
      </c>
      <c r="G25" s="14">
        <v>5496</v>
      </c>
      <c r="H25" s="15">
        <v>263117.29362118943</v>
      </c>
      <c r="I25" s="50">
        <f t="shared" si="0"/>
        <v>187641.03225096103</v>
      </c>
      <c r="J25" s="15">
        <v>114002</v>
      </c>
      <c r="K25" s="16">
        <f t="shared" si="1"/>
        <v>336756.32587215048</v>
      </c>
    </row>
    <row r="26" spans="1:11" ht="18" customHeight="1">
      <c r="A26" s="5" t="s">
        <v>80</v>
      </c>
      <c r="B26" t="s">
        <v>45</v>
      </c>
      <c r="F26" s="14">
        <v>6</v>
      </c>
      <c r="G26" s="14">
        <v>41</v>
      </c>
      <c r="H26" s="15">
        <v>1497.0718374656008</v>
      </c>
      <c r="I26" s="50">
        <f t="shared" si="0"/>
        <v>1067.6307173496475</v>
      </c>
      <c r="J26" s="15">
        <v>0</v>
      </c>
      <c r="K26" s="16">
        <f t="shared" si="1"/>
        <v>2564.7025548152483</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0</v>
      </c>
      <c r="G29" s="14">
        <v>0</v>
      </c>
      <c r="H29" s="15">
        <v>477743</v>
      </c>
      <c r="I29" s="15">
        <v>142666.27353621519</v>
      </c>
      <c r="J29" s="15">
        <v>0</v>
      </c>
      <c r="K29" s="16">
        <f t="shared" si="1"/>
        <v>620409.27353621519</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335"/>
      <c r="C32" s="336"/>
      <c r="D32" s="337"/>
      <c r="F32" s="14"/>
      <c r="G32" s="342" t="s">
        <v>85</v>
      </c>
      <c r="H32" s="15"/>
      <c r="I32" s="50">
        <f t="shared" si="0"/>
        <v>0</v>
      </c>
      <c r="J32" s="15"/>
      <c r="K32" s="16">
        <f t="shared" si="1"/>
        <v>0</v>
      </c>
    </row>
    <row r="33" spans="1:11" ht="18" customHeight="1">
      <c r="A33" s="5" t="s">
        <v>135</v>
      </c>
      <c r="B33" s="335"/>
      <c r="C33" s="336"/>
      <c r="D33" s="337"/>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15006</v>
      </c>
      <c r="G36" s="18">
        <f t="shared" si="2"/>
        <v>932969</v>
      </c>
      <c r="H36" s="18">
        <f t="shared" si="2"/>
        <v>1827599.7426085826</v>
      </c>
      <c r="I36" s="16">
        <f t="shared" si="2"/>
        <v>1105311.1422488522</v>
      </c>
      <c r="J36" s="16">
        <f t="shared" si="2"/>
        <v>432254</v>
      </c>
      <c r="K36" s="16">
        <f t="shared" si="2"/>
        <v>2500656.8848574348</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v>0</v>
      </c>
      <c r="J40" s="15"/>
      <c r="K40" s="16">
        <f t="shared" ref="K40:K47" si="3">(H40+I40)-J40</f>
        <v>0</v>
      </c>
    </row>
    <row r="41" spans="1:11" ht="18" customHeight="1">
      <c r="A41" s="5" t="s">
        <v>88</v>
      </c>
      <c r="B41" s="641" t="s">
        <v>50</v>
      </c>
      <c r="C41" s="649"/>
      <c r="F41" s="14">
        <v>1272</v>
      </c>
      <c r="G41" s="14">
        <v>2</v>
      </c>
      <c r="H41" s="15">
        <v>71143.886406063248</v>
      </c>
      <c r="I41" s="50">
        <v>0</v>
      </c>
      <c r="J41" s="15">
        <v>0</v>
      </c>
      <c r="K41" s="16">
        <f t="shared" si="3"/>
        <v>71143.886406063248</v>
      </c>
    </row>
    <row r="42" spans="1:11" ht="18" customHeight="1">
      <c r="A42" s="5" t="s">
        <v>89</v>
      </c>
      <c r="B42" s="341" t="s">
        <v>11</v>
      </c>
      <c r="F42" s="14">
        <v>3328</v>
      </c>
      <c r="G42" s="14">
        <v>12</v>
      </c>
      <c r="H42" s="15">
        <v>149560.52841818205</v>
      </c>
      <c r="I42" s="50">
        <v>0</v>
      </c>
      <c r="J42" s="15">
        <v>0</v>
      </c>
      <c r="K42" s="16">
        <f t="shared" si="3"/>
        <v>149560.52841818205</v>
      </c>
    </row>
    <row r="43" spans="1:11" ht="18" customHeight="1">
      <c r="A43" s="5" t="s">
        <v>90</v>
      </c>
      <c r="B43" s="343" t="s">
        <v>10</v>
      </c>
      <c r="C43" s="10"/>
      <c r="D43" s="10"/>
      <c r="F43" s="14">
        <v>104</v>
      </c>
      <c r="G43" s="14">
        <v>0</v>
      </c>
      <c r="H43" s="15">
        <v>378543.0039989865</v>
      </c>
      <c r="I43" s="50">
        <v>0</v>
      </c>
      <c r="J43" s="15">
        <v>0</v>
      </c>
      <c r="K43" s="16">
        <f t="shared" si="3"/>
        <v>378543.0039989865</v>
      </c>
    </row>
    <row r="44" spans="1:11" ht="18" customHeight="1">
      <c r="A44" s="5" t="s">
        <v>91</v>
      </c>
      <c r="B44" s="650" t="s">
        <v>555</v>
      </c>
      <c r="C44" s="735"/>
      <c r="D44" s="736"/>
      <c r="F44" s="14">
        <v>300</v>
      </c>
      <c r="G44" s="14">
        <v>15000</v>
      </c>
      <c r="H44" s="15">
        <v>11127.214258060034</v>
      </c>
      <c r="I44" s="55">
        <v>0</v>
      </c>
      <c r="J44" s="15">
        <v>0</v>
      </c>
      <c r="K44" s="56">
        <f t="shared" si="3"/>
        <v>11127.214258060034</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5004</v>
      </c>
      <c r="G49" s="23">
        <f t="shared" si="4"/>
        <v>15014</v>
      </c>
      <c r="H49" s="16">
        <f t="shared" si="4"/>
        <v>610374.6330812918</v>
      </c>
      <c r="I49" s="16">
        <f t="shared" si="4"/>
        <v>0</v>
      </c>
      <c r="J49" s="16">
        <f t="shared" si="4"/>
        <v>0</v>
      </c>
      <c r="K49" s="16">
        <f t="shared" si="4"/>
        <v>610374.6330812918</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556</v>
      </c>
      <c r="C53" s="648"/>
      <c r="D53" s="644"/>
      <c r="F53" s="14"/>
      <c r="G53" s="14"/>
      <c r="H53" s="15">
        <v>1065622</v>
      </c>
      <c r="I53" s="50">
        <v>0</v>
      </c>
      <c r="J53" s="15">
        <v>0</v>
      </c>
      <c r="K53" s="16">
        <f t="shared" ref="K53:K62" si="5">(H53+I53)-J53</f>
        <v>1065622</v>
      </c>
    </row>
    <row r="54" spans="1:11" ht="18" customHeight="1">
      <c r="A54" s="5" t="s">
        <v>93</v>
      </c>
      <c r="B54" s="669" t="s">
        <v>557</v>
      </c>
      <c r="C54" s="648"/>
      <c r="D54" s="644"/>
      <c r="F54" s="14"/>
      <c r="G54" s="14"/>
      <c r="H54" s="15">
        <v>593591</v>
      </c>
      <c r="I54" s="50">
        <v>0</v>
      </c>
      <c r="J54" s="15">
        <v>0</v>
      </c>
      <c r="K54" s="16">
        <f t="shared" si="5"/>
        <v>593591</v>
      </c>
    </row>
    <row r="55" spans="1:11" ht="18" customHeight="1">
      <c r="A55" s="5" t="s">
        <v>94</v>
      </c>
      <c r="B55" s="669" t="s">
        <v>558</v>
      </c>
      <c r="C55" s="648"/>
      <c r="D55" s="644"/>
      <c r="F55" s="14"/>
      <c r="G55" s="14"/>
      <c r="H55" s="15">
        <v>200000</v>
      </c>
      <c r="I55" s="50">
        <v>0</v>
      </c>
      <c r="J55" s="15">
        <v>0</v>
      </c>
      <c r="K55" s="16">
        <f t="shared" si="5"/>
        <v>200000</v>
      </c>
    </row>
    <row r="56" spans="1:11" ht="18" customHeight="1">
      <c r="A56" s="5" t="s">
        <v>95</v>
      </c>
      <c r="B56" s="669" t="s">
        <v>559</v>
      </c>
      <c r="C56" s="648"/>
      <c r="D56" s="644"/>
      <c r="F56" s="14"/>
      <c r="G56" s="14"/>
      <c r="H56" s="15">
        <v>570996</v>
      </c>
      <c r="I56" s="50">
        <v>0</v>
      </c>
      <c r="J56" s="15">
        <v>0</v>
      </c>
      <c r="K56" s="16">
        <f t="shared" si="5"/>
        <v>570996</v>
      </c>
    </row>
    <row r="57" spans="1:11" ht="18" customHeight="1">
      <c r="A57" s="5" t="s">
        <v>96</v>
      </c>
      <c r="B57" s="669" t="s">
        <v>560</v>
      </c>
      <c r="C57" s="648"/>
      <c r="D57" s="644"/>
      <c r="F57" s="14"/>
      <c r="G57" s="14"/>
      <c r="H57" s="15">
        <v>1485800</v>
      </c>
      <c r="I57" s="50">
        <v>0</v>
      </c>
      <c r="J57" s="15">
        <v>0</v>
      </c>
      <c r="K57" s="16">
        <f t="shared" si="5"/>
        <v>1485800</v>
      </c>
    </row>
    <row r="58" spans="1:11" ht="18" customHeight="1">
      <c r="A58" s="5" t="s">
        <v>97</v>
      </c>
      <c r="B58" s="669" t="s">
        <v>561</v>
      </c>
      <c r="C58" s="648"/>
      <c r="D58" s="644"/>
      <c r="F58" s="14"/>
      <c r="G58" s="14"/>
      <c r="H58" s="15">
        <v>879963</v>
      </c>
      <c r="I58" s="50">
        <v>0</v>
      </c>
      <c r="J58" s="15">
        <v>0</v>
      </c>
      <c r="K58" s="16">
        <f t="shared" si="5"/>
        <v>879963</v>
      </c>
    </row>
    <row r="59" spans="1:11" ht="18" customHeight="1">
      <c r="A59" s="5" t="s">
        <v>98</v>
      </c>
      <c r="B59" s="669" t="s">
        <v>562</v>
      </c>
      <c r="C59" s="648"/>
      <c r="D59" s="644"/>
      <c r="F59" s="14"/>
      <c r="G59" s="14"/>
      <c r="H59" s="15">
        <v>151702</v>
      </c>
      <c r="I59" s="50">
        <v>0</v>
      </c>
      <c r="J59" s="15">
        <v>0</v>
      </c>
      <c r="K59" s="16">
        <f t="shared" si="5"/>
        <v>151702</v>
      </c>
    </row>
    <row r="60" spans="1:11" ht="18" customHeight="1">
      <c r="A60" s="5" t="s">
        <v>99</v>
      </c>
      <c r="B60" s="669" t="s">
        <v>563</v>
      </c>
      <c r="C60" s="648"/>
      <c r="D60" s="644"/>
      <c r="F60" s="14"/>
      <c r="G60" s="14"/>
      <c r="H60" s="15">
        <v>679813</v>
      </c>
      <c r="I60" s="50">
        <v>0</v>
      </c>
      <c r="J60" s="15">
        <v>0</v>
      </c>
      <c r="K60" s="16">
        <f t="shared" si="5"/>
        <v>679813</v>
      </c>
    </row>
    <row r="61" spans="1:11" ht="18" customHeight="1">
      <c r="A61" s="5" t="s">
        <v>100</v>
      </c>
      <c r="B61" s="669" t="s">
        <v>564</v>
      </c>
      <c r="C61" s="648"/>
      <c r="D61" s="644"/>
      <c r="F61" s="14"/>
      <c r="G61" s="14"/>
      <c r="H61" s="15">
        <v>3284429</v>
      </c>
      <c r="I61" s="50">
        <v>0</v>
      </c>
      <c r="J61" s="15">
        <v>0</v>
      </c>
      <c r="K61" s="16">
        <f t="shared" si="5"/>
        <v>3284429</v>
      </c>
    </row>
    <row r="62" spans="1:11" ht="18" customHeight="1">
      <c r="A62" s="5" t="s">
        <v>101</v>
      </c>
      <c r="B62" s="669" t="s">
        <v>565</v>
      </c>
      <c r="C62" s="648"/>
      <c r="D62" s="644"/>
      <c r="F62" s="14">
        <v>1872</v>
      </c>
      <c r="G62" s="14">
        <v>2803</v>
      </c>
      <c r="H62" s="15">
        <v>339601</v>
      </c>
      <c r="I62" s="50">
        <v>0</v>
      </c>
      <c r="J62" s="15">
        <v>0</v>
      </c>
      <c r="K62" s="16">
        <f t="shared" si="5"/>
        <v>339601</v>
      </c>
    </row>
    <row r="63" spans="1:11" ht="18" customHeight="1">
      <c r="A63" s="5"/>
      <c r="I63" s="46"/>
    </row>
    <row r="64" spans="1:11" ht="18" customHeight="1">
      <c r="A64" s="5" t="s">
        <v>144</v>
      </c>
      <c r="B64" s="2" t="s">
        <v>145</v>
      </c>
      <c r="E64" s="2" t="s">
        <v>7</v>
      </c>
      <c r="F64" s="18">
        <f t="shared" ref="F64:K64" si="6">SUM(F53:F62)</f>
        <v>1872</v>
      </c>
      <c r="G64" s="18">
        <f t="shared" si="6"/>
        <v>2803</v>
      </c>
      <c r="H64" s="16">
        <f t="shared" si="6"/>
        <v>9251517</v>
      </c>
      <c r="I64" s="16">
        <f t="shared" si="6"/>
        <v>0</v>
      </c>
      <c r="J64" s="16">
        <f t="shared" si="6"/>
        <v>0</v>
      </c>
      <c r="K64" s="16">
        <f t="shared" si="6"/>
        <v>9251517</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372">
        <v>0</v>
      </c>
      <c r="G68" s="372">
        <v>0</v>
      </c>
      <c r="H68" s="373">
        <v>206747</v>
      </c>
      <c r="I68" s="50">
        <v>0</v>
      </c>
      <c r="J68" s="373">
        <v>0</v>
      </c>
      <c r="K68" s="16">
        <f>(H68+I68)-J68</f>
        <v>206747</v>
      </c>
    </row>
    <row r="69" spans="1:11" ht="18" customHeight="1">
      <c r="A69" s="5" t="s">
        <v>104</v>
      </c>
      <c r="B69" s="341" t="s">
        <v>53</v>
      </c>
      <c r="F69" s="51"/>
      <c r="G69" s="51"/>
      <c r="H69" s="51"/>
      <c r="I69" s="50">
        <v>0</v>
      </c>
      <c r="J69" s="51"/>
      <c r="K69" s="16">
        <f>(H69+I69)-J69</f>
        <v>0</v>
      </c>
    </row>
    <row r="70" spans="1:11" ht="18" customHeight="1">
      <c r="A70" s="5" t="s">
        <v>178</v>
      </c>
      <c r="B70" s="346" t="s">
        <v>566</v>
      </c>
      <c r="C70" s="339"/>
      <c r="D70" s="340"/>
      <c r="E70" s="2"/>
      <c r="F70" s="35">
        <v>0</v>
      </c>
      <c r="G70" s="35">
        <v>0</v>
      </c>
      <c r="H70" s="36">
        <v>6660</v>
      </c>
      <c r="I70" s="50">
        <v>0</v>
      </c>
      <c r="J70" s="36">
        <v>0</v>
      </c>
      <c r="K70" s="16">
        <f>(H70+I70)-J70</f>
        <v>6660</v>
      </c>
    </row>
    <row r="71" spans="1:11" ht="18" customHeight="1">
      <c r="A71" s="5" t="s">
        <v>179</v>
      </c>
      <c r="B71" s="338"/>
      <c r="C71" s="339"/>
      <c r="D71" s="340"/>
      <c r="E71" s="2"/>
      <c r="F71" s="35"/>
      <c r="G71" s="35"/>
      <c r="H71" s="36"/>
      <c r="I71" s="50">
        <v>0</v>
      </c>
      <c r="J71" s="36"/>
      <c r="K71" s="16">
        <f>(H71+I71)-J71</f>
        <v>0</v>
      </c>
    </row>
    <row r="72" spans="1:11" ht="18" customHeight="1">
      <c r="A72" s="5" t="s">
        <v>180</v>
      </c>
      <c r="B72" s="344"/>
      <c r="C72" s="345"/>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213407</v>
      </c>
      <c r="I74" s="53">
        <f t="shared" si="7"/>
        <v>0</v>
      </c>
      <c r="J74" s="21">
        <f t="shared" si="7"/>
        <v>0</v>
      </c>
      <c r="K74" s="17">
        <f t="shared" si="7"/>
        <v>213407</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v>100</v>
      </c>
      <c r="G77" s="14">
        <v>20442</v>
      </c>
      <c r="H77" s="15">
        <v>356849.59140899731</v>
      </c>
      <c r="I77" s="50">
        <v>0</v>
      </c>
      <c r="J77" s="15">
        <v>0</v>
      </c>
      <c r="K77" s="16">
        <f>(H77+I77)-J77</f>
        <v>356849.59140899731</v>
      </c>
    </row>
    <row r="78" spans="1:11" ht="18" customHeight="1">
      <c r="A78" s="5" t="s">
        <v>108</v>
      </c>
      <c r="B78" s="341" t="s">
        <v>55</v>
      </c>
      <c r="F78" s="14"/>
      <c r="G78" s="14"/>
      <c r="H78" s="15"/>
      <c r="I78" s="50">
        <v>0</v>
      </c>
      <c r="J78" s="15"/>
      <c r="K78" s="16">
        <f>(H78+I78)-J78</f>
        <v>0</v>
      </c>
    </row>
    <row r="79" spans="1:11" ht="18" customHeight="1">
      <c r="A79" s="5" t="s">
        <v>109</v>
      </c>
      <c r="B79" s="341" t="s">
        <v>13</v>
      </c>
      <c r="F79" s="14">
        <v>545</v>
      </c>
      <c r="G79" s="14">
        <v>10955</v>
      </c>
      <c r="H79" s="15">
        <v>179277.14684352893</v>
      </c>
      <c r="I79" s="50">
        <v>0</v>
      </c>
      <c r="J79" s="15">
        <v>0</v>
      </c>
      <c r="K79" s="16">
        <f>(H79+I79)-J79</f>
        <v>179277.14684352893</v>
      </c>
    </row>
    <row r="80" spans="1:11" ht="18" customHeight="1">
      <c r="A80" s="5" t="s">
        <v>110</v>
      </c>
      <c r="B80" s="341" t="s">
        <v>56</v>
      </c>
      <c r="F80" s="14">
        <v>0</v>
      </c>
      <c r="G80" s="14">
        <v>0</v>
      </c>
      <c r="H80" s="15">
        <v>250000</v>
      </c>
      <c r="I80" s="50">
        <v>50987.396557161344</v>
      </c>
      <c r="J80" s="15">
        <v>0</v>
      </c>
      <c r="K80" s="16">
        <f>(H80+I80)-J80</f>
        <v>300987.39655716135</v>
      </c>
    </row>
    <row r="81" spans="1:11" ht="18" customHeight="1">
      <c r="A81" s="5"/>
      <c r="K81" s="40"/>
    </row>
    <row r="82" spans="1:11" ht="18" customHeight="1">
      <c r="A82" s="5" t="s">
        <v>148</v>
      </c>
      <c r="B82" s="2" t="s">
        <v>149</v>
      </c>
      <c r="E82" s="2" t="s">
        <v>7</v>
      </c>
      <c r="F82" s="21">
        <f t="shared" ref="F82:K82" si="8">SUM(F77:F80)</f>
        <v>645</v>
      </c>
      <c r="G82" s="21">
        <f t="shared" si="8"/>
        <v>31397</v>
      </c>
      <c r="H82" s="17">
        <f t="shared" si="8"/>
        <v>786126.73825252627</v>
      </c>
      <c r="I82" s="17">
        <f t="shared" si="8"/>
        <v>50987.396557161344</v>
      </c>
      <c r="J82" s="17">
        <f t="shared" si="8"/>
        <v>0</v>
      </c>
      <c r="K82" s="17">
        <f t="shared" si="8"/>
        <v>837114.13480968762</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v>5</v>
      </c>
      <c r="G86" s="14">
        <v>300000</v>
      </c>
      <c r="H86" s="15">
        <v>95263.661321254927</v>
      </c>
      <c r="I86" s="50">
        <f t="shared" ref="I86:I96" si="9">H86*F$114</f>
        <v>67936.894228098288</v>
      </c>
      <c r="J86" s="15">
        <v>0</v>
      </c>
      <c r="K86" s="16">
        <f t="shared" ref="K86:K96" si="10">(H86+I86)-J86</f>
        <v>163200.55554935322</v>
      </c>
    </row>
    <row r="87" spans="1:11" ht="18" customHeight="1">
      <c r="A87" s="5" t="s">
        <v>114</v>
      </c>
      <c r="B87" s="341" t="s">
        <v>14</v>
      </c>
      <c r="F87" s="14"/>
      <c r="G87" s="14"/>
      <c r="H87" s="15"/>
      <c r="I87" s="50">
        <f t="shared" si="9"/>
        <v>0</v>
      </c>
      <c r="J87" s="15"/>
      <c r="K87" s="16">
        <f t="shared" si="10"/>
        <v>0</v>
      </c>
    </row>
    <row r="88" spans="1:11" ht="18" customHeight="1">
      <c r="A88" s="5" t="s">
        <v>115</v>
      </c>
      <c r="B88" s="341" t="s">
        <v>116</v>
      </c>
      <c r="F88" s="14">
        <v>1040</v>
      </c>
      <c r="G88" s="14">
        <v>60</v>
      </c>
      <c r="H88" s="15">
        <v>225325.42039777886</v>
      </c>
      <c r="I88" s="50">
        <f t="shared" si="9"/>
        <v>160689.9109288195</v>
      </c>
      <c r="J88" s="15">
        <v>0</v>
      </c>
      <c r="K88" s="16">
        <f t="shared" si="10"/>
        <v>386015.33132659836</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c r="G91" s="14"/>
      <c r="H91" s="15"/>
      <c r="I91" s="50">
        <f t="shared" si="9"/>
        <v>0</v>
      </c>
      <c r="J91" s="15"/>
      <c r="K91" s="16">
        <f t="shared" si="10"/>
        <v>0</v>
      </c>
    </row>
    <row r="92" spans="1:11" ht="18" customHeight="1">
      <c r="A92" s="5" t="s">
        <v>120</v>
      </c>
      <c r="B92" s="341" t="s">
        <v>121</v>
      </c>
      <c r="F92" s="38"/>
      <c r="G92" s="38"/>
      <c r="H92" s="39"/>
      <c r="I92" s="50">
        <f t="shared" si="9"/>
        <v>0</v>
      </c>
      <c r="J92" s="39"/>
      <c r="K92" s="16">
        <f t="shared" si="10"/>
        <v>0</v>
      </c>
    </row>
    <row r="93" spans="1:11" ht="18" customHeight="1">
      <c r="A93" s="5" t="s">
        <v>122</v>
      </c>
      <c r="B93" s="341" t="s">
        <v>123</v>
      </c>
      <c r="F93" s="14"/>
      <c r="G93" s="14"/>
      <c r="H93" s="15"/>
      <c r="I93" s="50">
        <f t="shared" si="9"/>
        <v>0</v>
      </c>
      <c r="J93" s="15"/>
      <c r="K93" s="16">
        <f t="shared" si="10"/>
        <v>0</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1045</v>
      </c>
      <c r="G98" s="18">
        <f t="shared" si="11"/>
        <v>300060</v>
      </c>
      <c r="H98" s="18">
        <f t="shared" si="11"/>
        <v>320589.08171903377</v>
      </c>
      <c r="I98" s="18">
        <f t="shared" si="11"/>
        <v>228626.80515691778</v>
      </c>
      <c r="J98" s="18">
        <f t="shared" si="11"/>
        <v>0</v>
      </c>
      <c r="K98" s="18">
        <f t="shared" si="11"/>
        <v>549215.88687595155</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803</v>
      </c>
      <c r="G102" s="14">
        <v>0</v>
      </c>
      <c r="H102" s="15">
        <v>72353.97381331533</v>
      </c>
      <c r="I102" s="50">
        <f>H102*F$114</f>
        <v>51598.943372136222</v>
      </c>
      <c r="J102" s="15">
        <v>0</v>
      </c>
      <c r="K102" s="16">
        <f>(H102+I102)-J102</f>
        <v>123952.91718545154</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803</v>
      </c>
      <c r="G108" s="18">
        <f t="shared" si="12"/>
        <v>0</v>
      </c>
      <c r="H108" s="16">
        <f t="shared" si="12"/>
        <v>72353.97381331533</v>
      </c>
      <c r="I108" s="16">
        <f t="shared" si="12"/>
        <v>51598.943372136222</v>
      </c>
      <c r="J108" s="16">
        <f t="shared" si="12"/>
        <v>0</v>
      </c>
      <c r="K108" s="16">
        <f t="shared" si="12"/>
        <v>123952.91718545154</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6010719.6799999997</v>
      </c>
    </row>
    <row r="112" spans="1:11" ht="18" customHeight="1">
      <c r="B112" s="2"/>
      <c r="E112" s="2"/>
      <c r="F112" s="22"/>
    </row>
    <row r="113" spans="1:6" ht="18" customHeight="1">
      <c r="A113" s="6"/>
      <c r="B113" s="2" t="s">
        <v>15</v>
      </c>
    </row>
    <row r="114" spans="1:6" ht="18" customHeight="1">
      <c r="A114" s="5" t="s">
        <v>171</v>
      </c>
      <c r="B114" s="341" t="s">
        <v>35</v>
      </c>
      <c r="F114" s="25">
        <v>0.71314594973414502</v>
      </c>
    </row>
    <row r="115" spans="1:6" ht="18" customHeight="1">
      <c r="A115" s="5"/>
      <c r="B115" s="2"/>
    </row>
    <row r="116" spans="1:6" ht="18" customHeight="1">
      <c r="A116" s="5" t="s">
        <v>170</v>
      </c>
      <c r="B116" s="2" t="s">
        <v>16</v>
      </c>
    </row>
    <row r="117" spans="1:6" ht="18" customHeight="1">
      <c r="A117" s="5" t="s">
        <v>172</v>
      </c>
      <c r="B117" s="341" t="s">
        <v>17</v>
      </c>
      <c r="F117" s="15">
        <v>232598000</v>
      </c>
    </row>
    <row r="118" spans="1:6" ht="18" customHeight="1">
      <c r="A118" s="5" t="s">
        <v>173</v>
      </c>
      <c r="B118" t="s">
        <v>18</v>
      </c>
      <c r="F118" s="15">
        <v>6191000</v>
      </c>
    </row>
    <row r="119" spans="1:6" ht="18" customHeight="1">
      <c r="A119" s="5" t="s">
        <v>174</v>
      </c>
      <c r="B119" s="2" t="s">
        <v>19</v>
      </c>
      <c r="F119" s="17">
        <f>SUM(F117:F118)</f>
        <v>238789000</v>
      </c>
    </row>
    <row r="120" spans="1:6" ht="18" customHeight="1">
      <c r="A120" s="5"/>
      <c r="B120" s="2"/>
    </row>
    <row r="121" spans="1:6" ht="18" customHeight="1">
      <c r="A121" s="5" t="s">
        <v>167</v>
      </c>
      <c r="B121" s="2" t="s">
        <v>36</v>
      </c>
      <c r="F121" s="15">
        <v>231080000</v>
      </c>
    </row>
    <row r="122" spans="1:6" ht="18" customHeight="1">
      <c r="A122" s="5"/>
    </row>
    <row r="123" spans="1:6" ht="18" customHeight="1">
      <c r="A123" s="5" t="s">
        <v>175</v>
      </c>
      <c r="B123" s="2" t="s">
        <v>20</v>
      </c>
      <c r="F123" s="15">
        <f>F119-F121</f>
        <v>7709000</v>
      </c>
    </row>
    <row r="124" spans="1:6" ht="18" customHeight="1">
      <c r="A124" s="5"/>
    </row>
    <row r="125" spans="1:6" ht="18" customHeight="1">
      <c r="A125" s="5" t="s">
        <v>176</v>
      </c>
      <c r="B125" s="2" t="s">
        <v>21</v>
      </c>
      <c r="F125" s="15">
        <v>2177000</v>
      </c>
    </row>
    <row r="126" spans="1:6" ht="18" customHeight="1">
      <c r="A126" s="5"/>
    </row>
    <row r="127" spans="1:6" ht="18" customHeight="1">
      <c r="A127" s="5" t="s">
        <v>177</v>
      </c>
      <c r="B127" s="2" t="s">
        <v>22</v>
      </c>
      <c r="F127" s="15">
        <f>F123+F125</f>
        <v>9886000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15006</v>
      </c>
      <c r="G141" s="41">
        <f t="shared" si="14"/>
        <v>932969</v>
      </c>
      <c r="H141" s="41">
        <f t="shared" si="14"/>
        <v>1827599.7426085826</v>
      </c>
      <c r="I141" s="41">
        <f t="shared" si="14"/>
        <v>1105311.1422488522</v>
      </c>
      <c r="J141" s="41">
        <f t="shared" si="14"/>
        <v>432254</v>
      </c>
      <c r="K141" s="41">
        <f t="shared" si="14"/>
        <v>2500656.8848574348</v>
      </c>
    </row>
    <row r="142" spans="1:11" ht="18" customHeight="1">
      <c r="A142" s="5" t="s">
        <v>142</v>
      </c>
      <c r="B142" s="2" t="s">
        <v>65</v>
      </c>
      <c r="F142" s="41">
        <f t="shared" ref="F142:K142" si="15">F49</f>
        <v>5004</v>
      </c>
      <c r="G142" s="41">
        <f t="shared" si="15"/>
        <v>15014</v>
      </c>
      <c r="H142" s="41">
        <f t="shared" si="15"/>
        <v>610374.6330812918</v>
      </c>
      <c r="I142" s="41">
        <f t="shared" si="15"/>
        <v>0</v>
      </c>
      <c r="J142" s="41">
        <f t="shared" si="15"/>
        <v>0</v>
      </c>
      <c r="K142" s="41">
        <f t="shared" si="15"/>
        <v>610374.6330812918</v>
      </c>
    </row>
    <row r="143" spans="1:11" ht="18" customHeight="1">
      <c r="A143" s="5" t="s">
        <v>144</v>
      </c>
      <c r="B143" s="2" t="s">
        <v>66</v>
      </c>
      <c r="F143" s="41">
        <f t="shared" ref="F143:K143" si="16">F64</f>
        <v>1872</v>
      </c>
      <c r="G143" s="41">
        <f t="shared" si="16"/>
        <v>2803</v>
      </c>
      <c r="H143" s="41">
        <f t="shared" si="16"/>
        <v>9251517</v>
      </c>
      <c r="I143" s="41">
        <f t="shared" si="16"/>
        <v>0</v>
      </c>
      <c r="J143" s="41">
        <f t="shared" si="16"/>
        <v>0</v>
      </c>
      <c r="K143" s="41">
        <f t="shared" si="16"/>
        <v>9251517</v>
      </c>
    </row>
    <row r="144" spans="1:11" ht="18" customHeight="1">
      <c r="A144" s="5" t="s">
        <v>146</v>
      </c>
      <c r="B144" s="2" t="s">
        <v>67</v>
      </c>
      <c r="F144" s="41">
        <f t="shared" ref="F144:K144" si="17">F74</f>
        <v>0</v>
      </c>
      <c r="G144" s="41">
        <f t="shared" si="17"/>
        <v>0</v>
      </c>
      <c r="H144" s="41">
        <f t="shared" si="17"/>
        <v>213407</v>
      </c>
      <c r="I144" s="41">
        <f t="shared" si="17"/>
        <v>0</v>
      </c>
      <c r="J144" s="41">
        <f t="shared" si="17"/>
        <v>0</v>
      </c>
      <c r="K144" s="41">
        <f t="shared" si="17"/>
        <v>213407</v>
      </c>
    </row>
    <row r="145" spans="1:11" ht="18" customHeight="1">
      <c r="A145" s="5" t="s">
        <v>148</v>
      </c>
      <c r="B145" s="2" t="s">
        <v>68</v>
      </c>
      <c r="F145" s="41">
        <f t="shared" ref="F145:K145" si="18">F82</f>
        <v>645</v>
      </c>
      <c r="G145" s="41">
        <f t="shared" si="18"/>
        <v>31397</v>
      </c>
      <c r="H145" s="41">
        <f t="shared" si="18"/>
        <v>786126.73825252627</v>
      </c>
      <c r="I145" s="41">
        <f t="shared" si="18"/>
        <v>50987.396557161344</v>
      </c>
      <c r="J145" s="41">
        <f t="shared" si="18"/>
        <v>0</v>
      </c>
      <c r="K145" s="41">
        <f t="shared" si="18"/>
        <v>837114.13480968762</v>
      </c>
    </row>
    <row r="146" spans="1:11" ht="18" customHeight="1">
      <c r="A146" s="5" t="s">
        <v>150</v>
      </c>
      <c r="B146" s="2" t="s">
        <v>69</v>
      </c>
      <c r="F146" s="41">
        <f t="shared" ref="F146:K146" si="19">F98</f>
        <v>1045</v>
      </c>
      <c r="G146" s="41">
        <f t="shared" si="19"/>
        <v>300060</v>
      </c>
      <c r="H146" s="41">
        <f t="shared" si="19"/>
        <v>320589.08171903377</v>
      </c>
      <c r="I146" s="41">
        <f t="shared" si="19"/>
        <v>228626.80515691778</v>
      </c>
      <c r="J146" s="41">
        <f t="shared" si="19"/>
        <v>0</v>
      </c>
      <c r="K146" s="41">
        <f t="shared" si="19"/>
        <v>549215.88687595155</v>
      </c>
    </row>
    <row r="147" spans="1:11" ht="18" customHeight="1">
      <c r="A147" s="5" t="s">
        <v>153</v>
      </c>
      <c r="B147" s="2" t="s">
        <v>61</v>
      </c>
      <c r="F147" s="18">
        <f t="shared" ref="F147:K147" si="20">F108</f>
        <v>803</v>
      </c>
      <c r="G147" s="18">
        <f t="shared" si="20"/>
        <v>0</v>
      </c>
      <c r="H147" s="18">
        <f t="shared" si="20"/>
        <v>72353.97381331533</v>
      </c>
      <c r="I147" s="18">
        <f t="shared" si="20"/>
        <v>51598.943372136222</v>
      </c>
      <c r="J147" s="18">
        <f t="shared" si="20"/>
        <v>0</v>
      </c>
      <c r="K147" s="18">
        <f t="shared" si="20"/>
        <v>123952.91718545154</v>
      </c>
    </row>
    <row r="148" spans="1:11" ht="18" customHeight="1">
      <c r="A148" s="5" t="s">
        <v>155</v>
      </c>
      <c r="B148" s="2" t="s">
        <v>70</v>
      </c>
      <c r="F148" s="42" t="s">
        <v>73</v>
      </c>
      <c r="G148" s="42" t="s">
        <v>73</v>
      </c>
      <c r="H148" s="43" t="s">
        <v>73</v>
      </c>
      <c r="I148" s="43" t="s">
        <v>73</v>
      </c>
      <c r="J148" s="43" t="s">
        <v>73</v>
      </c>
      <c r="K148" s="37">
        <f>F111</f>
        <v>6010719.6799999997</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1039787</v>
      </c>
      <c r="I150" s="18">
        <f>I18</f>
        <v>0</v>
      </c>
      <c r="J150" s="18">
        <f>J18</f>
        <v>0</v>
      </c>
      <c r="K150" s="18">
        <f>K18</f>
        <v>1039787</v>
      </c>
    </row>
    <row r="151" spans="1:11" ht="18" customHeight="1">
      <c r="B151" s="2"/>
      <c r="F151" s="48"/>
      <c r="G151" s="48"/>
      <c r="H151" s="48"/>
      <c r="I151" s="48"/>
      <c r="J151" s="48"/>
      <c r="K151" s="48"/>
    </row>
    <row r="152" spans="1:11" ht="18" customHeight="1">
      <c r="A152" s="6" t="s">
        <v>165</v>
      </c>
      <c r="B152" s="2" t="s">
        <v>26</v>
      </c>
      <c r="F152" s="49">
        <f t="shared" ref="F152:K152" si="22">SUM(F141:F150)</f>
        <v>24375</v>
      </c>
      <c r="G152" s="49">
        <f t="shared" si="22"/>
        <v>1282243</v>
      </c>
      <c r="H152" s="49">
        <f t="shared" si="22"/>
        <v>14121755.169474751</v>
      </c>
      <c r="I152" s="49">
        <f t="shared" si="22"/>
        <v>1436524.2873350675</v>
      </c>
      <c r="J152" s="49">
        <f t="shared" si="22"/>
        <v>432254</v>
      </c>
      <c r="K152" s="49">
        <f t="shared" si="22"/>
        <v>21136745.136809818</v>
      </c>
    </row>
    <row r="154" spans="1:11" ht="18" customHeight="1">
      <c r="A154" s="6" t="s">
        <v>168</v>
      </c>
      <c r="B154" s="2" t="s">
        <v>28</v>
      </c>
      <c r="F154" s="64">
        <f>K152/F121</f>
        <v>9.1469383489743025E-2</v>
      </c>
    </row>
    <row r="155" spans="1:11" ht="18" customHeight="1">
      <c r="A155" s="6" t="s">
        <v>169</v>
      </c>
      <c r="B155" s="2" t="s">
        <v>72</v>
      </c>
      <c r="F155" s="64">
        <f>K152/F127</f>
        <v>2.1380482638893201</v>
      </c>
      <c r="G155" s="2"/>
    </row>
    <row r="156" spans="1:11" ht="18" customHeight="1">
      <c r="G156" s="2"/>
    </row>
  </sheetData>
  <sheetProtection password="EF72" sheet="1" objects="1" scenarios="1"/>
  <mergeCells count="38">
    <mergeCell ref="B134:D134"/>
    <mergeCell ref="B135:D135"/>
    <mergeCell ref="B96:D96"/>
    <mergeCell ref="B103:C103"/>
    <mergeCell ref="B104:D104"/>
    <mergeCell ref="B105:D105"/>
    <mergeCell ref="B106:D106"/>
    <mergeCell ref="B133:D133"/>
    <mergeCell ref="B95:D95"/>
    <mergeCell ref="B54:D54"/>
    <mergeCell ref="B55:D55"/>
    <mergeCell ref="B56:D56"/>
    <mergeCell ref="B57:D57"/>
    <mergeCell ref="B58:D58"/>
    <mergeCell ref="B59:D59"/>
    <mergeCell ref="B60:D60"/>
    <mergeCell ref="B61:D61"/>
    <mergeCell ref="B62:D62"/>
    <mergeCell ref="B90:C90"/>
    <mergeCell ref="B94:D94"/>
    <mergeCell ref="B53:D53"/>
    <mergeCell ref="C11:G11"/>
    <mergeCell ref="B13:H13"/>
    <mergeCell ref="B30:D30"/>
    <mergeCell ref="B31:D31"/>
    <mergeCell ref="B34:D34"/>
    <mergeCell ref="B41:C41"/>
    <mergeCell ref="B44:D44"/>
    <mergeCell ref="B45:D45"/>
    <mergeCell ref="B46:D46"/>
    <mergeCell ref="B47:D47"/>
    <mergeCell ref="B52:C52"/>
    <mergeCell ref="C10:G10"/>
    <mergeCell ref="D2:H2"/>
    <mergeCell ref="C5:G5"/>
    <mergeCell ref="C6:G6"/>
    <mergeCell ref="C7:G7"/>
    <mergeCell ref="C9:G9"/>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13" zoomScale="70" zoomScaleNormal="50" zoomScaleSheetLayoutView="70" workbookViewId="0">
      <selection activeCell="F158" sqref="F158"/>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870</v>
      </c>
      <c r="D5" s="654"/>
      <c r="E5" s="654"/>
      <c r="F5" s="654"/>
      <c r="G5" s="655"/>
    </row>
    <row r="6" spans="1:11" ht="18" customHeight="1">
      <c r="B6" s="5" t="s">
        <v>3</v>
      </c>
      <c r="C6" s="671" t="s">
        <v>871</v>
      </c>
      <c r="D6" s="657"/>
      <c r="E6" s="657"/>
      <c r="F6" s="657"/>
      <c r="G6" s="658"/>
    </row>
    <row r="7" spans="1:11" ht="18" customHeight="1">
      <c r="B7" s="5" t="s">
        <v>4</v>
      </c>
      <c r="C7" s="659">
        <v>2037</v>
      </c>
      <c r="D7" s="660"/>
      <c r="E7" s="660"/>
      <c r="F7" s="660"/>
      <c r="G7" s="661"/>
    </row>
    <row r="9" spans="1:11" ht="18" customHeight="1">
      <c r="B9" s="5" t="s">
        <v>1</v>
      </c>
      <c r="C9" s="670" t="s">
        <v>842</v>
      </c>
      <c r="D9" s="654"/>
      <c r="E9" s="654"/>
      <c r="F9" s="654"/>
      <c r="G9" s="655"/>
    </row>
    <row r="10" spans="1:11" ht="18" customHeight="1">
      <c r="B10" s="5" t="s">
        <v>2</v>
      </c>
      <c r="C10" s="674" t="s">
        <v>843</v>
      </c>
      <c r="D10" s="663"/>
      <c r="E10" s="663"/>
      <c r="F10" s="663"/>
      <c r="G10" s="664"/>
    </row>
    <row r="11" spans="1:11" ht="18" customHeight="1">
      <c r="B11" s="5" t="s">
        <v>32</v>
      </c>
      <c r="C11" s="670" t="s">
        <v>844</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2"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8175922</v>
      </c>
      <c r="I18" s="50">
        <v>0</v>
      </c>
      <c r="J18" s="15">
        <v>6991436</v>
      </c>
      <c r="K18" s="16">
        <f>(H18+I18)-J18</f>
        <v>1184486</v>
      </c>
    </row>
    <row r="19" spans="1:11" ht="45.2"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4673.0249999999996</v>
      </c>
      <c r="G21" s="14">
        <v>196592.19999999998</v>
      </c>
      <c r="H21" s="14">
        <v>212578.8</v>
      </c>
      <c r="I21" s="14">
        <v>296.09999999999997</v>
      </c>
      <c r="J21" s="14">
        <v>350</v>
      </c>
      <c r="K21" s="16">
        <f t="shared" ref="K21:K34" si="0">(H21+I21)-J21</f>
        <v>212524.9</v>
      </c>
    </row>
    <row r="22" spans="1:11" ht="18" customHeight="1">
      <c r="A22" s="5" t="s">
        <v>76</v>
      </c>
      <c r="B22" t="s">
        <v>6</v>
      </c>
      <c r="F22" s="14">
        <v>488.42499999999995</v>
      </c>
      <c r="G22" s="14">
        <v>2857.3999999999996</v>
      </c>
      <c r="H22" s="14">
        <v>31096.1</v>
      </c>
      <c r="I22" s="14">
        <v>7417.2</v>
      </c>
      <c r="J22" s="14">
        <v>0</v>
      </c>
      <c r="K22" s="16">
        <f t="shared" si="0"/>
        <v>38513.299999999996</v>
      </c>
    </row>
    <row r="23" spans="1:11" ht="18" customHeight="1">
      <c r="A23" s="5" t="s">
        <v>77</v>
      </c>
      <c r="B23" t="s">
        <v>43</v>
      </c>
      <c r="F23" s="14">
        <v>28.349999999999998</v>
      </c>
      <c r="G23" s="14">
        <v>177.1</v>
      </c>
      <c r="H23" s="14">
        <v>8787.0999999999985</v>
      </c>
      <c r="I23" s="14">
        <v>7962.4999999999991</v>
      </c>
      <c r="J23" s="14">
        <v>0</v>
      </c>
      <c r="K23" s="16">
        <f t="shared" si="0"/>
        <v>16749.599999999999</v>
      </c>
    </row>
    <row r="24" spans="1:11" ht="18" customHeight="1">
      <c r="A24" s="5" t="s">
        <v>78</v>
      </c>
      <c r="B24" t="s">
        <v>44</v>
      </c>
      <c r="F24" s="14">
        <v>14893.759999999998</v>
      </c>
      <c r="G24" s="14">
        <v>7030.7999999999993</v>
      </c>
      <c r="H24" s="14">
        <v>528486.69999999995</v>
      </c>
      <c r="I24" s="50">
        <f t="shared" ref="I24:I34" si="1">H24*F$114</f>
        <v>296322.49268999998</v>
      </c>
      <c r="J24" s="14">
        <v>213910.19999999998</v>
      </c>
      <c r="K24" s="16">
        <f t="shared" si="0"/>
        <v>610898.99268999998</v>
      </c>
    </row>
    <row r="25" spans="1:11" ht="18" customHeight="1">
      <c r="A25" s="5" t="s">
        <v>79</v>
      </c>
      <c r="B25" t="s">
        <v>5</v>
      </c>
      <c r="F25" s="14">
        <v>48.474999999999994</v>
      </c>
      <c r="G25" s="14">
        <v>383.59999999999997</v>
      </c>
      <c r="H25" s="14">
        <v>1454.6</v>
      </c>
      <c r="I25" s="50">
        <f t="shared" si="1"/>
        <v>815.59421999999995</v>
      </c>
      <c r="J25" s="14">
        <v>0</v>
      </c>
      <c r="K25" s="16">
        <f t="shared" si="0"/>
        <v>2270.1942199999999</v>
      </c>
    </row>
    <row r="26" spans="1:11" ht="18" customHeight="1">
      <c r="A26" s="5" t="s">
        <v>80</v>
      </c>
      <c r="B26" t="s">
        <v>45</v>
      </c>
      <c r="F26" s="14"/>
      <c r="G26" s="14"/>
      <c r="H26" s="15"/>
      <c r="I26" s="50">
        <f t="shared" si="1"/>
        <v>0</v>
      </c>
      <c r="J26" s="15"/>
      <c r="K26" s="16">
        <f t="shared" si="0"/>
        <v>0</v>
      </c>
    </row>
    <row r="27" spans="1:11" ht="18" customHeight="1">
      <c r="A27" s="5" t="s">
        <v>81</v>
      </c>
      <c r="B27" t="s">
        <v>46</v>
      </c>
      <c r="F27" s="14"/>
      <c r="G27" s="14"/>
      <c r="H27" s="15"/>
      <c r="I27" s="50">
        <f t="shared" si="1"/>
        <v>0</v>
      </c>
      <c r="J27" s="15"/>
      <c r="K27" s="16">
        <f t="shared" si="0"/>
        <v>0</v>
      </c>
    </row>
    <row r="28" spans="1:11" ht="18" customHeight="1">
      <c r="A28" s="5" t="s">
        <v>82</v>
      </c>
      <c r="B28" t="s">
        <v>47</v>
      </c>
      <c r="F28" s="14">
        <v>1536.85</v>
      </c>
      <c r="G28" s="14">
        <v>67.899999999999991</v>
      </c>
      <c r="H28" s="14">
        <v>31401.999999999996</v>
      </c>
      <c r="I28" s="50">
        <f t="shared" si="1"/>
        <v>17607.101399999996</v>
      </c>
      <c r="J28" s="14">
        <v>0</v>
      </c>
      <c r="K28" s="16">
        <f t="shared" si="0"/>
        <v>49009.101399999992</v>
      </c>
    </row>
    <row r="29" spans="1:11" ht="18" customHeight="1">
      <c r="A29" s="5" t="s">
        <v>83</v>
      </c>
      <c r="B29" t="s">
        <v>48</v>
      </c>
      <c r="F29" s="14">
        <v>2195.0249999999996</v>
      </c>
      <c r="G29" s="14">
        <v>161</v>
      </c>
      <c r="H29" s="14">
        <v>452028.5</v>
      </c>
      <c r="I29" s="50">
        <f t="shared" si="1"/>
        <v>253452.37995</v>
      </c>
      <c r="J29" s="14">
        <v>0</v>
      </c>
      <c r="K29" s="16">
        <f t="shared" si="0"/>
        <v>705480.87994999997</v>
      </c>
    </row>
    <row r="30" spans="1:11" ht="18" customHeight="1">
      <c r="A30" s="5" t="s">
        <v>84</v>
      </c>
      <c r="B30" s="636"/>
      <c r="C30" s="637"/>
      <c r="D30" s="638"/>
      <c r="F30" s="14">
        <v>145.6</v>
      </c>
      <c r="G30" s="14">
        <v>0</v>
      </c>
      <c r="H30" s="14">
        <v>1054.2</v>
      </c>
      <c r="I30" s="50">
        <f t="shared" si="1"/>
        <v>591.08993999999996</v>
      </c>
      <c r="J30" s="14">
        <v>0</v>
      </c>
      <c r="K30" s="16">
        <f t="shared" si="0"/>
        <v>1645.2899400000001</v>
      </c>
    </row>
    <row r="31" spans="1:11" ht="18" customHeight="1">
      <c r="A31" s="5" t="s">
        <v>133</v>
      </c>
      <c r="B31" s="636"/>
      <c r="C31" s="637"/>
      <c r="D31" s="638"/>
      <c r="F31" s="14"/>
      <c r="G31" s="14"/>
      <c r="H31" s="15"/>
      <c r="I31" s="50">
        <f t="shared" si="1"/>
        <v>0</v>
      </c>
      <c r="J31" s="15"/>
      <c r="K31" s="16">
        <f t="shared" si="0"/>
        <v>0</v>
      </c>
    </row>
    <row r="32" spans="1:11" ht="18" customHeight="1">
      <c r="A32" s="5" t="s">
        <v>134</v>
      </c>
      <c r="B32" s="363"/>
      <c r="C32" s="364"/>
      <c r="D32" s="365"/>
      <c r="F32" s="14"/>
      <c r="G32" s="342" t="s">
        <v>85</v>
      </c>
      <c r="H32" s="15"/>
      <c r="I32" s="50">
        <f t="shared" si="1"/>
        <v>0</v>
      </c>
      <c r="J32" s="15"/>
      <c r="K32" s="16">
        <f t="shared" si="0"/>
        <v>0</v>
      </c>
    </row>
    <row r="33" spans="1:11" ht="18" customHeight="1">
      <c r="A33" s="5" t="s">
        <v>135</v>
      </c>
      <c r="B33" s="363"/>
      <c r="C33" s="364"/>
      <c r="D33" s="365"/>
      <c r="F33" s="14"/>
      <c r="G33" s="342" t="s">
        <v>85</v>
      </c>
      <c r="H33" s="15"/>
      <c r="I33" s="50">
        <f t="shared" si="1"/>
        <v>0</v>
      </c>
      <c r="J33" s="15"/>
      <c r="K33" s="16">
        <f t="shared" si="0"/>
        <v>0</v>
      </c>
    </row>
    <row r="34" spans="1:11" ht="18" customHeight="1">
      <c r="A34" s="5" t="s">
        <v>136</v>
      </c>
      <c r="B34" s="636"/>
      <c r="C34" s="637"/>
      <c r="D34" s="638"/>
      <c r="F34" s="14"/>
      <c r="G34" s="342" t="s">
        <v>85</v>
      </c>
      <c r="H34" s="15"/>
      <c r="I34" s="50">
        <f t="shared" si="1"/>
        <v>0</v>
      </c>
      <c r="J34" s="15"/>
      <c r="K34" s="16">
        <f t="shared" si="0"/>
        <v>0</v>
      </c>
    </row>
    <row r="35" spans="1:11" ht="18" customHeight="1">
      <c r="K35" s="44"/>
    </row>
    <row r="36" spans="1:11" ht="18" customHeight="1">
      <c r="A36" s="6" t="s">
        <v>137</v>
      </c>
      <c r="B36" s="2" t="s">
        <v>138</v>
      </c>
      <c r="E36" s="2" t="s">
        <v>7</v>
      </c>
      <c r="F36" s="18">
        <f t="shared" ref="F36:K36" si="2">SUM(F21:F34)</f>
        <v>24009.509999999995</v>
      </c>
      <c r="G36" s="18">
        <f t="shared" si="2"/>
        <v>207269.99999999997</v>
      </c>
      <c r="H36" s="18">
        <f t="shared" si="2"/>
        <v>1266887.9999999998</v>
      </c>
      <c r="I36" s="16">
        <f t="shared" si="2"/>
        <v>584464.45819999999</v>
      </c>
      <c r="J36" s="16">
        <f t="shared" si="2"/>
        <v>214260.19999999998</v>
      </c>
      <c r="K36" s="16">
        <f t="shared" si="2"/>
        <v>1637092.2582</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4968.5999999999995</v>
      </c>
      <c r="G40" s="14">
        <v>0</v>
      </c>
      <c r="H40" s="14">
        <v>357834.39999999997</v>
      </c>
      <c r="I40" s="50">
        <f t="shared" ref="I40:I42" si="3">H40*F$114</f>
        <v>200637.74807999996</v>
      </c>
      <c r="J40" s="14">
        <v>0</v>
      </c>
      <c r="K40" s="16">
        <f t="shared" ref="K40:K47" si="4">(H40+I40)-J40</f>
        <v>558472.14807999996</v>
      </c>
    </row>
    <row r="41" spans="1:11" ht="18" customHeight="1">
      <c r="A41" s="5" t="s">
        <v>88</v>
      </c>
      <c r="B41" s="641" t="s">
        <v>50</v>
      </c>
      <c r="C41" s="649"/>
      <c r="F41" s="14">
        <v>11634.699999999999</v>
      </c>
      <c r="G41" s="14">
        <v>7.6999999999999993</v>
      </c>
      <c r="H41" s="14">
        <v>431835.6</v>
      </c>
      <c r="I41" s="50">
        <f t="shared" si="3"/>
        <v>242130.22091999996</v>
      </c>
      <c r="J41" s="14">
        <v>0</v>
      </c>
      <c r="K41" s="16">
        <f t="shared" si="4"/>
        <v>673965.82091999997</v>
      </c>
    </row>
    <row r="42" spans="1:11" ht="18" customHeight="1">
      <c r="A42" s="5" t="s">
        <v>89</v>
      </c>
      <c r="B42" s="341" t="s">
        <v>11</v>
      </c>
      <c r="F42" s="14">
        <v>32304.649999999998</v>
      </c>
      <c r="G42" s="14">
        <v>117.6</v>
      </c>
      <c r="H42" s="14">
        <v>1227445.7999999998</v>
      </c>
      <c r="I42" s="50">
        <f t="shared" si="3"/>
        <v>688228.86005999986</v>
      </c>
      <c r="J42" s="14">
        <v>1337</v>
      </c>
      <c r="K42" s="16">
        <f t="shared" si="4"/>
        <v>1914337.6600599997</v>
      </c>
    </row>
    <row r="43" spans="1:11" ht="18" customHeight="1">
      <c r="A43" s="5" t="s">
        <v>90</v>
      </c>
      <c r="B43" s="343" t="s">
        <v>10</v>
      </c>
      <c r="C43" s="10"/>
      <c r="D43" s="10"/>
      <c r="F43" s="14"/>
      <c r="G43" s="14"/>
      <c r="H43" s="15"/>
      <c r="I43" s="50">
        <v>0</v>
      </c>
      <c r="J43" s="15"/>
      <c r="K43" s="16">
        <f t="shared" si="4"/>
        <v>0</v>
      </c>
    </row>
    <row r="44" spans="1:11" ht="18" customHeight="1">
      <c r="A44" s="5" t="s">
        <v>91</v>
      </c>
      <c r="B44" s="636"/>
      <c r="C44" s="637"/>
      <c r="D44" s="638"/>
      <c r="F44" s="54"/>
      <c r="G44" s="54"/>
      <c r="H44" s="54"/>
      <c r="I44" s="55">
        <v>0</v>
      </c>
      <c r="J44" s="54"/>
      <c r="K44" s="56">
        <f t="shared" si="4"/>
        <v>0</v>
      </c>
    </row>
    <row r="45" spans="1:11" ht="18" customHeight="1">
      <c r="A45" s="5" t="s">
        <v>139</v>
      </c>
      <c r="B45" s="636"/>
      <c r="C45" s="637"/>
      <c r="D45" s="638"/>
      <c r="F45" s="14"/>
      <c r="G45" s="14"/>
      <c r="H45" s="15"/>
      <c r="I45" s="50">
        <v>0</v>
      </c>
      <c r="J45" s="15"/>
      <c r="K45" s="16">
        <f t="shared" si="4"/>
        <v>0</v>
      </c>
    </row>
    <row r="46" spans="1:11" ht="18" customHeight="1">
      <c r="A46" s="5" t="s">
        <v>140</v>
      </c>
      <c r="B46" s="636"/>
      <c r="C46" s="637"/>
      <c r="D46" s="638"/>
      <c r="F46" s="14"/>
      <c r="G46" s="14"/>
      <c r="H46" s="15"/>
      <c r="I46" s="50">
        <v>0</v>
      </c>
      <c r="J46" s="15"/>
      <c r="K46" s="16">
        <f t="shared" si="4"/>
        <v>0</v>
      </c>
    </row>
    <row r="47" spans="1:11" ht="18" customHeight="1">
      <c r="A47" s="5" t="s">
        <v>141</v>
      </c>
      <c r="B47" s="636"/>
      <c r="C47" s="637"/>
      <c r="D47" s="638"/>
      <c r="F47" s="14"/>
      <c r="G47" s="14"/>
      <c r="H47" s="15"/>
      <c r="I47" s="50">
        <v>0</v>
      </c>
      <c r="J47" s="15"/>
      <c r="K47" s="16">
        <f t="shared" si="4"/>
        <v>0</v>
      </c>
    </row>
    <row r="49" spans="1:11" ht="18" customHeight="1">
      <c r="A49" s="6" t="s">
        <v>142</v>
      </c>
      <c r="B49" s="2" t="s">
        <v>143</v>
      </c>
      <c r="E49" s="2" t="s">
        <v>7</v>
      </c>
      <c r="F49" s="23">
        <f t="shared" ref="F49:K49" si="5">SUM(F40:F47)</f>
        <v>48907.95</v>
      </c>
      <c r="G49" s="23">
        <f t="shared" si="5"/>
        <v>125.3</v>
      </c>
      <c r="H49" s="16">
        <f t="shared" si="5"/>
        <v>2017115.7999999998</v>
      </c>
      <c r="I49" s="16">
        <f t="shared" si="5"/>
        <v>1130996.8290599999</v>
      </c>
      <c r="J49" s="16">
        <f t="shared" si="5"/>
        <v>1337</v>
      </c>
      <c r="K49" s="16">
        <f t="shared" si="5"/>
        <v>3146775.6290599997</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91" t="s">
        <v>872</v>
      </c>
      <c r="C53" s="692"/>
      <c r="D53" s="693"/>
      <c r="F53" s="14"/>
      <c r="G53" s="14"/>
      <c r="H53" s="15">
        <v>1298885</v>
      </c>
      <c r="I53" s="50">
        <v>0</v>
      </c>
      <c r="J53" s="15"/>
      <c r="K53" s="16">
        <f t="shared" ref="K53:K62" si="6">(H53+I53)-J53</f>
        <v>1298885</v>
      </c>
    </row>
    <row r="54" spans="1:11" ht="18" customHeight="1">
      <c r="A54" s="5" t="s">
        <v>93</v>
      </c>
      <c r="B54" s="368" t="s">
        <v>873</v>
      </c>
      <c r="C54" s="361"/>
      <c r="D54" s="362"/>
      <c r="F54" s="14"/>
      <c r="G54" s="14"/>
      <c r="H54" s="15">
        <v>2096160</v>
      </c>
      <c r="I54" s="50">
        <v>0</v>
      </c>
      <c r="J54" s="15"/>
      <c r="K54" s="16">
        <f t="shared" si="6"/>
        <v>2096160</v>
      </c>
    </row>
    <row r="55" spans="1:11" ht="18" customHeight="1">
      <c r="A55" s="5" t="s">
        <v>94</v>
      </c>
      <c r="B55" s="642"/>
      <c r="C55" s="643"/>
      <c r="D55" s="644"/>
      <c r="F55" s="14"/>
      <c r="G55" s="14"/>
      <c r="H55" s="15"/>
      <c r="I55" s="50">
        <v>0</v>
      </c>
      <c r="J55" s="15"/>
      <c r="K55" s="16">
        <f t="shared" si="6"/>
        <v>0</v>
      </c>
    </row>
    <row r="56" spans="1:11" ht="18" customHeight="1">
      <c r="A56" s="5" t="s">
        <v>95</v>
      </c>
      <c r="B56" s="642"/>
      <c r="C56" s="643"/>
      <c r="D56" s="644"/>
      <c r="F56" s="14"/>
      <c r="G56" s="14"/>
      <c r="H56" s="15"/>
      <c r="I56" s="50">
        <v>0</v>
      </c>
      <c r="J56" s="15"/>
      <c r="K56" s="16">
        <f t="shared" si="6"/>
        <v>0</v>
      </c>
    </row>
    <row r="57" spans="1:11" ht="18" customHeight="1">
      <c r="A57" s="5" t="s">
        <v>96</v>
      </c>
      <c r="B57" s="642"/>
      <c r="C57" s="643"/>
      <c r="D57" s="644"/>
      <c r="F57" s="14"/>
      <c r="G57" s="14"/>
      <c r="H57" s="15"/>
      <c r="I57" s="50">
        <v>0</v>
      </c>
      <c r="J57" s="15"/>
      <c r="K57" s="16">
        <f t="shared" si="6"/>
        <v>0</v>
      </c>
    </row>
    <row r="58" spans="1:11" ht="18" customHeight="1">
      <c r="A58" s="5" t="s">
        <v>97</v>
      </c>
      <c r="B58" s="360"/>
      <c r="C58" s="361"/>
      <c r="D58" s="362"/>
      <c r="F58" s="14"/>
      <c r="G58" s="14"/>
      <c r="H58" s="15"/>
      <c r="I58" s="50">
        <v>0</v>
      </c>
      <c r="J58" s="15"/>
      <c r="K58" s="16">
        <f t="shared" si="6"/>
        <v>0</v>
      </c>
    </row>
    <row r="59" spans="1:11" ht="18" customHeight="1">
      <c r="A59" s="5" t="s">
        <v>98</v>
      </c>
      <c r="B59" s="642" t="s">
        <v>847</v>
      </c>
      <c r="C59" s="643"/>
      <c r="D59" s="644"/>
      <c r="F59" s="14">
        <v>72.449999999999989</v>
      </c>
      <c r="G59" s="14">
        <v>0</v>
      </c>
      <c r="H59" s="14">
        <f>VLOOKUP($A59,[15]ucmc!$D$12:$K$53,5,FALSE)</f>
        <v>10629.5</v>
      </c>
      <c r="I59" s="50">
        <v>0</v>
      </c>
      <c r="J59" s="14">
        <v>0</v>
      </c>
      <c r="K59" s="16">
        <f t="shared" si="6"/>
        <v>10629.5</v>
      </c>
    </row>
    <row r="60" spans="1:11" ht="18" customHeight="1">
      <c r="A60" s="5" t="s">
        <v>99</v>
      </c>
      <c r="B60" s="360"/>
      <c r="C60" s="361"/>
      <c r="D60" s="362"/>
      <c r="F60" s="14"/>
      <c r="G60" s="14"/>
      <c r="H60" s="15"/>
      <c r="I60" s="50">
        <v>0</v>
      </c>
      <c r="J60" s="15"/>
      <c r="K60" s="16">
        <f t="shared" si="6"/>
        <v>0</v>
      </c>
    </row>
    <row r="61" spans="1:11" ht="18" customHeight="1">
      <c r="A61" s="5" t="s">
        <v>100</v>
      </c>
      <c r="B61" s="360" t="s">
        <v>848</v>
      </c>
      <c r="C61" s="361"/>
      <c r="D61" s="362"/>
      <c r="F61" s="14">
        <v>9.7999999999999989</v>
      </c>
      <c r="G61" s="14">
        <v>62.999999999999993</v>
      </c>
      <c r="H61" s="14">
        <f>VLOOKUP($A61,[15]ucmc!$D$12:$K$53,5,FALSE)</f>
        <v>737.09999999999991</v>
      </c>
      <c r="I61" s="50">
        <v>0</v>
      </c>
      <c r="J61" s="14">
        <v>0</v>
      </c>
      <c r="K61" s="16">
        <f t="shared" si="6"/>
        <v>737.09999999999991</v>
      </c>
    </row>
    <row r="62" spans="1:11" ht="18" customHeight="1">
      <c r="A62" s="5" t="s">
        <v>101</v>
      </c>
      <c r="B62" s="642"/>
      <c r="C62" s="643"/>
      <c r="D62" s="644"/>
      <c r="F62" s="14"/>
      <c r="G62" s="14"/>
      <c r="H62" s="15"/>
      <c r="I62" s="50">
        <v>0</v>
      </c>
      <c r="J62" s="15"/>
      <c r="K62" s="16">
        <f t="shared" si="6"/>
        <v>0</v>
      </c>
    </row>
    <row r="63" spans="1:11" ht="18" customHeight="1">
      <c r="A63" s="5"/>
      <c r="I63" s="46"/>
    </row>
    <row r="64" spans="1:11" ht="18" customHeight="1">
      <c r="A64" s="5" t="s">
        <v>144</v>
      </c>
      <c r="B64" s="2" t="s">
        <v>145</v>
      </c>
      <c r="E64" s="2" t="s">
        <v>7</v>
      </c>
      <c r="F64" s="18">
        <f t="shared" ref="F64:K64" si="7">SUM(F53:F62)</f>
        <v>82.249999999999986</v>
      </c>
      <c r="G64" s="18">
        <f t="shared" si="7"/>
        <v>62.999999999999993</v>
      </c>
      <c r="H64" s="16">
        <f t="shared" si="7"/>
        <v>3406411.6</v>
      </c>
      <c r="I64" s="16">
        <f t="shared" si="7"/>
        <v>0</v>
      </c>
      <c r="J64" s="16">
        <f t="shared" si="7"/>
        <v>0</v>
      </c>
      <c r="K64" s="16">
        <f t="shared" si="7"/>
        <v>3406411.6</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14">
        <v>7509.1099999999988</v>
      </c>
      <c r="G68" s="14">
        <v>0</v>
      </c>
      <c r="H68" s="14">
        <v>240720.19999999998</v>
      </c>
      <c r="I68" s="50">
        <f t="shared" ref="I68" si="8">H68*F$114</f>
        <v>134971.81613999998</v>
      </c>
      <c r="J68" s="14">
        <v>0</v>
      </c>
      <c r="K68" s="16">
        <f>(H68+I68)-J68</f>
        <v>375692.01613999996</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9">SUM(F68:F72)</f>
        <v>7509.1099999999988</v>
      </c>
      <c r="G74" s="21">
        <f t="shared" si="9"/>
        <v>0</v>
      </c>
      <c r="H74" s="21">
        <f t="shared" si="9"/>
        <v>240720.19999999998</v>
      </c>
      <c r="I74" s="53">
        <f t="shared" si="9"/>
        <v>134971.81613999998</v>
      </c>
      <c r="J74" s="21">
        <f t="shared" si="9"/>
        <v>0</v>
      </c>
      <c r="K74" s="17">
        <f t="shared" si="9"/>
        <v>375692.01613999996</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v>7</v>
      </c>
      <c r="G77" s="14">
        <v>0</v>
      </c>
      <c r="H77" s="14">
        <v>13003.9</v>
      </c>
      <c r="I77" s="50">
        <v>0</v>
      </c>
      <c r="J77" s="14">
        <v>0</v>
      </c>
      <c r="K77" s="16">
        <f>(H77+I77)-J77</f>
        <v>13003.9</v>
      </c>
    </row>
    <row r="78" spans="1:11" ht="18" customHeight="1">
      <c r="A78" s="5" t="s">
        <v>108</v>
      </c>
      <c r="B78" s="341" t="s">
        <v>55</v>
      </c>
      <c r="F78" s="14"/>
      <c r="G78" s="14"/>
      <c r="H78" s="15"/>
      <c r="I78" s="50">
        <v>0</v>
      </c>
      <c r="J78" s="15"/>
      <c r="K78" s="16">
        <f>(H78+I78)-J78</f>
        <v>0</v>
      </c>
    </row>
    <row r="79" spans="1:11" ht="18" customHeight="1">
      <c r="A79" s="5" t="s">
        <v>109</v>
      </c>
      <c r="B79" s="341" t="s">
        <v>13</v>
      </c>
      <c r="F79" s="14">
        <v>823.35399999999993</v>
      </c>
      <c r="G79" s="14">
        <v>250.6</v>
      </c>
      <c r="H79" s="14">
        <v>90735.4</v>
      </c>
      <c r="I79" s="50">
        <v>0</v>
      </c>
      <c r="J79" s="14">
        <v>0</v>
      </c>
      <c r="K79" s="16">
        <f>(H79+I79)-J79</f>
        <v>90735.4</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10">SUM(F77:F80)</f>
        <v>830.35399999999993</v>
      </c>
      <c r="G82" s="21">
        <f t="shared" si="10"/>
        <v>250.6</v>
      </c>
      <c r="H82" s="17">
        <f t="shared" si="10"/>
        <v>103739.29999999999</v>
      </c>
      <c r="I82" s="17">
        <f t="shared" si="10"/>
        <v>0</v>
      </c>
      <c r="J82" s="17">
        <f t="shared" si="10"/>
        <v>0</v>
      </c>
      <c r="K82" s="17">
        <f t="shared" si="10"/>
        <v>103739.29999999999</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1">H86*F$114</f>
        <v>0</v>
      </c>
      <c r="J86" s="15"/>
      <c r="K86" s="16">
        <f t="shared" ref="K86:K96" si="12">(H86+I86)-J86</f>
        <v>0</v>
      </c>
    </row>
    <row r="87" spans="1:11" ht="18" customHeight="1">
      <c r="A87" s="5" t="s">
        <v>114</v>
      </c>
      <c r="B87" s="341" t="s">
        <v>14</v>
      </c>
      <c r="F87" s="14">
        <v>11.2</v>
      </c>
      <c r="G87" s="14">
        <v>0</v>
      </c>
      <c r="H87" s="14">
        <v>1161.3</v>
      </c>
      <c r="I87" s="50">
        <f t="shared" si="11"/>
        <v>651.14090999999996</v>
      </c>
      <c r="J87" s="14">
        <v>0</v>
      </c>
      <c r="K87" s="16">
        <f t="shared" si="12"/>
        <v>1812.4409099999998</v>
      </c>
    </row>
    <row r="88" spans="1:11" ht="18" customHeight="1">
      <c r="A88" s="5" t="s">
        <v>115</v>
      </c>
      <c r="B88" s="341" t="s">
        <v>116</v>
      </c>
      <c r="F88" s="14">
        <v>140.69999999999999</v>
      </c>
      <c r="G88" s="14">
        <v>0</v>
      </c>
      <c r="H88" s="14">
        <v>39904.199999999997</v>
      </c>
      <c r="I88" s="50">
        <f t="shared" si="11"/>
        <v>22374.284939999998</v>
      </c>
      <c r="J88" s="14">
        <v>31499.999999999996</v>
      </c>
      <c r="K88" s="16">
        <f t="shared" si="12"/>
        <v>30778.484939999998</v>
      </c>
    </row>
    <row r="89" spans="1:11" ht="18" customHeight="1">
      <c r="A89" s="5" t="s">
        <v>117</v>
      </c>
      <c r="B89" s="341" t="s">
        <v>58</v>
      </c>
      <c r="F89" s="14">
        <v>112</v>
      </c>
      <c r="G89" s="14">
        <v>0</v>
      </c>
      <c r="H89" s="14">
        <v>5807.2</v>
      </c>
      <c r="I89" s="50">
        <f t="shared" si="11"/>
        <v>3256.0970399999997</v>
      </c>
      <c r="J89" s="14">
        <v>0</v>
      </c>
      <c r="K89" s="16">
        <f t="shared" si="12"/>
        <v>9063.2970399999995</v>
      </c>
    </row>
    <row r="90" spans="1:11" ht="18" customHeight="1">
      <c r="A90" s="5" t="s">
        <v>118</v>
      </c>
      <c r="B90" s="641" t="s">
        <v>59</v>
      </c>
      <c r="C90" s="649"/>
      <c r="F90" s="14">
        <v>2.8</v>
      </c>
      <c r="G90" s="14">
        <v>0</v>
      </c>
      <c r="H90" s="14">
        <v>290.5</v>
      </c>
      <c r="I90" s="50">
        <f t="shared" si="11"/>
        <v>162.88335000000001</v>
      </c>
      <c r="J90" s="14">
        <v>0</v>
      </c>
      <c r="K90" s="16">
        <f t="shared" si="12"/>
        <v>453.38335000000001</v>
      </c>
    </row>
    <row r="91" spans="1:11" ht="18" customHeight="1">
      <c r="A91" s="5" t="s">
        <v>119</v>
      </c>
      <c r="B91" s="341" t="s">
        <v>60</v>
      </c>
      <c r="F91" s="14">
        <v>265.64999999999998</v>
      </c>
      <c r="G91" s="14">
        <v>52.5</v>
      </c>
      <c r="H91" s="14">
        <v>24458.699999999997</v>
      </c>
      <c r="I91" s="50">
        <f t="shared" si="11"/>
        <v>13713.993089999998</v>
      </c>
      <c r="J91" s="14">
        <v>0</v>
      </c>
      <c r="K91" s="16">
        <f t="shared" si="12"/>
        <v>38172.693089999993</v>
      </c>
    </row>
    <row r="92" spans="1:11" ht="18" customHeight="1">
      <c r="A92" s="5" t="s">
        <v>120</v>
      </c>
      <c r="B92" s="341" t="s">
        <v>121</v>
      </c>
      <c r="F92" s="38"/>
      <c r="G92" s="38"/>
      <c r="H92" s="39"/>
      <c r="I92" s="50">
        <f t="shared" si="11"/>
        <v>0</v>
      </c>
      <c r="J92" s="39"/>
      <c r="K92" s="16">
        <f t="shared" si="12"/>
        <v>0</v>
      </c>
    </row>
    <row r="93" spans="1:11" ht="18" customHeight="1">
      <c r="A93" s="5" t="s">
        <v>122</v>
      </c>
      <c r="B93" s="341" t="s">
        <v>123</v>
      </c>
      <c r="F93" s="14">
        <v>69.649999999999991</v>
      </c>
      <c r="G93" s="14">
        <v>77.699999999999989</v>
      </c>
      <c r="H93" s="14">
        <v>1821.3999999999999</v>
      </c>
      <c r="I93" s="50">
        <f t="shared" si="11"/>
        <v>1021.2589799999998</v>
      </c>
      <c r="J93" s="14">
        <v>0</v>
      </c>
      <c r="K93" s="16">
        <f t="shared" si="12"/>
        <v>2842.6589799999997</v>
      </c>
    </row>
    <row r="94" spans="1:11" ht="18" customHeight="1">
      <c r="A94" s="5" t="s">
        <v>124</v>
      </c>
      <c r="B94" s="642"/>
      <c r="C94" s="643"/>
      <c r="D94" s="644"/>
      <c r="F94" s="14"/>
      <c r="G94" s="14"/>
      <c r="H94" s="15"/>
      <c r="I94" s="50">
        <f t="shared" si="11"/>
        <v>0</v>
      </c>
      <c r="J94" s="15"/>
      <c r="K94" s="16">
        <f t="shared" si="12"/>
        <v>0</v>
      </c>
    </row>
    <row r="95" spans="1:11" ht="18" customHeight="1">
      <c r="A95" s="5" t="s">
        <v>125</v>
      </c>
      <c r="B95" s="642"/>
      <c r="C95" s="643"/>
      <c r="D95" s="644"/>
      <c r="F95" s="14"/>
      <c r="G95" s="14"/>
      <c r="H95" s="15"/>
      <c r="I95" s="50">
        <f t="shared" si="11"/>
        <v>0</v>
      </c>
      <c r="J95" s="15"/>
      <c r="K95" s="16">
        <f t="shared" si="12"/>
        <v>0</v>
      </c>
    </row>
    <row r="96" spans="1:11" ht="18" customHeight="1">
      <c r="A96" s="5" t="s">
        <v>126</v>
      </c>
      <c r="B96" s="642"/>
      <c r="C96" s="643"/>
      <c r="D96" s="644"/>
      <c r="F96" s="14"/>
      <c r="G96" s="14"/>
      <c r="H96" s="15"/>
      <c r="I96" s="50">
        <f t="shared" si="11"/>
        <v>0</v>
      </c>
      <c r="J96" s="15"/>
      <c r="K96" s="16">
        <f t="shared" si="12"/>
        <v>0</v>
      </c>
    </row>
    <row r="97" spans="1:11" ht="18" customHeight="1">
      <c r="A97" s="5"/>
      <c r="B97" s="341"/>
    </row>
    <row r="98" spans="1:11" ht="18" customHeight="1">
      <c r="A98" s="6" t="s">
        <v>150</v>
      </c>
      <c r="B98" s="2" t="s">
        <v>151</v>
      </c>
      <c r="E98" s="2" t="s">
        <v>7</v>
      </c>
      <c r="F98" s="18">
        <f t="shared" ref="F98:K98" si="13">SUM(F86:F96)</f>
        <v>601.99999999999989</v>
      </c>
      <c r="G98" s="18">
        <f t="shared" si="13"/>
        <v>130.19999999999999</v>
      </c>
      <c r="H98" s="18">
        <f t="shared" si="13"/>
        <v>73443.299999999988</v>
      </c>
      <c r="I98" s="18">
        <f t="shared" si="13"/>
        <v>41179.658309999992</v>
      </c>
      <c r="J98" s="18">
        <f t="shared" si="13"/>
        <v>31499.999999999996</v>
      </c>
      <c r="K98" s="18">
        <f t="shared" si="13"/>
        <v>83122.958309999973</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2196.6</v>
      </c>
      <c r="G102" s="14">
        <v>0.7</v>
      </c>
      <c r="H102" s="14">
        <v>74504.5</v>
      </c>
      <c r="I102" s="50">
        <f>H102*F$114</f>
        <v>41774.673149999995</v>
      </c>
      <c r="J102" s="14">
        <v>0</v>
      </c>
      <c r="K102" s="16">
        <f>(H102+I102)-J102</f>
        <v>116279.17314999999</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4">SUM(F102:F106)</f>
        <v>2196.6</v>
      </c>
      <c r="G108" s="18">
        <f t="shared" si="14"/>
        <v>0.7</v>
      </c>
      <c r="H108" s="16">
        <f t="shared" si="14"/>
        <v>74504.5</v>
      </c>
      <c r="I108" s="16">
        <f t="shared" si="14"/>
        <v>41774.673149999995</v>
      </c>
      <c r="J108" s="16">
        <f t="shared" si="14"/>
        <v>0</v>
      </c>
      <c r="K108" s="16">
        <f t="shared" si="14"/>
        <v>116279.17314999999</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4956053.3099999996</v>
      </c>
    </row>
    <row r="112" spans="1:11" ht="18" customHeight="1">
      <c r="B112" s="2"/>
      <c r="E112" s="2"/>
      <c r="F112" s="22"/>
    </row>
    <row r="113" spans="1:6" ht="18" customHeight="1">
      <c r="A113" s="6"/>
      <c r="B113" s="2" t="s">
        <v>15</v>
      </c>
    </row>
    <row r="114" spans="1:6" ht="18" customHeight="1">
      <c r="A114" s="5" t="s">
        <v>171</v>
      </c>
      <c r="B114" s="341" t="s">
        <v>35</v>
      </c>
      <c r="F114" s="25">
        <v>0.56069999999999998</v>
      </c>
    </row>
    <row r="115" spans="1:6" ht="18" customHeight="1">
      <c r="A115" s="5"/>
      <c r="B115" s="2"/>
    </row>
    <row r="116" spans="1:6" ht="18" customHeight="1">
      <c r="A116" s="5" t="s">
        <v>170</v>
      </c>
      <c r="B116" s="2" t="s">
        <v>16</v>
      </c>
    </row>
    <row r="117" spans="1:6" ht="18" customHeight="1">
      <c r="A117" s="5" t="s">
        <v>172</v>
      </c>
      <c r="B117" s="341" t="s">
        <v>17</v>
      </c>
      <c r="F117" s="15">
        <v>247342000</v>
      </c>
    </row>
    <row r="118" spans="1:6" ht="18" customHeight="1">
      <c r="A118" s="5" t="s">
        <v>173</v>
      </c>
      <c r="B118" t="s">
        <v>18</v>
      </c>
      <c r="F118" s="15">
        <v>6150000</v>
      </c>
    </row>
    <row r="119" spans="1:6" ht="18" customHeight="1">
      <c r="A119" s="5" t="s">
        <v>174</v>
      </c>
      <c r="B119" s="2" t="s">
        <v>19</v>
      </c>
      <c r="F119" s="17">
        <f>SUM(F117:F118)</f>
        <v>253492000</v>
      </c>
    </row>
    <row r="120" spans="1:6" ht="18" customHeight="1">
      <c r="A120" s="5"/>
      <c r="B120" s="2"/>
    </row>
    <row r="121" spans="1:6" ht="18" customHeight="1">
      <c r="A121" s="5" t="s">
        <v>167</v>
      </c>
      <c r="B121" s="2" t="s">
        <v>36</v>
      </c>
      <c r="F121" s="15">
        <v>236718000</v>
      </c>
    </row>
    <row r="122" spans="1:6" ht="18" customHeight="1">
      <c r="A122" s="5"/>
    </row>
    <row r="123" spans="1:6" ht="18" customHeight="1">
      <c r="A123" s="5" t="s">
        <v>175</v>
      </c>
      <c r="B123" s="2" t="s">
        <v>20</v>
      </c>
      <c r="F123" s="15">
        <v>16775000</v>
      </c>
    </row>
    <row r="124" spans="1:6" ht="18" customHeight="1">
      <c r="A124" s="5"/>
    </row>
    <row r="125" spans="1:6" ht="18" customHeight="1">
      <c r="A125" s="5" t="s">
        <v>176</v>
      </c>
      <c r="B125" s="2" t="s">
        <v>21</v>
      </c>
      <c r="F125" s="15">
        <v>430000</v>
      </c>
    </row>
    <row r="126" spans="1:6" ht="18" customHeight="1">
      <c r="A126" s="5"/>
    </row>
    <row r="127" spans="1:6" ht="18" customHeight="1">
      <c r="A127" s="5" t="s">
        <v>177</v>
      </c>
      <c r="B127" s="2" t="s">
        <v>22</v>
      </c>
      <c r="F127" s="15">
        <v>17205000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5">SUM(F131:F135)</f>
        <v>0</v>
      </c>
      <c r="G137" s="18">
        <f t="shared" si="15"/>
        <v>0</v>
      </c>
      <c r="H137" s="16">
        <f t="shared" si="15"/>
        <v>0</v>
      </c>
      <c r="I137" s="16">
        <f t="shared" si="15"/>
        <v>0</v>
      </c>
      <c r="J137" s="16">
        <f t="shared" si="15"/>
        <v>0</v>
      </c>
      <c r="K137" s="16">
        <f t="shared" si="15"/>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6">F36</f>
        <v>24009.509999999995</v>
      </c>
      <c r="G141" s="41">
        <f t="shared" si="16"/>
        <v>207269.99999999997</v>
      </c>
      <c r="H141" s="41">
        <f t="shared" si="16"/>
        <v>1266887.9999999998</v>
      </c>
      <c r="I141" s="41">
        <f t="shared" si="16"/>
        <v>584464.45819999999</v>
      </c>
      <c r="J141" s="41">
        <f t="shared" si="16"/>
        <v>214260.19999999998</v>
      </c>
      <c r="K141" s="41">
        <f t="shared" si="16"/>
        <v>1637092.2582</v>
      </c>
    </row>
    <row r="142" spans="1:11" ht="18" customHeight="1">
      <c r="A142" s="5" t="s">
        <v>142</v>
      </c>
      <c r="B142" s="2" t="s">
        <v>65</v>
      </c>
      <c r="F142" s="41">
        <f t="shared" ref="F142:K142" si="17">F49</f>
        <v>48907.95</v>
      </c>
      <c r="G142" s="41">
        <f t="shared" si="17"/>
        <v>125.3</v>
      </c>
      <c r="H142" s="41">
        <f t="shared" si="17"/>
        <v>2017115.7999999998</v>
      </c>
      <c r="I142" s="41">
        <f t="shared" si="17"/>
        <v>1130996.8290599999</v>
      </c>
      <c r="J142" s="41">
        <f t="shared" si="17"/>
        <v>1337</v>
      </c>
      <c r="K142" s="41">
        <f t="shared" si="17"/>
        <v>3146775.6290599997</v>
      </c>
    </row>
    <row r="143" spans="1:11" ht="18" customHeight="1">
      <c r="A143" s="5" t="s">
        <v>144</v>
      </c>
      <c r="B143" s="2" t="s">
        <v>66</v>
      </c>
      <c r="F143" s="41">
        <f t="shared" ref="F143:K143" si="18">F64</f>
        <v>82.249999999999986</v>
      </c>
      <c r="G143" s="41">
        <f t="shared" si="18"/>
        <v>62.999999999999993</v>
      </c>
      <c r="H143" s="41">
        <f t="shared" si="18"/>
        <v>3406411.6</v>
      </c>
      <c r="I143" s="41">
        <f t="shared" si="18"/>
        <v>0</v>
      </c>
      <c r="J143" s="41">
        <f t="shared" si="18"/>
        <v>0</v>
      </c>
      <c r="K143" s="41">
        <f t="shared" si="18"/>
        <v>3406411.6</v>
      </c>
    </row>
    <row r="144" spans="1:11" ht="18" customHeight="1">
      <c r="A144" s="5" t="s">
        <v>146</v>
      </c>
      <c r="B144" s="2" t="s">
        <v>67</v>
      </c>
      <c r="F144" s="41">
        <f t="shared" ref="F144:K144" si="19">F74</f>
        <v>7509.1099999999988</v>
      </c>
      <c r="G144" s="41">
        <f t="shared" si="19"/>
        <v>0</v>
      </c>
      <c r="H144" s="41">
        <f t="shared" si="19"/>
        <v>240720.19999999998</v>
      </c>
      <c r="I144" s="41">
        <f t="shared" si="19"/>
        <v>134971.81613999998</v>
      </c>
      <c r="J144" s="41">
        <f t="shared" si="19"/>
        <v>0</v>
      </c>
      <c r="K144" s="41">
        <f t="shared" si="19"/>
        <v>375692.01613999996</v>
      </c>
    </row>
    <row r="145" spans="1:11" ht="18" customHeight="1">
      <c r="A145" s="5" t="s">
        <v>148</v>
      </c>
      <c r="B145" s="2" t="s">
        <v>68</v>
      </c>
      <c r="F145" s="41">
        <f t="shared" ref="F145:K145" si="20">F82</f>
        <v>830.35399999999993</v>
      </c>
      <c r="G145" s="41">
        <f t="shared" si="20"/>
        <v>250.6</v>
      </c>
      <c r="H145" s="41">
        <f t="shared" si="20"/>
        <v>103739.29999999999</v>
      </c>
      <c r="I145" s="41">
        <f t="shared" si="20"/>
        <v>0</v>
      </c>
      <c r="J145" s="41">
        <f t="shared" si="20"/>
        <v>0</v>
      </c>
      <c r="K145" s="41">
        <f t="shared" si="20"/>
        <v>103739.29999999999</v>
      </c>
    </row>
    <row r="146" spans="1:11" ht="18" customHeight="1">
      <c r="A146" s="5" t="s">
        <v>150</v>
      </c>
      <c r="B146" s="2" t="s">
        <v>69</v>
      </c>
      <c r="F146" s="41">
        <f t="shared" ref="F146:K146" si="21">F98</f>
        <v>601.99999999999989</v>
      </c>
      <c r="G146" s="41">
        <f t="shared" si="21"/>
        <v>130.19999999999999</v>
      </c>
      <c r="H146" s="41">
        <f t="shared" si="21"/>
        <v>73443.299999999988</v>
      </c>
      <c r="I146" s="41">
        <f t="shared" si="21"/>
        <v>41179.658309999992</v>
      </c>
      <c r="J146" s="41">
        <f t="shared" si="21"/>
        <v>31499.999999999996</v>
      </c>
      <c r="K146" s="41">
        <f t="shared" si="21"/>
        <v>83122.958309999973</v>
      </c>
    </row>
    <row r="147" spans="1:11" ht="18" customHeight="1">
      <c r="A147" s="5" t="s">
        <v>153</v>
      </c>
      <c r="B147" s="2" t="s">
        <v>61</v>
      </c>
      <c r="F147" s="18">
        <f t="shared" ref="F147:K147" si="22">F108</f>
        <v>2196.6</v>
      </c>
      <c r="G147" s="18">
        <f t="shared" si="22"/>
        <v>0.7</v>
      </c>
      <c r="H147" s="18">
        <f t="shared" si="22"/>
        <v>74504.5</v>
      </c>
      <c r="I147" s="18">
        <f t="shared" si="22"/>
        <v>41774.673149999995</v>
      </c>
      <c r="J147" s="18">
        <f t="shared" si="22"/>
        <v>0</v>
      </c>
      <c r="K147" s="18">
        <f t="shared" si="22"/>
        <v>116279.17314999999</v>
      </c>
    </row>
    <row r="148" spans="1:11" ht="18" customHeight="1">
      <c r="A148" s="5" t="s">
        <v>155</v>
      </c>
      <c r="B148" s="2" t="s">
        <v>70</v>
      </c>
      <c r="F148" s="42" t="s">
        <v>73</v>
      </c>
      <c r="G148" s="42" t="s">
        <v>73</v>
      </c>
      <c r="H148" s="43" t="s">
        <v>73</v>
      </c>
      <c r="I148" s="43" t="s">
        <v>73</v>
      </c>
      <c r="J148" s="43" t="s">
        <v>73</v>
      </c>
      <c r="K148" s="37">
        <f>F111</f>
        <v>4956053.3099999996</v>
      </c>
    </row>
    <row r="149" spans="1:11" ht="18" customHeight="1">
      <c r="A149" s="5" t="s">
        <v>163</v>
      </c>
      <c r="B149" s="2" t="s">
        <v>71</v>
      </c>
      <c r="F149" s="18">
        <f t="shared" ref="F149:K149" si="23">F137</f>
        <v>0</v>
      </c>
      <c r="G149" s="18">
        <f t="shared" si="23"/>
        <v>0</v>
      </c>
      <c r="H149" s="18">
        <f t="shared" si="23"/>
        <v>0</v>
      </c>
      <c r="I149" s="18">
        <f t="shared" si="23"/>
        <v>0</v>
      </c>
      <c r="J149" s="18">
        <f t="shared" si="23"/>
        <v>0</v>
      </c>
      <c r="K149" s="18">
        <f t="shared" si="23"/>
        <v>0</v>
      </c>
    </row>
    <row r="150" spans="1:11" ht="18" customHeight="1">
      <c r="A150" s="5" t="s">
        <v>185</v>
      </c>
      <c r="B150" s="2" t="s">
        <v>186</v>
      </c>
      <c r="F150" s="42" t="s">
        <v>73</v>
      </c>
      <c r="G150" s="42" t="s">
        <v>73</v>
      </c>
      <c r="H150" s="18">
        <f>H18</f>
        <v>8175922</v>
      </c>
      <c r="I150" s="18">
        <f>I18</f>
        <v>0</v>
      </c>
      <c r="J150" s="18">
        <f>J18</f>
        <v>6991436</v>
      </c>
      <c r="K150" s="18">
        <f>K18</f>
        <v>1184486</v>
      </c>
    </row>
    <row r="151" spans="1:11" ht="18" customHeight="1">
      <c r="B151" s="2"/>
      <c r="F151" s="48"/>
      <c r="G151" s="48"/>
      <c r="H151" s="48"/>
      <c r="I151" s="48"/>
      <c r="J151" s="48"/>
      <c r="K151" s="48"/>
    </row>
    <row r="152" spans="1:11" ht="18" customHeight="1">
      <c r="A152" s="6" t="s">
        <v>165</v>
      </c>
      <c r="B152" s="2" t="s">
        <v>26</v>
      </c>
      <c r="F152" s="49">
        <f t="shared" ref="F152:K152" si="24">SUM(F141:F150)</f>
        <v>84137.774000000005</v>
      </c>
      <c r="G152" s="49">
        <f t="shared" si="24"/>
        <v>207839.8</v>
      </c>
      <c r="H152" s="49">
        <f t="shared" si="24"/>
        <v>15358744.699999999</v>
      </c>
      <c r="I152" s="49">
        <f t="shared" si="24"/>
        <v>1933387.4348599999</v>
      </c>
      <c r="J152" s="49">
        <f t="shared" si="24"/>
        <v>7238533.2000000002</v>
      </c>
      <c r="K152" s="49">
        <f t="shared" si="24"/>
        <v>15009652.244859997</v>
      </c>
    </row>
    <row r="154" spans="1:11" ht="18" customHeight="1">
      <c r="A154" s="6" t="s">
        <v>168</v>
      </c>
      <c r="B154" s="2" t="s">
        <v>28</v>
      </c>
      <c r="F154" s="348">
        <f>K152/F121</f>
        <v>6.3407312687924017E-2</v>
      </c>
    </row>
    <row r="155" spans="1:11" ht="18" customHeight="1">
      <c r="A155" s="6" t="s">
        <v>169</v>
      </c>
      <c r="B155" s="2" t="s">
        <v>72</v>
      </c>
      <c r="F155" s="348">
        <f>K152/F127</f>
        <v>0.87240059545829685</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124" zoomScale="75" zoomScaleNormal="75" zoomScaleSheetLayoutView="70" workbookViewId="0">
      <selection activeCell="L109" sqref="L109"/>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53" t="s">
        <v>493</v>
      </c>
      <c r="D5" s="654"/>
      <c r="E5" s="654"/>
      <c r="F5" s="654"/>
      <c r="G5" s="655"/>
    </row>
    <row r="6" spans="1:11" ht="18" customHeight="1">
      <c r="B6" s="5" t="s">
        <v>3</v>
      </c>
      <c r="C6" s="656" t="s">
        <v>494</v>
      </c>
      <c r="D6" s="657"/>
      <c r="E6" s="657"/>
      <c r="F6" s="657"/>
      <c r="G6" s="658"/>
    </row>
    <row r="7" spans="1:11" ht="18" customHeight="1">
      <c r="B7" s="5" t="s">
        <v>4</v>
      </c>
      <c r="C7" s="659">
        <v>1466</v>
      </c>
      <c r="D7" s="660"/>
      <c r="E7" s="660"/>
      <c r="F7" s="660"/>
      <c r="G7" s="661"/>
    </row>
    <row r="9" spans="1:11" ht="18" customHeight="1">
      <c r="B9" s="5" t="s">
        <v>1</v>
      </c>
      <c r="C9" s="653" t="s">
        <v>495</v>
      </c>
      <c r="D9" s="654"/>
      <c r="E9" s="654"/>
      <c r="F9" s="654"/>
      <c r="G9" s="655"/>
    </row>
    <row r="10" spans="1:11" ht="18" customHeight="1">
      <c r="B10" s="5" t="s">
        <v>2</v>
      </c>
      <c r="C10" s="662" t="s">
        <v>496</v>
      </c>
      <c r="D10" s="663"/>
      <c r="E10" s="663"/>
      <c r="F10" s="663"/>
      <c r="G10" s="664"/>
    </row>
    <row r="11" spans="1:11" ht="18" customHeight="1">
      <c r="B11" s="5" t="s">
        <v>32</v>
      </c>
      <c r="C11" s="653" t="s">
        <v>497</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5467732</v>
      </c>
      <c r="I18" s="50"/>
      <c r="J18" s="15">
        <v>4675594</v>
      </c>
      <c r="K18" s="16">
        <f>(H18+I18)-J18</f>
        <v>792138</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839</v>
      </c>
      <c r="G21" s="14">
        <v>4192</v>
      </c>
      <c r="H21" s="15">
        <v>51267</v>
      </c>
      <c r="I21" s="50">
        <f t="shared" ref="I21:I34" si="0">H21*F$114</f>
        <v>32298.21</v>
      </c>
      <c r="J21" s="15"/>
      <c r="K21" s="16">
        <f t="shared" ref="K21:K34" si="1">(H21+I21)-J21</f>
        <v>83565.209999999992</v>
      </c>
    </row>
    <row r="22" spans="1:11" ht="18" customHeight="1">
      <c r="A22" s="5" t="s">
        <v>76</v>
      </c>
      <c r="B22" t="s">
        <v>6</v>
      </c>
      <c r="F22" s="14">
        <v>325</v>
      </c>
      <c r="G22" s="14">
        <v>1670</v>
      </c>
      <c r="H22" s="15">
        <v>55667</v>
      </c>
      <c r="I22" s="50">
        <f t="shared" si="0"/>
        <v>35070.21</v>
      </c>
      <c r="J22" s="15"/>
      <c r="K22" s="16">
        <f t="shared" si="1"/>
        <v>90737.209999999992</v>
      </c>
    </row>
    <row r="23" spans="1:11" ht="18" customHeight="1">
      <c r="A23" s="5" t="s">
        <v>77</v>
      </c>
      <c r="B23" t="s">
        <v>43</v>
      </c>
      <c r="F23" s="14"/>
      <c r="G23" s="14"/>
      <c r="H23" s="15"/>
      <c r="I23" s="50">
        <f t="shared" si="0"/>
        <v>0</v>
      </c>
      <c r="J23" s="15"/>
      <c r="K23" s="16">
        <f t="shared" si="1"/>
        <v>0</v>
      </c>
    </row>
    <row r="24" spans="1:11" ht="18" customHeight="1">
      <c r="A24" s="5" t="s">
        <v>78</v>
      </c>
      <c r="B24" t="s">
        <v>44</v>
      </c>
      <c r="F24" s="14"/>
      <c r="G24" s="14"/>
      <c r="H24" s="15"/>
      <c r="I24" s="50">
        <f t="shared" si="0"/>
        <v>0</v>
      </c>
      <c r="J24" s="15"/>
      <c r="K24" s="16">
        <f t="shared" si="1"/>
        <v>0</v>
      </c>
    </row>
    <row r="25" spans="1:11" ht="18" customHeight="1">
      <c r="A25" s="5" t="s">
        <v>79</v>
      </c>
      <c r="B25" t="s">
        <v>5</v>
      </c>
      <c r="F25" s="14">
        <v>372</v>
      </c>
      <c r="G25" s="14">
        <v>1387</v>
      </c>
      <c r="H25" s="15">
        <v>22920</v>
      </c>
      <c r="I25" s="50">
        <f t="shared" si="0"/>
        <v>14439.6</v>
      </c>
      <c r="J25" s="15"/>
      <c r="K25" s="16">
        <f t="shared" si="1"/>
        <v>37359.599999999999</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c r="G29" s="14"/>
      <c r="H29" s="15"/>
      <c r="I29" s="50">
        <f t="shared" si="0"/>
        <v>0</v>
      </c>
      <c r="J29" s="15"/>
      <c r="K29" s="16">
        <f t="shared" si="1"/>
        <v>0</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247"/>
      <c r="C32" s="248"/>
      <c r="D32" s="249"/>
      <c r="F32" s="14"/>
      <c r="G32" s="342" t="s">
        <v>85</v>
      </c>
      <c r="H32" s="15"/>
      <c r="I32" s="50">
        <f t="shared" si="0"/>
        <v>0</v>
      </c>
      <c r="J32" s="15"/>
      <c r="K32" s="16">
        <f t="shared" si="1"/>
        <v>0</v>
      </c>
    </row>
    <row r="33" spans="1:11" ht="18" customHeight="1">
      <c r="A33" s="5" t="s">
        <v>135</v>
      </c>
      <c r="B33" s="247"/>
      <c r="C33" s="248"/>
      <c r="D33" s="249"/>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1536</v>
      </c>
      <c r="G36" s="18">
        <f t="shared" si="2"/>
        <v>7249</v>
      </c>
      <c r="H36" s="18">
        <f t="shared" si="2"/>
        <v>129854</v>
      </c>
      <c r="I36" s="16">
        <f t="shared" si="2"/>
        <v>81808.02</v>
      </c>
      <c r="J36" s="16">
        <f t="shared" si="2"/>
        <v>0</v>
      </c>
      <c r="K36" s="16">
        <f t="shared" si="2"/>
        <v>211662.02</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v>0</v>
      </c>
      <c r="J40" s="15"/>
      <c r="K40" s="16">
        <f t="shared" ref="K40:K47" si="3">(H40+I40)-J40</f>
        <v>0</v>
      </c>
    </row>
    <row r="41" spans="1:11" ht="18" customHeight="1">
      <c r="A41" s="5" t="s">
        <v>88</v>
      </c>
      <c r="B41" s="641" t="s">
        <v>50</v>
      </c>
      <c r="C41" s="649"/>
      <c r="F41" s="14">
        <v>32264</v>
      </c>
      <c r="G41" s="14">
        <v>454</v>
      </c>
      <c r="H41" s="15">
        <v>1129240</v>
      </c>
      <c r="I41" s="50">
        <v>0</v>
      </c>
      <c r="J41" s="15"/>
      <c r="K41" s="16">
        <f t="shared" si="3"/>
        <v>1129240</v>
      </c>
    </row>
    <row r="42" spans="1:11" ht="18" customHeight="1">
      <c r="A42" s="5" t="s">
        <v>89</v>
      </c>
      <c r="B42" s="341" t="s">
        <v>11</v>
      </c>
      <c r="F42" s="14">
        <v>10558</v>
      </c>
      <c r="G42" s="14">
        <v>1435</v>
      </c>
      <c r="H42" s="15">
        <v>497650</v>
      </c>
      <c r="I42" s="50">
        <v>0</v>
      </c>
      <c r="J42" s="15"/>
      <c r="K42" s="16">
        <f t="shared" si="3"/>
        <v>497650</v>
      </c>
    </row>
    <row r="43" spans="1:11" ht="18" customHeight="1">
      <c r="A43" s="5" t="s">
        <v>90</v>
      </c>
      <c r="B43" s="343" t="s">
        <v>10</v>
      </c>
      <c r="C43" s="10"/>
      <c r="D43" s="10"/>
      <c r="F43" s="14"/>
      <c r="G43" s="14"/>
      <c r="H43" s="15"/>
      <c r="I43" s="50">
        <v>0</v>
      </c>
      <c r="J43" s="15"/>
      <c r="K43" s="16">
        <f t="shared" si="3"/>
        <v>0</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42822</v>
      </c>
      <c r="G49" s="23">
        <f t="shared" si="4"/>
        <v>1889</v>
      </c>
      <c r="H49" s="16">
        <f t="shared" si="4"/>
        <v>1626890</v>
      </c>
      <c r="I49" s="16">
        <f t="shared" si="4"/>
        <v>0</v>
      </c>
      <c r="J49" s="16">
        <f t="shared" si="4"/>
        <v>0</v>
      </c>
      <c r="K49" s="16">
        <f t="shared" si="4"/>
        <v>1626890</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c r="C53" s="648"/>
      <c r="D53" s="644"/>
      <c r="F53" s="14"/>
      <c r="G53" s="14"/>
      <c r="H53" s="15"/>
      <c r="I53" s="50">
        <v>0</v>
      </c>
      <c r="J53" s="15"/>
      <c r="K53" s="16">
        <f t="shared" ref="K53:K62" si="5">(H53+I53)-J53</f>
        <v>0</v>
      </c>
    </row>
    <row r="54" spans="1:11" ht="18" customHeight="1">
      <c r="A54" s="5" t="s">
        <v>93</v>
      </c>
      <c r="B54" s="244"/>
      <c r="C54" s="245"/>
      <c r="D54" s="246"/>
      <c r="F54" s="14"/>
      <c r="G54" s="14"/>
      <c r="H54" s="15"/>
      <c r="I54" s="50">
        <v>0</v>
      </c>
      <c r="J54" s="15"/>
      <c r="K54" s="16">
        <f t="shared" si="5"/>
        <v>0</v>
      </c>
    </row>
    <row r="55" spans="1:11" ht="18" customHeight="1">
      <c r="A55" s="5" t="s">
        <v>94</v>
      </c>
      <c r="B55" s="642"/>
      <c r="C55" s="643"/>
      <c r="D55" s="644"/>
      <c r="F55" s="14"/>
      <c r="G55" s="14"/>
      <c r="H55" s="15"/>
      <c r="I55" s="50">
        <v>0</v>
      </c>
      <c r="J55" s="15"/>
      <c r="K55" s="16">
        <f t="shared" si="5"/>
        <v>0</v>
      </c>
    </row>
    <row r="56" spans="1:11" ht="18" customHeight="1">
      <c r="A56" s="5" t="s">
        <v>95</v>
      </c>
      <c r="B56" s="642"/>
      <c r="C56" s="643"/>
      <c r="D56" s="644"/>
      <c r="F56" s="14"/>
      <c r="G56" s="14"/>
      <c r="H56" s="15"/>
      <c r="I56" s="50">
        <v>0</v>
      </c>
      <c r="J56" s="15"/>
      <c r="K56" s="16">
        <f t="shared" si="5"/>
        <v>0</v>
      </c>
    </row>
    <row r="57" spans="1:11" ht="18" customHeight="1">
      <c r="A57" s="5" t="s">
        <v>96</v>
      </c>
      <c r="B57" s="642"/>
      <c r="C57" s="643"/>
      <c r="D57" s="644"/>
      <c r="F57" s="14"/>
      <c r="G57" s="14"/>
      <c r="H57" s="15"/>
      <c r="I57" s="50">
        <v>0</v>
      </c>
      <c r="J57" s="15"/>
      <c r="K57" s="16">
        <f t="shared" si="5"/>
        <v>0</v>
      </c>
    </row>
    <row r="58" spans="1:11" ht="18" customHeight="1">
      <c r="A58" s="5" t="s">
        <v>97</v>
      </c>
      <c r="B58" s="244"/>
      <c r="C58" s="245"/>
      <c r="D58" s="246"/>
      <c r="F58" s="14"/>
      <c r="G58" s="14"/>
      <c r="H58" s="15"/>
      <c r="I58" s="50">
        <v>0</v>
      </c>
      <c r="J58" s="15"/>
      <c r="K58" s="16">
        <f t="shared" si="5"/>
        <v>0</v>
      </c>
    </row>
    <row r="59" spans="1:11" ht="18" customHeight="1">
      <c r="A59" s="5" t="s">
        <v>98</v>
      </c>
      <c r="B59" s="642"/>
      <c r="C59" s="643"/>
      <c r="D59" s="644"/>
      <c r="F59" s="14"/>
      <c r="G59" s="14"/>
      <c r="H59" s="15"/>
      <c r="I59" s="50">
        <v>0</v>
      </c>
      <c r="J59" s="15"/>
      <c r="K59" s="16">
        <f t="shared" si="5"/>
        <v>0</v>
      </c>
    </row>
    <row r="60" spans="1:11" ht="18" customHeight="1">
      <c r="A60" s="5" t="s">
        <v>99</v>
      </c>
      <c r="B60" s="244"/>
      <c r="C60" s="245"/>
      <c r="D60" s="246"/>
      <c r="F60" s="14"/>
      <c r="G60" s="14"/>
      <c r="H60" s="15"/>
      <c r="I60" s="50">
        <v>0</v>
      </c>
      <c r="J60" s="15"/>
      <c r="K60" s="16">
        <f t="shared" si="5"/>
        <v>0</v>
      </c>
    </row>
    <row r="61" spans="1:11" ht="18" customHeight="1">
      <c r="A61" s="5" t="s">
        <v>100</v>
      </c>
      <c r="B61" s="244"/>
      <c r="C61" s="245"/>
      <c r="D61" s="246"/>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0</v>
      </c>
      <c r="G64" s="18">
        <f t="shared" si="6"/>
        <v>0</v>
      </c>
      <c r="H64" s="16">
        <f t="shared" si="6"/>
        <v>0</v>
      </c>
      <c r="I64" s="16">
        <f t="shared" si="6"/>
        <v>0</v>
      </c>
      <c r="J64" s="16">
        <f t="shared" si="6"/>
        <v>0</v>
      </c>
      <c r="K64" s="16">
        <f t="shared" si="6"/>
        <v>0</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244"/>
      <c r="C70" s="245"/>
      <c r="D70" s="246"/>
      <c r="E70" s="2"/>
      <c r="F70" s="35"/>
      <c r="G70" s="35"/>
      <c r="H70" s="36"/>
      <c r="I70" s="50">
        <v>0</v>
      </c>
      <c r="J70" s="36"/>
      <c r="K70" s="16">
        <f>(H70+I70)-J70</f>
        <v>0</v>
      </c>
    </row>
    <row r="71" spans="1:11" ht="18" customHeight="1">
      <c r="A71" s="5" t="s">
        <v>179</v>
      </c>
      <c r="B71" s="244"/>
      <c r="C71" s="245"/>
      <c r="D71" s="246"/>
      <c r="E71" s="2"/>
      <c r="F71" s="35"/>
      <c r="G71" s="35"/>
      <c r="H71" s="36"/>
      <c r="I71" s="50">
        <v>0</v>
      </c>
      <c r="J71" s="36"/>
      <c r="K71" s="16">
        <f>(H71+I71)-J71</f>
        <v>0</v>
      </c>
    </row>
    <row r="72" spans="1:11" ht="18" customHeight="1">
      <c r="A72" s="5" t="s">
        <v>180</v>
      </c>
      <c r="B72" s="32"/>
      <c r="C72" s="33"/>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0</v>
      </c>
      <c r="I74" s="53">
        <f t="shared" si="7"/>
        <v>0</v>
      </c>
      <c r="J74" s="21">
        <f t="shared" si="7"/>
        <v>0</v>
      </c>
      <c r="K74" s="17">
        <f t="shared" si="7"/>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v>302899.19</v>
      </c>
      <c r="I77" s="50">
        <v>0</v>
      </c>
      <c r="J77" s="15"/>
      <c r="K77" s="16">
        <f>(H77+I77)-J77</f>
        <v>302899.19</v>
      </c>
    </row>
    <row r="78" spans="1:11" ht="18" customHeight="1">
      <c r="A78" s="5" t="s">
        <v>108</v>
      </c>
      <c r="B78" s="341" t="s">
        <v>55</v>
      </c>
      <c r="F78" s="14"/>
      <c r="G78" s="14"/>
      <c r="H78" s="15"/>
      <c r="I78" s="50">
        <v>0</v>
      </c>
      <c r="J78" s="15"/>
      <c r="K78" s="16">
        <f>(H78+I78)-J78</f>
        <v>0</v>
      </c>
    </row>
    <row r="79" spans="1:11" ht="18" customHeight="1">
      <c r="A79" s="5" t="s">
        <v>109</v>
      </c>
      <c r="B79" s="341" t="s">
        <v>13</v>
      </c>
      <c r="F79" s="14">
        <v>1773</v>
      </c>
      <c r="G79" s="14">
        <v>10930</v>
      </c>
      <c r="H79" s="15">
        <v>58240</v>
      </c>
      <c r="I79" s="50">
        <v>0</v>
      </c>
      <c r="J79" s="15"/>
      <c r="K79" s="16">
        <f>(H79+I79)-J79</f>
        <v>58240</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8">SUM(F77:F80)</f>
        <v>1773</v>
      </c>
      <c r="G82" s="21">
        <f t="shared" si="8"/>
        <v>10930</v>
      </c>
      <c r="H82" s="17">
        <f t="shared" si="8"/>
        <v>361139.19</v>
      </c>
      <c r="I82" s="17">
        <f t="shared" si="8"/>
        <v>0</v>
      </c>
      <c r="J82" s="17">
        <f t="shared" si="8"/>
        <v>0</v>
      </c>
      <c r="K82" s="17">
        <f t="shared" si="8"/>
        <v>361139.19</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14">
        <v>102</v>
      </c>
      <c r="G87" s="14">
        <v>2509</v>
      </c>
      <c r="H87" s="15">
        <v>41353</v>
      </c>
      <c r="I87" s="50">
        <f t="shared" si="9"/>
        <v>26052.39</v>
      </c>
      <c r="J87" s="15"/>
      <c r="K87" s="16">
        <f t="shared" si="10"/>
        <v>67405.39</v>
      </c>
    </row>
    <row r="88" spans="1:11" ht="18" customHeight="1">
      <c r="A88" s="5" t="s">
        <v>115</v>
      </c>
      <c r="B88" s="341" t="s">
        <v>116</v>
      </c>
      <c r="F88" s="14">
        <v>10420</v>
      </c>
      <c r="G88" s="14">
        <v>3328</v>
      </c>
      <c r="H88" s="15">
        <v>347060</v>
      </c>
      <c r="I88" s="50">
        <f t="shared" si="9"/>
        <v>218647.8</v>
      </c>
      <c r="J88" s="15"/>
      <c r="K88" s="16">
        <f t="shared" si="10"/>
        <v>565707.80000000005</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c r="G91" s="14"/>
      <c r="H91" s="15"/>
      <c r="I91" s="50">
        <f t="shared" si="9"/>
        <v>0</v>
      </c>
      <c r="J91" s="15"/>
      <c r="K91" s="16">
        <f t="shared" si="10"/>
        <v>0</v>
      </c>
    </row>
    <row r="92" spans="1:11" ht="18" customHeight="1">
      <c r="A92" s="5" t="s">
        <v>120</v>
      </c>
      <c r="B92" s="341" t="s">
        <v>121</v>
      </c>
      <c r="F92" s="38"/>
      <c r="G92" s="38"/>
      <c r="H92" s="39"/>
      <c r="I92" s="50">
        <f t="shared" si="9"/>
        <v>0</v>
      </c>
      <c r="J92" s="39"/>
      <c r="K92" s="16">
        <f t="shared" si="10"/>
        <v>0</v>
      </c>
    </row>
    <row r="93" spans="1:11" ht="18" customHeight="1">
      <c r="A93" s="5" t="s">
        <v>122</v>
      </c>
      <c r="B93" s="341" t="s">
        <v>123</v>
      </c>
      <c r="F93" s="14">
        <v>3146</v>
      </c>
      <c r="G93" s="14">
        <v>8350</v>
      </c>
      <c r="H93" s="15">
        <v>79403</v>
      </c>
      <c r="I93" s="50">
        <f t="shared" si="9"/>
        <v>50023.89</v>
      </c>
      <c r="J93" s="15"/>
      <c r="K93" s="16">
        <f t="shared" si="10"/>
        <v>129426.89</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13668</v>
      </c>
      <c r="G98" s="18">
        <f t="shared" si="11"/>
        <v>14187</v>
      </c>
      <c r="H98" s="18">
        <f t="shared" si="11"/>
        <v>467816</v>
      </c>
      <c r="I98" s="18">
        <f t="shared" si="11"/>
        <v>294724.08</v>
      </c>
      <c r="J98" s="18">
        <f t="shared" si="11"/>
        <v>0</v>
      </c>
      <c r="K98" s="18">
        <f t="shared" si="11"/>
        <v>762540.08000000007</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2080</v>
      </c>
      <c r="G102" s="14"/>
      <c r="H102" s="15">
        <v>62400</v>
      </c>
      <c r="I102" s="50">
        <f>H102*F$114</f>
        <v>39312</v>
      </c>
      <c r="J102" s="15"/>
      <c r="K102" s="16">
        <f>(H102+I102)-J102</f>
        <v>101712</v>
      </c>
    </row>
    <row r="103" spans="1:11" ht="18" customHeight="1">
      <c r="A103" s="5" t="s">
        <v>132</v>
      </c>
      <c r="B103" s="641" t="s">
        <v>62</v>
      </c>
      <c r="C103" s="641"/>
      <c r="F103" s="14">
        <v>120</v>
      </c>
      <c r="G103" s="14"/>
      <c r="H103" s="15">
        <v>7200</v>
      </c>
      <c r="I103" s="50">
        <f>H103*F$114</f>
        <v>4536</v>
      </c>
      <c r="J103" s="15"/>
      <c r="K103" s="16">
        <f>(H103+I103)-J103</f>
        <v>11736</v>
      </c>
    </row>
    <row r="104" spans="1:11" ht="18" customHeight="1">
      <c r="A104" s="5" t="s">
        <v>128</v>
      </c>
      <c r="B104" s="650" t="s">
        <v>498</v>
      </c>
      <c r="C104" s="643"/>
      <c r="D104" s="644"/>
      <c r="F104" s="14"/>
      <c r="G104" s="14"/>
      <c r="H104" s="15">
        <v>20000</v>
      </c>
      <c r="I104" s="50">
        <f>H104*F$114</f>
        <v>12600</v>
      </c>
      <c r="J104" s="15"/>
      <c r="K104" s="16">
        <f>(H104+I104)-J104</f>
        <v>32600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2200</v>
      </c>
      <c r="G108" s="18">
        <f t="shared" si="12"/>
        <v>0</v>
      </c>
      <c r="H108" s="16">
        <f t="shared" si="12"/>
        <v>89600</v>
      </c>
      <c r="I108" s="16">
        <f t="shared" si="12"/>
        <v>56448</v>
      </c>
      <c r="J108" s="16">
        <f t="shared" si="12"/>
        <v>0</v>
      </c>
      <c r="K108" s="16">
        <f t="shared" si="12"/>
        <v>146048</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14726686</v>
      </c>
    </row>
    <row r="112" spans="1:11" ht="18" customHeight="1">
      <c r="B112" s="2"/>
      <c r="E112" s="2"/>
      <c r="F112" s="22"/>
    </row>
    <row r="113" spans="1:6" ht="18" customHeight="1">
      <c r="A113" s="6"/>
      <c r="B113" s="2" t="s">
        <v>15</v>
      </c>
    </row>
    <row r="114" spans="1:6" ht="18" customHeight="1">
      <c r="A114" s="5" t="s">
        <v>171</v>
      </c>
      <c r="B114" s="341" t="s">
        <v>35</v>
      </c>
      <c r="F114" s="25">
        <v>0.63</v>
      </c>
    </row>
    <row r="115" spans="1:6" ht="18" customHeight="1">
      <c r="A115" s="5"/>
      <c r="B115" s="2"/>
    </row>
    <row r="116" spans="1:6" ht="18" customHeight="1">
      <c r="A116" s="5" t="s">
        <v>170</v>
      </c>
      <c r="B116" s="2" t="s">
        <v>16</v>
      </c>
    </row>
    <row r="117" spans="1:6" ht="18" customHeight="1">
      <c r="A117" s="5" t="s">
        <v>172</v>
      </c>
      <c r="B117" s="341" t="s">
        <v>17</v>
      </c>
      <c r="F117" s="15">
        <v>175897565</v>
      </c>
    </row>
    <row r="118" spans="1:6" ht="18" customHeight="1">
      <c r="A118" s="5" t="s">
        <v>173</v>
      </c>
      <c r="B118" t="s">
        <v>18</v>
      </c>
      <c r="F118" s="15">
        <v>4687403</v>
      </c>
    </row>
    <row r="119" spans="1:6" ht="18" customHeight="1">
      <c r="A119" s="5" t="s">
        <v>174</v>
      </c>
      <c r="B119" s="2" t="s">
        <v>19</v>
      </c>
      <c r="F119" s="17">
        <f>SUM(F117:F118)</f>
        <v>180584968</v>
      </c>
    </row>
    <row r="120" spans="1:6" ht="18" customHeight="1">
      <c r="A120" s="5"/>
      <c r="B120" s="2"/>
    </row>
    <row r="121" spans="1:6" ht="18" customHeight="1">
      <c r="A121" s="5" t="s">
        <v>167</v>
      </c>
      <c r="B121" s="2" t="s">
        <v>36</v>
      </c>
      <c r="F121" s="15">
        <v>176796204</v>
      </c>
    </row>
    <row r="122" spans="1:6" ht="18" customHeight="1">
      <c r="A122" s="5"/>
    </row>
    <row r="123" spans="1:6" ht="18" customHeight="1">
      <c r="A123" s="5" t="s">
        <v>175</v>
      </c>
      <c r="B123" s="2" t="s">
        <v>20</v>
      </c>
      <c r="F123" s="15">
        <v>3788764</v>
      </c>
    </row>
    <row r="124" spans="1:6" ht="18" customHeight="1">
      <c r="A124" s="5"/>
    </row>
    <row r="125" spans="1:6" ht="18" customHeight="1">
      <c r="A125" s="5" t="s">
        <v>176</v>
      </c>
      <c r="B125" s="2" t="s">
        <v>21</v>
      </c>
      <c r="F125" s="15">
        <v>1400011</v>
      </c>
    </row>
    <row r="126" spans="1:6" ht="18" customHeight="1">
      <c r="A126" s="5"/>
    </row>
    <row r="127" spans="1:6" ht="18" customHeight="1">
      <c r="A127" s="5" t="s">
        <v>177</v>
      </c>
      <c r="B127" s="2" t="s">
        <v>22</v>
      </c>
      <c r="F127" s="15">
        <v>5188775</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1536</v>
      </c>
      <c r="G141" s="41">
        <f t="shared" si="14"/>
        <v>7249</v>
      </c>
      <c r="H141" s="41">
        <f t="shared" si="14"/>
        <v>129854</v>
      </c>
      <c r="I141" s="41">
        <f t="shared" si="14"/>
        <v>81808.02</v>
      </c>
      <c r="J141" s="41">
        <f t="shared" si="14"/>
        <v>0</v>
      </c>
      <c r="K141" s="41">
        <f t="shared" si="14"/>
        <v>211662.02</v>
      </c>
    </row>
    <row r="142" spans="1:11" ht="18" customHeight="1">
      <c r="A142" s="5" t="s">
        <v>142</v>
      </c>
      <c r="B142" s="2" t="s">
        <v>65</v>
      </c>
      <c r="F142" s="41">
        <f t="shared" ref="F142:K142" si="15">F49</f>
        <v>42822</v>
      </c>
      <c r="G142" s="41">
        <f t="shared" si="15"/>
        <v>1889</v>
      </c>
      <c r="H142" s="41">
        <f t="shared" si="15"/>
        <v>1626890</v>
      </c>
      <c r="I142" s="41">
        <f t="shared" si="15"/>
        <v>0</v>
      </c>
      <c r="J142" s="41">
        <f t="shared" si="15"/>
        <v>0</v>
      </c>
      <c r="K142" s="41">
        <f t="shared" si="15"/>
        <v>1626890</v>
      </c>
    </row>
    <row r="143" spans="1:11" ht="18" customHeight="1">
      <c r="A143" s="5" t="s">
        <v>144</v>
      </c>
      <c r="B143" s="2" t="s">
        <v>66</v>
      </c>
      <c r="F143" s="41">
        <f t="shared" ref="F143:K143" si="16">F64</f>
        <v>0</v>
      </c>
      <c r="G143" s="41">
        <f t="shared" si="16"/>
        <v>0</v>
      </c>
      <c r="H143" s="41">
        <f t="shared" si="16"/>
        <v>0</v>
      </c>
      <c r="I143" s="41">
        <f t="shared" si="16"/>
        <v>0</v>
      </c>
      <c r="J143" s="41">
        <f t="shared" si="16"/>
        <v>0</v>
      </c>
      <c r="K143" s="41">
        <f t="shared" si="16"/>
        <v>0</v>
      </c>
    </row>
    <row r="144" spans="1:11" ht="18" customHeight="1">
      <c r="A144" s="5" t="s">
        <v>146</v>
      </c>
      <c r="B144" s="2" t="s">
        <v>67</v>
      </c>
      <c r="F144" s="41">
        <f t="shared" ref="F144:K144" si="17">F74</f>
        <v>0</v>
      </c>
      <c r="G144" s="41">
        <f t="shared" si="17"/>
        <v>0</v>
      </c>
      <c r="H144" s="41">
        <f t="shared" si="17"/>
        <v>0</v>
      </c>
      <c r="I144" s="41">
        <f t="shared" si="17"/>
        <v>0</v>
      </c>
      <c r="J144" s="41">
        <f t="shared" si="17"/>
        <v>0</v>
      </c>
      <c r="K144" s="41">
        <f t="shared" si="17"/>
        <v>0</v>
      </c>
    </row>
    <row r="145" spans="1:11" ht="18" customHeight="1">
      <c r="A145" s="5" t="s">
        <v>148</v>
      </c>
      <c r="B145" s="2" t="s">
        <v>68</v>
      </c>
      <c r="F145" s="41">
        <f t="shared" ref="F145:K145" si="18">F82</f>
        <v>1773</v>
      </c>
      <c r="G145" s="41">
        <f t="shared" si="18"/>
        <v>10930</v>
      </c>
      <c r="H145" s="41">
        <f t="shared" si="18"/>
        <v>361139.19</v>
      </c>
      <c r="I145" s="41">
        <f t="shared" si="18"/>
        <v>0</v>
      </c>
      <c r="J145" s="41">
        <f t="shared" si="18"/>
        <v>0</v>
      </c>
      <c r="K145" s="41">
        <f t="shared" si="18"/>
        <v>361139.19</v>
      </c>
    </row>
    <row r="146" spans="1:11" ht="18" customHeight="1">
      <c r="A146" s="5" t="s">
        <v>150</v>
      </c>
      <c r="B146" s="2" t="s">
        <v>69</v>
      </c>
      <c r="F146" s="41">
        <f t="shared" ref="F146:K146" si="19">F98</f>
        <v>13668</v>
      </c>
      <c r="G146" s="41">
        <f t="shared" si="19"/>
        <v>14187</v>
      </c>
      <c r="H146" s="41">
        <f t="shared" si="19"/>
        <v>467816</v>
      </c>
      <c r="I146" s="41">
        <f t="shared" si="19"/>
        <v>294724.08</v>
      </c>
      <c r="J146" s="41">
        <f t="shared" si="19"/>
        <v>0</v>
      </c>
      <c r="K146" s="41">
        <f t="shared" si="19"/>
        <v>762540.08000000007</v>
      </c>
    </row>
    <row r="147" spans="1:11" ht="18" customHeight="1">
      <c r="A147" s="5" t="s">
        <v>153</v>
      </c>
      <c r="B147" s="2" t="s">
        <v>61</v>
      </c>
      <c r="F147" s="18">
        <f t="shared" ref="F147:K147" si="20">F108</f>
        <v>2200</v>
      </c>
      <c r="G147" s="18">
        <f t="shared" si="20"/>
        <v>0</v>
      </c>
      <c r="H147" s="18">
        <f t="shared" si="20"/>
        <v>89600</v>
      </c>
      <c r="I147" s="18">
        <f t="shared" si="20"/>
        <v>56448</v>
      </c>
      <c r="J147" s="18">
        <f t="shared" si="20"/>
        <v>0</v>
      </c>
      <c r="K147" s="18">
        <f t="shared" si="20"/>
        <v>146048</v>
      </c>
    </row>
    <row r="148" spans="1:11" ht="18" customHeight="1">
      <c r="A148" s="5" t="s">
        <v>155</v>
      </c>
      <c r="B148" s="2" t="s">
        <v>70</v>
      </c>
      <c r="F148" s="42" t="s">
        <v>73</v>
      </c>
      <c r="G148" s="42" t="s">
        <v>73</v>
      </c>
      <c r="H148" s="43" t="s">
        <v>73</v>
      </c>
      <c r="I148" s="43" t="s">
        <v>73</v>
      </c>
      <c r="J148" s="43" t="s">
        <v>73</v>
      </c>
      <c r="K148" s="37">
        <f>F111</f>
        <v>14726686</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5467732</v>
      </c>
      <c r="I150" s="18">
        <f>I18</f>
        <v>0</v>
      </c>
      <c r="J150" s="18">
        <f>J18</f>
        <v>4675594</v>
      </c>
      <c r="K150" s="18">
        <f>K18</f>
        <v>792138</v>
      </c>
    </row>
    <row r="151" spans="1:11" ht="18" customHeight="1">
      <c r="B151" s="2"/>
      <c r="F151" s="48"/>
      <c r="G151" s="48"/>
      <c r="H151" s="48"/>
      <c r="I151" s="48"/>
      <c r="J151" s="48"/>
      <c r="K151" s="48"/>
    </row>
    <row r="152" spans="1:11" ht="18" customHeight="1">
      <c r="A152" s="6" t="s">
        <v>165</v>
      </c>
      <c r="B152" s="2" t="s">
        <v>26</v>
      </c>
      <c r="F152" s="49">
        <f t="shared" ref="F152:K152" si="22">SUM(F141:F150)</f>
        <v>61999</v>
      </c>
      <c r="G152" s="49">
        <f t="shared" si="22"/>
        <v>34255</v>
      </c>
      <c r="H152" s="49">
        <f t="shared" si="22"/>
        <v>8143031.1899999995</v>
      </c>
      <c r="I152" s="49">
        <f t="shared" si="22"/>
        <v>432980.10000000003</v>
      </c>
      <c r="J152" s="49">
        <f t="shared" si="22"/>
        <v>4675594</v>
      </c>
      <c r="K152" s="49">
        <f t="shared" si="22"/>
        <v>18627103.289999999</v>
      </c>
    </row>
    <row r="154" spans="1:11" ht="18" customHeight="1">
      <c r="A154" s="6" t="s">
        <v>168</v>
      </c>
      <c r="B154" s="2" t="s">
        <v>28</v>
      </c>
      <c r="F154" s="64">
        <f>K152/F121</f>
        <v>0.10535918118468199</v>
      </c>
    </row>
    <row r="155" spans="1:11" ht="18" customHeight="1">
      <c r="A155" s="6" t="s">
        <v>169</v>
      </c>
      <c r="B155" s="2" t="s">
        <v>72</v>
      </c>
      <c r="F155" s="64">
        <f>K152/F127</f>
        <v>3.5898845662030054</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S127"/>
  <sheetViews>
    <sheetView view="pageBreakPreview" topLeftCell="A31" zoomScale="60" zoomScaleNormal="80" workbookViewId="0">
      <selection activeCell="H1" sqref="H1:N13"/>
    </sheetView>
  </sheetViews>
  <sheetFormatPr defaultRowHeight="15"/>
  <cols>
    <col min="1" max="1" width="23" style="70" customWidth="1"/>
    <col min="2" max="2" width="17" style="70" bestFit="1" customWidth="1"/>
    <col min="3" max="3" width="18.5703125" style="70" customWidth="1"/>
    <col min="4" max="4" width="17.5703125" style="70" customWidth="1"/>
    <col min="5" max="5" width="22.28515625" style="70" customWidth="1"/>
    <col min="6" max="17" width="9.140625" style="70"/>
    <col min="18" max="18" width="27" style="70" customWidth="1"/>
    <col min="19" max="16384" width="9.140625" style="70"/>
  </cols>
  <sheetData>
    <row r="1" spans="1:19">
      <c r="A1" s="611" t="s">
        <v>1022</v>
      </c>
    </row>
    <row r="2" spans="1:19" ht="45">
      <c r="A2" s="92" t="s">
        <v>286</v>
      </c>
      <c r="B2" s="92" t="s">
        <v>269</v>
      </c>
      <c r="C2" s="92" t="s">
        <v>271</v>
      </c>
    </row>
    <row r="3" spans="1:19" ht="41.25" customHeight="1">
      <c r="A3" s="620" t="s">
        <v>276</v>
      </c>
      <c r="B3" s="604">
        <v>0.32300000000000001</v>
      </c>
      <c r="C3" s="604">
        <v>2.7E-2</v>
      </c>
      <c r="Q3" s="603"/>
      <c r="R3" s="605"/>
      <c r="S3" s="604"/>
    </row>
    <row r="4" spans="1:19" ht="25.5">
      <c r="A4" s="620" t="s">
        <v>273</v>
      </c>
      <c r="B4" s="604">
        <v>0.28100000000000003</v>
      </c>
      <c r="C4" s="604">
        <v>0.153</v>
      </c>
      <c r="Q4" s="603"/>
      <c r="R4" s="605"/>
      <c r="S4" s="604"/>
    </row>
    <row r="5" spans="1:19" ht="25.5">
      <c r="A5" s="620" t="s">
        <v>274</v>
      </c>
      <c r="B5" s="604">
        <v>0.26300000000000001</v>
      </c>
      <c r="C5" s="604">
        <v>0.54300000000000004</v>
      </c>
      <c r="Q5" s="603"/>
      <c r="R5" s="605"/>
      <c r="S5" s="604"/>
    </row>
    <row r="6" spans="1:19" ht="25.5">
      <c r="A6" s="620" t="s">
        <v>64</v>
      </c>
      <c r="B6" s="604">
        <v>5.8000000000000003E-2</v>
      </c>
      <c r="C6" s="604">
        <v>0.11899999999999999</v>
      </c>
      <c r="Q6" s="603"/>
      <c r="R6" s="605"/>
      <c r="S6" s="604"/>
    </row>
    <row r="7" spans="1:19" ht="25.5">
      <c r="A7" s="620" t="s">
        <v>272</v>
      </c>
      <c r="B7" s="604">
        <v>0.04</v>
      </c>
      <c r="C7" s="604">
        <v>8.2000000000000003E-2</v>
      </c>
      <c r="Q7" s="603"/>
      <c r="R7" s="605"/>
      <c r="S7" s="604"/>
    </row>
    <row r="8" spans="1:19">
      <c r="A8" s="620" t="s">
        <v>25</v>
      </c>
      <c r="B8" s="604">
        <v>1.2E-2</v>
      </c>
      <c r="C8" s="604">
        <v>2.4E-2</v>
      </c>
      <c r="Q8" s="603"/>
      <c r="R8" s="605"/>
      <c r="S8" s="604"/>
    </row>
    <row r="9" spans="1:19" ht="27.75" customHeight="1">
      <c r="A9" s="620" t="s">
        <v>68</v>
      </c>
      <c r="B9" s="604">
        <v>1.0999999999999999E-2</v>
      </c>
      <c r="C9" s="604">
        <v>2.3E-2</v>
      </c>
      <c r="Q9" s="603"/>
      <c r="R9" s="605"/>
      <c r="S9" s="604"/>
    </row>
    <row r="10" spans="1:19" ht="22.5" customHeight="1">
      <c r="A10" s="620" t="s">
        <v>67</v>
      </c>
      <c r="B10" s="604">
        <v>7.0000000000000001E-3</v>
      </c>
      <c r="C10" s="604">
        <v>1.4E-2</v>
      </c>
      <c r="Q10" s="603"/>
      <c r="R10" s="605"/>
      <c r="S10" s="604"/>
    </row>
    <row r="11" spans="1:19" ht="25.5">
      <c r="A11" s="620" t="s">
        <v>61</v>
      </c>
      <c r="B11" s="604">
        <v>6.0000000000000001E-3</v>
      </c>
      <c r="C11" s="604">
        <v>1.2E-2</v>
      </c>
      <c r="Q11" s="603"/>
      <c r="R11" s="605"/>
      <c r="S11" s="604"/>
    </row>
    <row r="12" spans="1:19" ht="21" customHeight="1">
      <c r="A12" s="620" t="s">
        <v>275</v>
      </c>
      <c r="B12" s="604">
        <v>1E-3</v>
      </c>
      <c r="C12" s="604">
        <v>3.0000000000000001E-3</v>
      </c>
      <c r="Q12" s="603"/>
      <c r="R12" s="605"/>
      <c r="S12" s="604"/>
    </row>
    <row r="14" spans="1:19">
      <c r="A14" s="596" t="s">
        <v>1005</v>
      </c>
    </row>
    <row r="21" spans="1:5" ht="18.75">
      <c r="A21" s="123" t="s">
        <v>1021</v>
      </c>
    </row>
    <row r="23" spans="1:5">
      <c r="A23" s="135" t="s">
        <v>279</v>
      </c>
      <c r="B23" s="135" t="s">
        <v>70</v>
      </c>
      <c r="C23" s="135" t="s">
        <v>262</v>
      </c>
      <c r="D23" s="135" t="s">
        <v>285</v>
      </c>
      <c r="E23" s="619" t="s">
        <v>1001</v>
      </c>
    </row>
    <row r="24" spans="1:5">
      <c r="A24" s="70">
        <v>2008</v>
      </c>
      <c r="B24" s="122">
        <f t="shared" ref="B24:D30" si="0">+B32/1000000</f>
        <v>256.01314300000001</v>
      </c>
      <c r="C24" s="122">
        <f t="shared" si="0"/>
        <v>179.09372200000001</v>
      </c>
      <c r="D24" s="122">
        <f>+D32/1000000</f>
        <v>10.019409</v>
      </c>
      <c r="E24" s="122">
        <f t="shared" ref="E24:E29" si="1">SUM(B24:D24)</f>
        <v>445.12627400000002</v>
      </c>
    </row>
    <row r="25" spans="1:5">
      <c r="A25" s="70">
        <v>2009</v>
      </c>
      <c r="B25" s="122">
        <f t="shared" si="0"/>
        <v>256.01314300000001</v>
      </c>
      <c r="C25" s="122">
        <f t="shared" si="0"/>
        <v>213.57390000000001</v>
      </c>
      <c r="D25" s="122">
        <f t="shared" si="0"/>
        <v>10.641292999999999</v>
      </c>
      <c r="E25" s="122">
        <f t="shared" si="1"/>
        <v>480.22833600000001</v>
      </c>
    </row>
    <row r="26" spans="1:5">
      <c r="A26" s="70">
        <v>2010</v>
      </c>
      <c r="B26" s="122">
        <f t="shared" si="0"/>
        <v>213.94957400000001</v>
      </c>
      <c r="C26" s="122">
        <f t="shared" si="0"/>
        <v>211.86369999999999</v>
      </c>
      <c r="D26" s="122">
        <f t="shared" si="0"/>
        <v>11.676030000000001</v>
      </c>
      <c r="E26" s="122">
        <f t="shared" si="1"/>
        <v>437.489304</v>
      </c>
    </row>
    <row r="27" spans="1:5">
      <c r="A27" s="70">
        <v>2011</v>
      </c>
      <c r="B27" s="122">
        <f t="shared" si="0"/>
        <v>374.89863100000002</v>
      </c>
      <c r="C27" s="122">
        <f t="shared" si="0"/>
        <v>235.386426</v>
      </c>
      <c r="D27" s="122">
        <f t="shared" si="0"/>
        <v>12.317156000000001</v>
      </c>
      <c r="E27" s="122">
        <f t="shared" si="1"/>
        <v>622.60221300000001</v>
      </c>
    </row>
    <row r="28" spans="1:5">
      <c r="A28" s="70">
        <v>2012</v>
      </c>
      <c r="B28" s="122">
        <f t="shared" si="0"/>
        <v>442.00888400000002</v>
      </c>
      <c r="C28" s="122">
        <f t="shared" si="0"/>
        <v>272.34654399999999</v>
      </c>
      <c r="D28" s="122">
        <f t="shared" si="0"/>
        <v>12.259686</v>
      </c>
      <c r="E28" s="122">
        <f t="shared" si="1"/>
        <v>726.61511400000006</v>
      </c>
    </row>
    <row r="29" spans="1:5">
      <c r="A29" s="70">
        <v>2013</v>
      </c>
      <c r="B29" s="122">
        <f t="shared" si="0"/>
        <v>462.590418</v>
      </c>
      <c r="C29" s="122">
        <f t="shared" si="0"/>
        <v>316.213911</v>
      </c>
      <c r="D29" s="122">
        <f t="shared" si="0"/>
        <v>13.303674000000001</v>
      </c>
      <c r="E29" s="122">
        <f t="shared" si="1"/>
        <v>792.10800300000005</v>
      </c>
    </row>
    <row r="30" spans="1:5">
      <c r="A30" s="70">
        <v>2014</v>
      </c>
      <c r="B30" s="122">
        <f>+B38/1000000</f>
        <v>463.908838</v>
      </c>
      <c r="C30" s="122">
        <f t="shared" si="0"/>
        <v>294.40706</v>
      </c>
      <c r="D30" s="122">
        <f t="shared" si="0"/>
        <v>15.140921000000001</v>
      </c>
      <c r="E30" s="122">
        <f t="shared" ref="E30" si="2">SUM(B30:D30)</f>
        <v>773.45681900000011</v>
      </c>
    </row>
    <row r="32" spans="1:5">
      <c r="B32" s="122">
        <v>256013143</v>
      </c>
      <c r="C32" s="122">
        <v>179093722</v>
      </c>
      <c r="D32" s="122">
        <v>10019409</v>
      </c>
      <c r="E32" s="122">
        <f t="shared" ref="E32:E38" si="3">SUM(B32:D32)</f>
        <v>445126274</v>
      </c>
    </row>
    <row r="33" spans="1:5">
      <c r="B33" s="122">
        <v>256013143</v>
      </c>
      <c r="C33" s="122">
        <v>213573900</v>
      </c>
      <c r="D33" s="122">
        <v>10641293</v>
      </c>
      <c r="E33" s="122">
        <f t="shared" si="3"/>
        <v>480228336</v>
      </c>
    </row>
    <row r="34" spans="1:5">
      <c r="B34" s="122">
        <v>213949574</v>
      </c>
      <c r="C34" s="122">
        <v>211863700</v>
      </c>
      <c r="D34" s="122">
        <v>11676030</v>
      </c>
      <c r="E34" s="122">
        <f t="shared" si="3"/>
        <v>437489304</v>
      </c>
    </row>
    <row r="35" spans="1:5">
      <c r="B35" s="122">
        <v>374898631</v>
      </c>
      <c r="C35" s="122">
        <v>235386426</v>
      </c>
      <c r="D35" s="122">
        <v>12317156</v>
      </c>
      <c r="E35" s="122">
        <f t="shared" si="3"/>
        <v>622602213</v>
      </c>
    </row>
    <row r="36" spans="1:5">
      <c r="B36" s="122">
        <v>442008884</v>
      </c>
      <c r="C36" s="122">
        <v>272346544</v>
      </c>
      <c r="D36" s="122">
        <v>12259686</v>
      </c>
      <c r="E36" s="122">
        <f t="shared" si="3"/>
        <v>726615114</v>
      </c>
    </row>
    <row r="37" spans="1:5">
      <c r="B37" s="122">
        <v>462590418</v>
      </c>
      <c r="C37" s="122">
        <v>316213911</v>
      </c>
      <c r="D37" s="122">
        <v>13303674</v>
      </c>
      <c r="E37" s="122">
        <f t="shared" si="3"/>
        <v>792108003</v>
      </c>
    </row>
    <row r="38" spans="1:5">
      <c r="B38" s="122">
        <v>463908838</v>
      </c>
      <c r="C38" s="122">
        <v>294407060</v>
      </c>
      <c r="D38" s="122">
        <v>15140921</v>
      </c>
      <c r="E38" s="122">
        <f t="shared" si="3"/>
        <v>773456819</v>
      </c>
    </row>
    <row r="40" spans="1:5">
      <c r="A40" s="574" t="s">
        <v>997</v>
      </c>
    </row>
    <row r="41" spans="1:5" ht="30">
      <c r="A41" s="616" t="s">
        <v>279</v>
      </c>
      <c r="B41" s="121" t="s">
        <v>284</v>
      </c>
      <c r="C41" s="121" t="s">
        <v>283</v>
      </c>
    </row>
    <row r="42" spans="1:5">
      <c r="A42" s="70">
        <v>2008</v>
      </c>
      <c r="B42" s="122">
        <f t="shared" ref="B42:C48" si="4">+C54</f>
        <v>861.08739786232854</v>
      </c>
      <c r="C42" s="122">
        <f t="shared" si="4"/>
        <v>415.96112386232852</v>
      </c>
    </row>
    <row r="43" spans="1:5">
      <c r="A43" s="70">
        <v>2009</v>
      </c>
      <c r="B43" s="122">
        <f t="shared" si="4"/>
        <v>946.2381640606277</v>
      </c>
      <c r="C43" s="122">
        <f t="shared" si="4"/>
        <v>466.00982806062768</v>
      </c>
    </row>
    <row r="44" spans="1:5">
      <c r="A44" s="70">
        <v>2010</v>
      </c>
      <c r="B44" s="122">
        <f t="shared" si="4"/>
        <v>1051.0517503757258</v>
      </c>
      <c r="C44" s="122">
        <f t="shared" si="4"/>
        <v>613.56244637572581</v>
      </c>
    </row>
    <row r="45" spans="1:5">
      <c r="A45" s="70">
        <v>2011</v>
      </c>
      <c r="B45" s="122">
        <f t="shared" si="4"/>
        <v>1203.0176928095927</v>
      </c>
      <c r="C45" s="122">
        <f t="shared" si="4"/>
        <v>580.41547980959274</v>
      </c>
    </row>
    <row r="46" spans="1:5">
      <c r="A46" s="70">
        <v>2012</v>
      </c>
      <c r="B46" s="122">
        <f t="shared" si="4"/>
        <v>1378.3019303951344</v>
      </c>
      <c r="C46" s="122">
        <f t="shared" si="4"/>
        <v>651.68681639513431</v>
      </c>
    </row>
    <row r="47" spans="1:5">
      <c r="A47" s="70">
        <v>2013</v>
      </c>
      <c r="B47" s="122">
        <f t="shared" si="4"/>
        <v>1505.554321846221</v>
      </c>
      <c r="C47" s="122">
        <f t="shared" si="4"/>
        <v>713.44631884622095</v>
      </c>
    </row>
    <row r="48" spans="1:5">
      <c r="A48" s="70">
        <v>2014</v>
      </c>
      <c r="B48" s="122">
        <f t="shared" si="4"/>
        <v>1498.125311</v>
      </c>
      <c r="C48" s="122">
        <f t="shared" si="4"/>
        <v>724.6684919999999</v>
      </c>
    </row>
    <row r="53" spans="1:6" ht="30">
      <c r="A53" s="616" t="s">
        <v>279</v>
      </c>
      <c r="B53" s="121" t="s">
        <v>282</v>
      </c>
      <c r="C53" s="121" t="s">
        <v>280</v>
      </c>
      <c r="D53" s="621" t="s">
        <v>1014</v>
      </c>
    </row>
    <row r="54" spans="1:6">
      <c r="A54" s="70">
        <v>2008</v>
      </c>
      <c r="B54" s="122">
        <f t="shared" ref="B54:B58" si="5">+B79/1000000</f>
        <v>11920.248871512998</v>
      </c>
      <c r="C54" s="122">
        <f t="shared" ref="C54:C60" si="6">+C79/1000000</f>
        <v>861.08739786232854</v>
      </c>
      <c r="D54" s="122">
        <f t="shared" ref="D54:D60" si="7">+C54-E24</f>
        <v>415.96112386232852</v>
      </c>
      <c r="E54" s="120"/>
    </row>
    <row r="55" spans="1:6">
      <c r="A55" s="70">
        <v>2009</v>
      </c>
      <c r="B55" s="122">
        <f t="shared" si="5"/>
        <v>12442.727824140587</v>
      </c>
      <c r="C55" s="122">
        <f t="shared" si="6"/>
        <v>946.2381640606277</v>
      </c>
      <c r="D55" s="122">
        <f t="shared" si="7"/>
        <v>466.00982806062768</v>
      </c>
      <c r="E55" s="120"/>
    </row>
    <row r="56" spans="1:6">
      <c r="A56" s="70">
        <v>2010</v>
      </c>
      <c r="B56" s="122">
        <f t="shared" si="5"/>
        <v>12647.785379358338</v>
      </c>
      <c r="C56" s="122">
        <f t="shared" si="6"/>
        <v>1051.0517503757258</v>
      </c>
      <c r="D56" s="122">
        <f t="shared" si="7"/>
        <v>613.56244637572581</v>
      </c>
      <c r="E56" s="120"/>
    </row>
    <row r="57" spans="1:6">
      <c r="A57" s="70">
        <v>2011</v>
      </c>
      <c r="B57" s="122">
        <f t="shared" si="5"/>
        <v>13039.588671793743</v>
      </c>
      <c r="C57" s="122">
        <f t="shared" si="6"/>
        <v>1203.0176928095927</v>
      </c>
      <c r="D57" s="122">
        <f t="shared" si="7"/>
        <v>580.41547980959274</v>
      </c>
      <c r="E57" s="120"/>
    </row>
    <row r="58" spans="1:6">
      <c r="A58" s="70">
        <v>2012</v>
      </c>
      <c r="B58" s="122">
        <f t="shared" si="5"/>
        <v>13532.154004168002</v>
      </c>
      <c r="C58" s="122">
        <f t="shared" si="6"/>
        <v>1378.3019303951344</v>
      </c>
      <c r="D58" s="122">
        <f t="shared" si="7"/>
        <v>651.68681639513431</v>
      </c>
      <c r="E58" s="120"/>
    </row>
    <row r="59" spans="1:6">
      <c r="A59" s="70">
        <v>2013</v>
      </c>
      <c r="B59" s="122">
        <f>+B84/1000000</f>
        <v>13625.073340212002</v>
      </c>
      <c r="C59" s="122">
        <f t="shared" si="6"/>
        <v>1505.554321846221</v>
      </c>
      <c r="D59" s="122">
        <f t="shared" si="7"/>
        <v>713.44631884622095</v>
      </c>
      <c r="E59" s="120"/>
    </row>
    <row r="60" spans="1:6">
      <c r="A60" s="70">
        <v>2014</v>
      </c>
      <c r="B60" s="122">
        <f>+B85/1000000</f>
        <v>14105.52369</v>
      </c>
      <c r="C60" s="122">
        <f t="shared" si="6"/>
        <v>1498.125311</v>
      </c>
      <c r="D60" s="122">
        <f t="shared" si="7"/>
        <v>724.6684919999999</v>
      </c>
      <c r="E60" s="120"/>
    </row>
    <row r="61" spans="1:6">
      <c r="F61" s="120"/>
    </row>
    <row r="64" spans="1:6" ht="45">
      <c r="A64" s="616" t="s">
        <v>279</v>
      </c>
      <c r="B64" s="121" t="s">
        <v>278</v>
      </c>
      <c r="C64" s="121" t="s">
        <v>277</v>
      </c>
    </row>
    <row r="65" spans="1:3">
      <c r="A65" s="70">
        <v>2008</v>
      </c>
      <c r="B65" s="120">
        <f t="shared" ref="B65:B71" si="8">+C54/B54</f>
        <v>7.2237367452969423E-2</v>
      </c>
      <c r="C65" s="630">
        <f>D54/B54</f>
        <v>3.4895338876388064E-2</v>
      </c>
    </row>
    <row r="66" spans="1:3">
      <c r="A66" s="70">
        <v>2009</v>
      </c>
      <c r="B66" s="120">
        <f t="shared" si="8"/>
        <v>7.6047485522008823E-2</v>
      </c>
      <c r="C66" s="630">
        <f t="shared" ref="C66:C71" si="9">D55/B55</f>
        <v>3.7452384609466836E-2</v>
      </c>
    </row>
    <row r="67" spans="1:3">
      <c r="A67" s="70">
        <v>2010</v>
      </c>
      <c r="B67" s="120">
        <f t="shared" si="8"/>
        <v>8.3101643398462613E-2</v>
      </c>
      <c r="C67" s="630">
        <f t="shared" si="9"/>
        <v>4.8511453030906329E-2</v>
      </c>
    </row>
    <row r="68" spans="1:3">
      <c r="A68" s="70">
        <v>2011</v>
      </c>
      <c r="B68" s="120">
        <f t="shared" si="8"/>
        <v>9.2258868211991238E-2</v>
      </c>
      <c r="C68" s="630">
        <f t="shared" si="9"/>
        <v>4.4511793617010624E-2</v>
      </c>
    </row>
    <row r="69" spans="1:3">
      <c r="A69" s="70">
        <v>2012</v>
      </c>
      <c r="B69" s="120">
        <f t="shared" si="8"/>
        <v>0.10185384603002651</v>
      </c>
      <c r="C69" s="630">
        <f t="shared" si="9"/>
        <v>4.8158394901093353E-2</v>
      </c>
    </row>
    <row r="70" spans="1:3">
      <c r="A70" s="70">
        <v>2013</v>
      </c>
      <c r="B70" s="120">
        <f t="shared" si="8"/>
        <v>0.1104988049791147</v>
      </c>
      <c r="C70" s="630">
        <f t="shared" si="9"/>
        <v>5.2362750719338144E-2</v>
      </c>
    </row>
    <row r="71" spans="1:3">
      <c r="A71" s="70">
        <v>2014</v>
      </c>
      <c r="B71" s="120">
        <f t="shared" si="8"/>
        <v>0.10620841479725308</v>
      </c>
      <c r="C71" s="630">
        <f t="shared" si="9"/>
        <v>5.1374802377152994E-2</v>
      </c>
    </row>
    <row r="72" spans="1:3">
      <c r="B72" s="119"/>
    </row>
    <row r="78" spans="1:3" ht="30">
      <c r="A78" s="617" t="s">
        <v>279</v>
      </c>
      <c r="B78" s="618" t="s">
        <v>1004</v>
      </c>
      <c r="C78" s="618" t="s">
        <v>280</v>
      </c>
    </row>
    <row r="79" spans="1:3">
      <c r="A79" s="70">
        <v>2008</v>
      </c>
      <c r="B79" s="94">
        <v>11920248871.512999</v>
      </c>
      <c r="C79" s="94">
        <v>861087397.86232853</v>
      </c>
    </row>
    <row r="80" spans="1:3">
      <c r="A80" s="70">
        <v>2009</v>
      </c>
      <c r="B80" s="94">
        <v>12442727824.140587</v>
      </c>
      <c r="C80" s="94">
        <v>946238164.0606277</v>
      </c>
    </row>
    <row r="81" spans="1:3">
      <c r="A81" s="70">
        <v>2010</v>
      </c>
      <c r="B81" s="94">
        <v>12647785379.358337</v>
      </c>
      <c r="C81" s="94">
        <v>1051051750.3757259</v>
      </c>
    </row>
    <row r="82" spans="1:3">
      <c r="A82" s="70">
        <v>2011</v>
      </c>
      <c r="B82" s="94">
        <v>13039588671.793743</v>
      </c>
      <c r="C82" s="94">
        <v>1203017692.8095927</v>
      </c>
    </row>
    <row r="83" spans="1:3">
      <c r="A83" s="70">
        <v>2012</v>
      </c>
      <c r="B83" s="94">
        <v>13532154004.168001</v>
      </c>
      <c r="C83" s="94">
        <v>1378301930.3951344</v>
      </c>
    </row>
    <row r="84" spans="1:3">
      <c r="A84" s="70">
        <v>2013</v>
      </c>
      <c r="B84" s="94">
        <v>13625073340.212002</v>
      </c>
      <c r="C84" s="94">
        <v>1505554321.846221</v>
      </c>
    </row>
    <row r="85" spans="1:3">
      <c r="A85" s="70">
        <v>2014</v>
      </c>
      <c r="B85" s="94">
        <v>14105523690</v>
      </c>
      <c r="C85" s="94">
        <v>1498125311</v>
      </c>
    </row>
    <row r="87" spans="1:3">
      <c r="A87" s="586"/>
    </row>
    <row r="89" spans="1:3">
      <c r="C89" s="94"/>
    </row>
    <row r="90" spans="1:3">
      <c r="B90" s="586"/>
      <c r="C90" s="94"/>
    </row>
    <row r="91" spans="1:3">
      <c r="C91" s="94"/>
    </row>
    <row r="92" spans="1:3">
      <c r="C92" s="118"/>
    </row>
    <row r="93" spans="1:3">
      <c r="C93" s="97"/>
    </row>
    <row r="95" spans="1:3">
      <c r="C95" s="94"/>
    </row>
    <row r="96" spans="1:3">
      <c r="B96" s="586"/>
      <c r="C96" s="94"/>
    </row>
    <row r="98" spans="1:5">
      <c r="C98" s="118"/>
    </row>
    <row r="99" spans="1:5">
      <c r="C99" s="97"/>
    </row>
    <row r="103" spans="1:5" ht="18.75">
      <c r="A103" s="117"/>
      <c r="B103" s="87"/>
      <c r="D103" s="116"/>
      <c r="E103" s="115"/>
    </row>
    <row r="104" spans="1:5">
      <c r="B104" s="87"/>
      <c r="D104" s="88"/>
    </row>
    <row r="105" spans="1:5">
      <c r="B105" s="87"/>
      <c r="D105" s="88"/>
      <c r="E105" s="88"/>
    </row>
    <row r="106" spans="1:5">
      <c r="B106" s="87"/>
      <c r="D106" s="94"/>
      <c r="E106" s="94"/>
    </row>
    <row r="107" spans="1:5" ht="17.25">
      <c r="B107" s="87"/>
      <c r="D107" s="110"/>
      <c r="E107" s="110"/>
    </row>
    <row r="108" spans="1:5">
      <c r="A108" s="108"/>
      <c r="B108" s="114"/>
      <c r="C108" s="108"/>
      <c r="D108" s="113"/>
      <c r="E108" s="113"/>
    </row>
    <row r="109" spans="1:5">
      <c r="B109" s="87"/>
      <c r="D109" s="88"/>
    </row>
    <row r="110" spans="1:5">
      <c r="A110" s="112"/>
      <c r="D110" s="94"/>
    </row>
    <row r="111" spans="1:5">
      <c r="A111" s="111"/>
      <c r="D111" s="94"/>
    </row>
    <row r="112" spans="1:5">
      <c r="D112" s="94"/>
    </row>
    <row r="113" spans="1:5">
      <c r="D113" s="94"/>
    </row>
    <row r="114" spans="1:5">
      <c r="D114" s="94"/>
    </row>
    <row r="115" spans="1:5" ht="17.25">
      <c r="D115" s="110"/>
    </row>
    <row r="116" spans="1:5" ht="17.25">
      <c r="A116" s="108"/>
      <c r="B116" s="108"/>
      <c r="C116" s="108"/>
      <c r="D116" s="109"/>
      <c r="E116" s="102"/>
    </row>
    <row r="117" spans="1:5">
      <c r="A117" s="108"/>
      <c r="B117" s="108"/>
      <c r="C117" s="108"/>
      <c r="D117" s="108"/>
      <c r="E117" s="107"/>
    </row>
    <row r="118" spans="1:5" ht="17.25">
      <c r="D118" s="106"/>
      <c r="E118" s="105"/>
    </row>
    <row r="121" spans="1:5" ht="17.25">
      <c r="D121" s="104"/>
      <c r="E121" s="102"/>
    </row>
    <row r="123" spans="1:5" ht="17.25">
      <c r="D123" s="103"/>
      <c r="E123" s="103"/>
    </row>
    <row r="125" spans="1:5" ht="17.25">
      <c r="D125" s="102"/>
      <c r="E125" s="102"/>
    </row>
    <row r="127" spans="1:5" ht="18.75">
      <c r="A127" s="101"/>
      <c r="B127" s="101"/>
      <c r="C127" s="101"/>
      <c r="D127" s="100"/>
      <c r="E127" s="100"/>
    </row>
  </sheetData>
  <sortState ref="Q3:S12">
    <sortCondition descending="1" ref="Q3:Q12"/>
  </sortState>
  <pageMargins left="0.7" right="0.7" top="0.75" bottom="0.75" header="0.3" footer="0.3"/>
  <pageSetup scale="65" fitToHeight="0" orientation="landscape" horizontalDpi="1200" verticalDpi="1200" r:id="rId1"/>
  <rowBreaks count="1" manualBreakCount="1">
    <brk id="38" max="1638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33" zoomScale="70" zoomScaleNormal="50" zoomScaleSheetLayoutView="70" workbookViewId="0">
      <selection activeCell="C29" sqref="C29"/>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601</v>
      </c>
      <c r="D5" s="654"/>
      <c r="E5" s="654"/>
      <c r="F5" s="654"/>
      <c r="G5" s="655"/>
    </row>
    <row r="6" spans="1:11" ht="18" customHeight="1">
      <c r="B6" s="5" t="s">
        <v>3</v>
      </c>
      <c r="C6" s="671" t="s">
        <v>602</v>
      </c>
      <c r="D6" s="657"/>
      <c r="E6" s="657"/>
      <c r="F6" s="657"/>
      <c r="G6" s="658"/>
    </row>
    <row r="7" spans="1:11" ht="18" customHeight="1">
      <c r="B7" s="5" t="s">
        <v>4</v>
      </c>
      <c r="C7" s="659">
        <v>743</v>
      </c>
      <c r="D7" s="660"/>
      <c r="E7" s="660"/>
      <c r="F7" s="660"/>
      <c r="G7" s="661"/>
    </row>
    <row r="9" spans="1:11" ht="18" customHeight="1">
      <c r="B9" s="5" t="s">
        <v>1</v>
      </c>
      <c r="C9" s="670" t="s">
        <v>603</v>
      </c>
      <c r="D9" s="654"/>
      <c r="E9" s="654"/>
      <c r="F9" s="654"/>
      <c r="G9" s="655"/>
    </row>
    <row r="10" spans="1:11" ht="18" customHeight="1">
      <c r="B10" s="5" t="s">
        <v>2</v>
      </c>
      <c r="C10" s="674" t="s">
        <v>604</v>
      </c>
      <c r="D10" s="663"/>
      <c r="E10" s="663"/>
      <c r="F10" s="663"/>
      <c r="G10" s="664"/>
    </row>
    <row r="11" spans="1:11" ht="18" customHeight="1">
      <c r="B11" s="5" t="s">
        <v>32</v>
      </c>
      <c r="C11" s="670" t="s">
        <v>605</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3164234</v>
      </c>
      <c r="I18" s="50">
        <v>0</v>
      </c>
      <c r="J18" s="15">
        <v>2705815</v>
      </c>
      <c r="K18" s="16">
        <f>(H18+I18)-J18</f>
        <v>458419</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280</v>
      </c>
      <c r="G21" s="14"/>
      <c r="H21" s="15"/>
      <c r="I21" s="50">
        <f t="shared" ref="I21:I34" si="0">H21*F$114</f>
        <v>0</v>
      </c>
      <c r="J21" s="15"/>
      <c r="K21" s="16">
        <f t="shared" ref="K21:K34" si="1">(H21+I21)-J21</f>
        <v>0</v>
      </c>
    </row>
    <row r="22" spans="1:11" ht="18" customHeight="1">
      <c r="A22" s="5" t="s">
        <v>76</v>
      </c>
      <c r="B22" t="s">
        <v>6</v>
      </c>
      <c r="F22" s="14"/>
      <c r="G22" s="14"/>
      <c r="H22" s="15"/>
      <c r="I22" s="50">
        <f t="shared" si="0"/>
        <v>0</v>
      </c>
      <c r="J22" s="15"/>
      <c r="K22" s="16">
        <f t="shared" si="1"/>
        <v>0</v>
      </c>
    </row>
    <row r="23" spans="1:11" ht="18" customHeight="1">
      <c r="A23" s="5" t="s">
        <v>77</v>
      </c>
      <c r="B23" t="s">
        <v>43</v>
      </c>
      <c r="F23" s="14"/>
      <c r="G23" s="14"/>
      <c r="H23" s="15"/>
      <c r="I23" s="50">
        <f t="shared" si="0"/>
        <v>0</v>
      </c>
      <c r="J23" s="15"/>
      <c r="K23" s="16">
        <f t="shared" si="1"/>
        <v>0</v>
      </c>
    </row>
    <row r="24" spans="1:11" ht="18" customHeight="1">
      <c r="A24" s="5" t="s">
        <v>78</v>
      </c>
      <c r="B24" t="s">
        <v>44</v>
      </c>
      <c r="F24" s="14"/>
      <c r="G24" s="14"/>
      <c r="H24" s="15"/>
      <c r="I24" s="50">
        <f t="shared" si="0"/>
        <v>0</v>
      </c>
      <c r="J24" s="15"/>
      <c r="K24" s="16">
        <f t="shared" si="1"/>
        <v>0</v>
      </c>
    </row>
    <row r="25" spans="1:11" ht="18" customHeight="1">
      <c r="A25" s="5" t="s">
        <v>79</v>
      </c>
      <c r="B25" t="s">
        <v>5</v>
      </c>
      <c r="F25" s="14">
        <v>220</v>
      </c>
      <c r="G25" s="14">
        <v>600</v>
      </c>
      <c r="H25" s="15">
        <v>59500</v>
      </c>
      <c r="I25" s="50">
        <f t="shared" si="0"/>
        <v>40346.950000000004</v>
      </c>
      <c r="J25" s="15"/>
      <c r="K25" s="16">
        <f t="shared" si="1"/>
        <v>99846.950000000012</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c r="G29" s="14"/>
      <c r="H29" s="15"/>
      <c r="I29" s="50">
        <f t="shared" si="0"/>
        <v>0</v>
      </c>
      <c r="J29" s="15"/>
      <c r="K29" s="16">
        <f t="shared" si="1"/>
        <v>0</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335"/>
      <c r="C32" s="336"/>
      <c r="D32" s="337"/>
      <c r="F32" s="14"/>
      <c r="G32" s="342" t="s">
        <v>85</v>
      </c>
      <c r="H32" s="15"/>
      <c r="I32" s="50">
        <f t="shared" si="0"/>
        <v>0</v>
      </c>
      <c r="J32" s="15"/>
      <c r="K32" s="16">
        <f t="shared" si="1"/>
        <v>0</v>
      </c>
    </row>
    <row r="33" spans="1:11" ht="18" customHeight="1">
      <c r="A33" s="5" t="s">
        <v>135</v>
      </c>
      <c r="B33" s="335"/>
      <c r="C33" s="336"/>
      <c r="D33" s="337"/>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500</v>
      </c>
      <c r="G36" s="18">
        <f t="shared" si="2"/>
        <v>600</v>
      </c>
      <c r="H36" s="18">
        <f t="shared" si="2"/>
        <v>59500</v>
      </c>
      <c r="I36" s="16">
        <f t="shared" si="2"/>
        <v>40346.950000000004</v>
      </c>
      <c r="J36" s="16">
        <f t="shared" si="2"/>
        <v>0</v>
      </c>
      <c r="K36" s="16">
        <f t="shared" si="2"/>
        <v>99846.950000000012</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v>0</v>
      </c>
      <c r="J40" s="15"/>
      <c r="K40" s="16">
        <f t="shared" ref="K40:K47" si="3">(H40+I40)-J40</f>
        <v>0</v>
      </c>
    </row>
    <row r="41" spans="1:11" ht="18" customHeight="1">
      <c r="A41" s="5" t="s">
        <v>88</v>
      </c>
      <c r="B41" s="641" t="s">
        <v>50</v>
      </c>
      <c r="C41" s="649"/>
      <c r="F41" s="14"/>
      <c r="G41" s="14"/>
      <c r="H41" s="15">
        <v>90241</v>
      </c>
      <c r="I41" s="50">
        <f>+F$114*H41</f>
        <v>61192.422100000003</v>
      </c>
      <c r="J41" s="15"/>
      <c r="K41" s="16">
        <f t="shared" si="3"/>
        <v>151433.4221</v>
      </c>
    </row>
    <row r="42" spans="1:11" ht="18" customHeight="1">
      <c r="A42" s="5" t="s">
        <v>89</v>
      </c>
      <c r="B42" s="341" t="s">
        <v>11</v>
      </c>
      <c r="F42" s="14"/>
      <c r="G42" s="14"/>
      <c r="H42" s="15"/>
      <c r="I42" s="50">
        <v>0</v>
      </c>
      <c r="J42" s="15"/>
      <c r="K42" s="16">
        <f t="shared" si="3"/>
        <v>0</v>
      </c>
    </row>
    <row r="43" spans="1:11" ht="18" customHeight="1">
      <c r="A43" s="5" t="s">
        <v>90</v>
      </c>
      <c r="B43" s="343" t="s">
        <v>10</v>
      </c>
      <c r="C43" s="10"/>
      <c r="D43" s="10"/>
      <c r="F43" s="14"/>
      <c r="G43" s="14"/>
      <c r="H43" s="15"/>
      <c r="I43" s="50">
        <v>0</v>
      </c>
      <c r="J43" s="15"/>
      <c r="K43" s="16">
        <f t="shared" si="3"/>
        <v>0</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0</v>
      </c>
      <c r="G49" s="23">
        <f t="shared" si="4"/>
        <v>0</v>
      </c>
      <c r="H49" s="16">
        <f t="shared" si="4"/>
        <v>90241</v>
      </c>
      <c r="I49" s="16">
        <f t="shared" si="4"/>
        <v>61192.422100000003</v>
      </c>
      <c r="J49" s="16">
        <f t="shared" si="4"/>
        <v>0</v>
      </c>
      <c r="K49" s="16">
        <f t="shared" si="4"/>
        <v>151433.4221</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47" t="s">
        <v>606</v>
      </c>
      <c r="C53" s="648"/>
      <c r="D53" s="644"/>
      <c r="F53" s="14"/>
      <c r="G53" s="14">
        <v>1559</v>
      </c>
      <c r="H53" s="15">
        <v>2844624</v>
      </c>
      <c r="I53" s="50">
        <f>+F$114*H53</f>
        <v>1928939.5344</v>
      </c>
      <c r="J53" s="15">
        <v>1450705</v>
      </c>
      <c r="K53" s="16">
        <f t="shared" ref="K53:K62" si="5">(H53+I53)-J53</f>
        <v>3322858.5344000002</v>
      </c>
    </row>
    <row r="54" spans="1:11" ht="18" customHeight="1">
      <c r="A54" s="5" t="s">
        <v>93</v>
      </c>
      <c r="B54" s="647" t="s">
        <v>607</v>
      </c>
      <c r="C54" s="648"/>
      <c r="D54" s="644"/>
      <c r="F54" s="14">
        <v>8760</v>
      </c>
      <c r="G54" s="14"/>
      <c r="H54" s="15">
        <v>1644772</v>
      </c>
      <c r="I54" s="50">
        <f t="shared" ref="I54:I59" si="6">+F$114*H54</f>
        <v>1115319.8932</v>
      </c>
      <c r="J54" s="15"/>
      <c r="K54" s="16">
        <f t="shared" si="5"/>
        <v>2760091.8931999998</v>
      </c>
    </row>
    <row r="55" spans="1:11" ht="18" customHeight="1">
      <c r="A55" s="5" t="s">
        <v>94</v>
      </c>
      <c r="B55" s="647" t="s">
        <v>608</v>
      </c>
      <c r="C55" s="648"/>
      <c r="D55" s="644"/>
      <c r="F55" s="14"/>
      <c r="G55" s="14"/>
      <c r="H55" s="15">
        <v>137373</v>
      </c>
      <c r="I55" s="50">
        <f t="shared" si="6"/>
        <v>93152.631300000008</v>
      </c>
      <c r="J55" s="15"/>
      <c r="K55" s="16">
        <f t="shared" si="5"/>
        <v>230525.63130000001</v>
      </c>
    </row>
    <row r="56" spans="1:11" ht="18" customHeight="1">
      <c r="A56" s="5" t="s">
        <v>95</v>
      </c>
      <c r="B56" s="647" t="s">
        <v>609</v>
      </c>
      <c r="C56" s="648"/>
      <c r="D56" s="644"/>
      <c r="F56" s="14">
        <v>11679</v>
      </c>
      <c r="G56" s="14"/>
      <c r="H56" s="15">
        <v>189000</v>
      </c>
      <c r="I56" s="50">
        <f t="shared" si="6"/>
        <v>128160.90000000001</v>
      </c>
      <c r="J56" s="15"/>
      <c r="K56" s="16">
        <f t="shared" si="5"/>
        <v>317160.90000000002</v>
      </c>
    </row>
    <row r="57" spans="1:11" ht="18" customHeight="1">
      <c r="A57" s="5" t="s">
        <v>96</v>
      </c>
      <c r="B57" s="647" t="s">
        <v>610</v>
      </c>
      <c r="C57" s="648"/>
      <c r="D57" s="644"/>
      <c r="F57" s="14">
        <v>19564</v>
      </c>
      <c r="G57" s="14"/>
      <c r="H57" s="15">
        <v>1347291</v>
      </c>
      <c r="I57" s="50">
        <f t="shared" si="6"/>
        <v>913598.02710000006</v>
      </c>
      <c r="J57" s="15"/>
      <c r="K57" s="16">
        <f t="shared" si="5"/>
        <v>2260889.0271000001</v>
      </c>
    </row>
    <row r="58" spans="1:11" ht="18" customHeight="1">
      <c r="A58" s="5" t="s">
        <v>97</v>
      </c>
      <c r="B58" s="647" t="s">
        <v>611</v>
      </c>
      <c r="C58" s="648"/>
      <c r="D58" s="644"/>
      <c r="F58" s="14"/>
      <c r="G58" s="14"/>
      <c r="H58" s="15">
        <v>560000</v>
      </c>
      <c r="I58" s="50">
        <f t="shared" si="6"/>
        <v>379736</v>
      </c>
      <c r="J58" s="15"/>
      <c r="K58" s="16">
        <f t="shared" si="5"/>
        <v>939736</v>
      </c>
    </row>
    <row r="59" spans="1:11" ht="18" customHeight="1">
      <c r="A59" s="5" t="s">
        <v>98</v>
      </c>
      <c r="B59" s="647" t="s">
        <v>367</v>
      </c>
      <c r="C59" s="648"/>
      <c r="D59" s="644"/>
      <c r="F59" s="14"/>
      <c r="G59" s="14"/>
      <c r="H59" s="68">
        <v>387140</v>
      </c>
      <c r="I59" s="50">
        <f t="shared" si="6"/>
        <v>262519.63400000002</v>
      </c>
      <c r="J59" s="15">
        <v>50416</v>
      </c>
      <c r="K59" s="16">
        <f t="shared" si="5"/>
        <v>599243.63400000008</v>
      </c>
    </row>
    <row r="60" spans="1:11" ht="18" customHeight="1">
      <c r="A60" s="5" t="s">
        <v>99</v>
      </c>
      <c r="B60" s="647"/>
      <c r="C60" s="648"/>
      <c r="D60" s="644"/>
      <c r="F60" s="14"/>
      <c r="G60" s="14"/>
      <c r="H60" s="15"/>
      <c r="I60" s="50">
        <v>0</v>
      </c>
      <c r="J60" s="15"/>
      <c r="K60" s="16">
        <f t="shared" si="5"/>
        <v>0</v>
      </c>
    </row>
    <row r="61" spans="1:11" ht="18" customHeight="1">
      <c r="A61" s="5" t="s">
        <v>100</v>
      </c>
      <c r="B61" s="346"/>
      <c r="C61" s="339"/>
      <c r="D61" s="340"/>
      <c r="F61" s="14"/>
      <c r="G61" s="14"/>
      <c r="H61" s="15"/>
      <c r="I61" s="50">
        <v>0</v>
      </c>
      <c r="J61" s="15"/>
      <c r="K61" s="16">
        <f t="shared" si="5"/>
        <v>0</v>
      </c>
    </row>
    <row r="62" spans="1:11" ht="18" customHeight="1">
      <c r="A62" s="5" t="s">
        <v>101</v>
      </c>
      <c r="B62" s="650"/>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7">SUM(F53:F62)</f>
        <v>40003</v>
      </c>
      <c r="G64" s="18">
        <f t="shared" si="7"/>
        <v>1559</v>
      </c>
      <c r="H64" s="16">
        <f t="shared" si="7"/>
        <v>7110200</v>
      </c>
      <c r="I64" s="16">
        <f t="shared" si="7"/>
        <v>4821426.6199999992</v>
      </c>
      <c r="J64" s="16">
        <f t="shared" si="7"/>
        <v>1501121</v>
      </c>
      <c r="K64" s="16">
        <f t="shared" si="7"/>
        <v>10430505.620000001</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338"/>
      <c r="C70" s="339"/>
      <c r="D70" s="340"/>
      <c r="E70" s="2"/>
      <c r="F70" s="35"/>
      <c r="G70" s="35"/>
      <c r="H70" s="36"/>
      <c r="I70" s="50">
        <v>0</v>
      </c>
      <c r="J70" s="36"/>
      <c r="K70" s="16">
        <f>(H70+I70)-J70</f>
        <v>0</v>
      </c>
    </row>
    <row r="71" spans="1:11" ht="18" customHeight="1">
      <c r="A71" s="5" t="s">
        <v>179</v>
      </c>
      <c r="B71" s="338"/>
      <c r="C71" s="339"/>
      <c r="D71" s="340"/>
      <c r="E71" s="2"/>
      <c r="F71" s="35"/>
      <c r="G71" s="35"/>
      <c r="H71" s="36"/>
      <c r="I71" s="50">
        <v>0</v>
      </c>
      <c r="J71" s="36"/>
      <c r="K71" s="16">
        <f>(H71+I71)-J71</f>
        <v>0</v>
      </c>
    </row>
    <row r="72" spans="1:11" ht="18" customHeight="1">
      <c r="A72" s="5" t="s">
        <v>180</v>
      </c>
      <c r="B72" s="344"/>
      <c r="C72" s="345"/>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8">SUM(F68:F72)</f>
        <v>0</v>
      </c>
      <c r="G74" s="21">
        <f t="shared" si="8"/>
        <v>0</v>
      </c>
      <c r="H74" s="21">
        <f t="shared" si="8"/>
        <v>0</v>
      </c>
      <c r="I74" s="53">
        <f t="shared" si="8"/>
        <v>0</v>
      </c>
      <c r="J74" s="21">
        <f t="shared" si="8"/>
        <v>0</v>
      </c>
      <c r="K74" s="17">
        <f t="shared" si="8"/>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c r="I77" s="50">
        <v>0</v>
      </c>
      <c r="J77" s="15"/>
      <c r="K77" s="16">
        <f>(H77+I77)-J77</f>
        <v>0</v>
      </c>
    </row>
    <row r="78" spans="1:11" ht="18" customHeight="1">
      <c r="A78" s="5" t="s">
        <v>108</v>
      </c>
      <c r="B78" s="341" t="s">
        <v>55</v>
      </c>
      <c r="F78" s="14"/>
      <c r="G78" s="14"/>
      <c r="H78" s="15"/>
      <c r="I78" s="50">
        <v>0</v>
      </c>
      <c r="J78" s="15"/>
      <c r="K78" s="16">
        <f>(H78+I78)-J78</f>
        <v>0</v>
      </c>
    </row>
    <row r="79" spans="1:11" ht="18" customHeight="1">
      <c r="A79" s="5" t="s">
        <v>109</v>
      </c>
      <c r="B79" s="341" t="s">
        <v>13</v>
      </c>
      <c r="F79" s="14"/>
      <c r="G79" s="14"/>
      <c r="H79" s="15"/>
      <c r="I79" s="50">
        <v>0</v>
      </c>
      <c r="J79" s="15"/>
      <c r="K79" s="16">
        <f>(H79+I79)-J79</f>
        <v>0</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9">SUM(F77:F80)</f>
        <v>0</v>
      </c>
      <c r="G82" s="21">
        <f t="shared" si="9"/>
        <v>0</v>
      </c>
      <c r="H82" s="17">
        <f t="shared" si="9"/>
        <v>0</v>
      </c>
      <c r="I82" s="17">
        <f t="shared" si="9"/>
        <v>0</v>
      </c>
      <c r="J82" s="17">
        <f t="shared" si="9"/>
        <v>0</v>
      </c>
      <c r="K82" s="17">
        <f t="shared" si="9"/>
        <v>0</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0">H86*F$114</f>
        <v>0</v>
      </c>
      <c r="J86" s="15"/>
      <c r="K86" s="16">
        <f t="shared" ref="K86:K96" si="11">(H86+I86)-J86</f>
        <v>0</v>
      </c>
    </row>
    <row r="87" spans="1:11" ht="18" customHeight="1">
      <c r="A87" s="5" t="s">
        <v>114</v>
      </c>
      <c r="B87" s="341" t="s">
        <v>14</v>
      </c>
      <c r="F87" s="14"/>
      <c r="G87" s="14"/>
      <c r="H87" s="15"/>
      <c r="I87" s="50">
        <f t="shared" si="10"/>
        <v>0</v>
      </c>
      <c r="J87" s="15"/>
      <c r="K87" s="16">
        <f t="shared" si="11"/>
        <v>0</v>
      </c>
    </row>
    <row r="88" spans="1:11" ht="18" customHeight="1">
      <c r="A88" s="5" t="s">
        <v>115</v>
      </c>
      <c r="B88" s="341" t="s">
        <v>116</v>
      </c>
      <c r="F88" s="14"/>
      <c r="G88" s="14"/>
      <c r="H88" s="15"/>
      <c r="I88" s="50">
        <f t="shared" si="10"/>
        <v>0</v>
      </c>
      <c r="J88" s="15"/>
      <c r="K88" s="16">
        <f t="shared" si="11"/>
        <v>0</v>
      </c>
    </row>
    <row r="89" spans="1:11" ht="18" customHeight="1">
      <c r="A89" s="5" t="s">
        <v>117</v>
      </c>
      <c r="B89" s="341" t="s">
        <v>58</v>
      </c>
      <c r="F89" s="14"/>
      <c r="G89" s="14"/>
      <c r="H89" s="15"/>
      <c r="I89" s="50">
        <f t="shared" si="10"/>
        <v>0</v>
      </c>
      <c r="J89" s="15"/>
      <c r="K89" s="16">
        <f t="shared" si="11"/>
        <v>0</v>
      </c>
    </row>
    <row r="90" spans="1:11" ht="18" customHeight="1">
      <c r="A90" s="5" t="s">
        <v>118</v>
      </c>
      <c r="B90" s="641" t="s">
        <v>59</v>
      </c>
      <c r="C90" s="649"/>
      <c r="F90" s="14"/>
      <c r="G90" s="14"/>
      <c r="H90" s="15"/>
      <c r="I90" s="50">
        <f t="shared" si="10"/>
        <v>0</v>
      </c>
      <c r="J90" s="15"/>
      <c r="K90" s="16">
        <f t="shared" si="11"/>
        <v>0</v>
      </c>
    </row>
    <row r="91" spans="1:11" ht="18" customHeight="1">
      <c r="A91" s="5" t="s">
        <v>119</v>
      </c>
      <c r="B91" s="341" t="s">
        <v>60</v>
      </c>
      <c r="F91" s="14"/>
      <c r="G91" s="14"/>
      <c r="H91" s="15"/>
      <c r="I91" s="50">
        <f t="shared" si="10"/>
        <v>0</v>
      </c>
      <c r="J91" s="15"/>
      <c r="K91" s="16">
        <f t="shared" si="11"/>
        <v>0</v>
      </c>
    </row>
    <row r="92" spans="1:11" ht="18" customHeight="1">
      <c r="A92" s="5" t="s">
        <v>120</v>
      </c>
      <c r="B92" s="341" t="s">
        <v>121</v>
      </c>
      <c r="F92" s="38"/>
      <c r="G92" s="38"/>
      <c r="H92" s="39"/>
      <c r="I92" s="50">
        <f t="shared" si="10"/>
        <v>0</v>
      </c>
      <c r="J92" s="39"/>
      <c r="K92" s="16">
        <f t="shared" si="11"/>
        <v>0</v>
      </c>
    </row>
    <row r="93" spans="1:11" ht="18" customHeight="1">
      <c r="A93" s="5" t="s">
        <v>122</v>
      </c>
      <c r="B93" s="341" t="s">
        <v>123</v>
      </c>
      <c r="F93" s="14"/>
      <c r="G93" s="14"/>
      <c r="H93" s="15"/>
      <c r="I93" s="50">
        <f t="shared" si="10"/>
        <v>0</v>
      </c>
      <c r="J93" s="15"/>
      <c r="K93" s="16">
        <f t="shared" si="11"/>
        <v>0</v>
      </c>
    </row>
    <row r="94" spans="1:11" ht="18" customHeight="1">
      <c r="A94" s="5" t="s">
        <v>124</v>
      </c>
      <c r="B94" s="642"/>
      <c r="C94" s="643"/>
      <c r="D94" s="644"/>
      <c r="F94" s="14"/>
      <c r="G94" s="14"/>
      <c r="H94" s="15"/>
      <c r="I94" s="50">
        <f t="shared" si="10"/>
        <v>0</v>
      </c>
      <c r="J94" s="15"/>
      <c r="K94" s="16">
        <f t="shared" si="11"/>
        <v>0</v>
      </c>
    </row>
    <row r="95" spans="1:11" ht="18" customHeight="1">
      <c r="A95" s="5" t="s">
        <v>125</v>
      </c>
      <c r="B95" s="642"/>
      <c r="C95" s="643"/>
      <c r="D95" s="644"/>
      <c r="F95" s="14"/>
      <c r="G95" s="14"/>
      <c r="H95" s="15"/>
      <c r="I95" s="50">
        <f t="shared" si="10"/>
        <v>0</v>
      </c>
      <c r="J95" s="15"/>
      <c r="K95" s="16">
        <f t="shared" si="11"/>
        <v>0</v>
      </c>
    </row>
    <row r="96" spans="1:11" ht="18" customHeight="1">
      <c r="A96" s="5" t="s">
        <v>126</v>
      </c>
      <c r="B96" s="642"/>
      <c r="C96" s="643"/>
      <c r="D96" s="644"/>
      <c r="F96" s="14"/>
      <c r="G96" s="14"/>
      <c r="H96" s="15"/>
      <c r="I96" s="50">
        <f t="shared" si="10"/>
        <v>0</v>
      </c>
      <c r="J96" s="15"/>
      <c r="K96" s="16">
        <f t="shared" si="11"/>
        <v>0</v>
      </c>
    </row>
    <row r="97" spans="1:11" ht="18" customHeight="1">
      <c r="A97" s="5"/>
      <c r="B97" s="341"/>
    </row>
    <row r="98" spans="1:11" ht="18" customHeight="1">
      <c r="A98" s="6" t="s">
        <v>150</v>
      </c>
      <c r="B98" s="2" t="s">
        <v>151</v>
      </c>
      <c r="E98" s="2" t="s">
        <v>7</v>
      </c>
      <c r="F98" s="18">
        <f t="shared" ref="F98:K98" si="12">SUM(F86:F96)</f>
        <v>0</v>
      </c>
      <c r="G98" s="18">
        <f t="shared" si="12"/>
        <v>0</v>
      </c>
      <c r="H98" s="18">
        <f t="shared" si="12"/>
        <v>0</v>
      </c>
      <c r="I98" s="18">
        <f t="shared" si="12"/>
        <v>0</v>
      </c>
      <c r="J98" s="18">
        <f t="shared" si="12"/>
        <v>0</v>
      </c>
      <c r="K98" s="18">
        <f t="shared" si="12"/>
        <v>0</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160</v>
      </c>
      <c r="G102" s="14"/>
      <c r="H102" s="15">
        <v>8000</v>
      </c>
      <c r="I102" s="50">
        <f>H102*F$114</f>
        <v>5424.8</v>
      </c>
      <c r="J102" s="15"/>
      <c r="K102" s="16">
        <f>(H102+I102)-J102</f>
        <v>13424.8</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3">SUM(F102:F106)</f>
        <v>160</v>
      </c>
      <c r="G108" s="18">
        <f t="shared" si="13"/>
        <v>0</v>
      </c>
      <c r="H108" s="16">
        <f t="shared" si="13"/>
        <v>8000</v>
      </c>
      <c r="I108" s="16">
        <f t="shared" si="13"/>
        <v>5424.8</v>
      </c>
      <c r="J108" s="16">
        <f t="shared" si="13"/>
        <v>0</v>
      </c>
      <c r="K108" s="16">
        <f t="shared" si="13"/>
        <v>13424.8</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4507400</v>
      </c>
    </row>
    <row r="112" spans="1:11" ht="18" customHeight="1">
      <c r="B112" s="2"/>
      <c r="E112" s="2"/>
      <c r="F112" s="22"/>
    </row>
    <row r="113" spans="1:6" ht="18" customHeight="1">
      <c r="A113" s="6"/>
      <c r="B113" s="2" t="s">
        <v>15</v>
      </c>
    </row>
    <row r="114" spans="1:6" ht="18" customHeight="1">
      <c r="A114" s="5" t="s">
        <v>171</v>
      </c>
      <c r="B114" s="341" t="s">
        <v>35</v>
      </c>
      <c r="F114" s="25">
        <v>0.67810000000000004</v>
      </c>
    </row>
    <row r="115" spans="1:6" ht="18" customHeight="1">
      <c r="A115" s="5"/>
      <c r="B115" s="2"/>
    </row>
    <row r="116" spans="1:6" ht="18" customHeight="1">
      <c r="A116" s="5" t="s">
        <v>170</v>
      </c>
      <c r="B116" s="2" t="s">
        <v>16</v>
      </c>
    </row>
    <row r="117" spans="1:6" ht="18" customHeight="1">
      <c r="A117" s="5" t="s">
        <v>172</v>
      </c>
      <c r="B117" s="341" t="s">
        <v>17</v>
      </c>
      <c r="F117" s="15">
        <v>97912300</v>
      </c>
    </row>
    <row r="118" spans="1:6" ht="18" customHeight="1">
      <c r="A118" s="5" t="s">
        <v>173</v>
      </c>
      <c r="B118" t="s">
        <v>18</v>
      </c>
      <c r="F118" s="15">
        <v>2735200</v>
      </c>
    </row>
    <row r="119" spans="1:6" ht="18" customHeight="1">
      <c r="A119" s="5" t="s">
        <v>174</v>
      </c>
      <c r="B119" s="2" t="s">
        <v>19</v>
      </c>
      <c r="F119" s="17">
        <f>SUM(F117:F118)</f>
        <v>100647500</v>
      </c>
    </row>
    <row r="120" spans="1:6" ht="18" customHeight="1">
      <c r="A120" s="5"/>
      <c r="B120" s="2"/>
    </row>
    <row r="121" spans="1:6" ht="18" customHeight="1">
      <c r="A121" s="5" t="s">
        <v>167</v>
      </c>
      <c r="B121" s="2" t="s">
        <v>36</v>
      </c>
      <c r="F121" s="15">
        <v>104245600</v>
      </c>
    </row>
    <row r="122" spans="1:6" ht="18" customHeight="1">
      <c r="A122" s="5"/>
    </row>
    <row r="123" spans="1:6" ht="18" customHeight="1">
      <c r="A123" s="5" t="s">
        <v>175</v>
      </c>
      <c r="B123" s="2" t="s">
        <v>20</v>
      </c>
      <c r="F123" s="15">
        <v>-3598100</v>
      </c>
    </row>
    <row r="124" spans="1:6" ht="18" customHeight="1">
      <c r="A124" s="5"/>
    </row>
    <row r="125" spans="1:6" ht="18" customHeight="1">
      <c r="A125" s="5" t="s">
        <v>176</v>
      </c>
      <c r="B125" s="2" t="s">
        <v>21</v>
      </c>
      <c r="F125" s="15"/>
    </row>
    <row r="126" spans="1:6" ht="18" customHeight="1">
      <c r="A126" s="5"/>
    </row>
    <row r="127" spans="1:6" ht="18" customHeight="1">
      <c r="A127" s="5" t="s">
        <v>177</v>
      </c>
      <c r="B127" s="2" t="s">
        <v>22</v>
      </c>
      <c r="F127" s="15">
        <v>-3598100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4">SUM(F131:F135)</f>
        <v>0</v>
      </c>
      <c r="G137" s="18">
        <f t="shared" si="14"/>
        <v>0</v>
      </c>
      <c r="H137" s="16">
        <f t="shared" si="14"/>
        <v>0</v>
      </c>
      <c r="I137" s="16">
        <f t="shared" si="14"/>
        <v>0</v>
      </c>
      <c r="J137" s="16">
        <f t="shared" si="14"/>
        <v>0</v>
      </c>
      <c r="K137" s="16">
        <f t="shared" si="14"/>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5">F36</f>
        <v>500</v>
      </c>
      <c r="G141" s="41">
        <f t="shared" si="15"/>
        <v>600</v>
      </c>
      <c r="H141" s="41">
        <f t="shared" si="15"/>
        <v>59500</v>
      </c>
      <c r="I141" s="41">
        <f t="shared" si="15"/>
        <v>40346.950000000004</v>
      </c>
      <c r="J141" s="41">
        <f t="shared" si="15"/>
        <v>0</v>
      </c>
      <c r="K141" s="41">
        <f t="shared" si="15"/>
        <v>99846.950000000012</v>
      </c>
    </row>
    <row r="142" spans="1:11" ht="18" customHeight="1">
      <c r="A142" s="5" t="s">
        <v>142</v>
      </c>
      <c r="B142" s="2" t="s">
        <v>65</v>
      </c>
      <c r="F142" s="41">
        <f t="shared" ref="F142:K142" si="16">F49</f>
        <v>0</v>
      </c>
      <c r="G142" s="41">
        <f t="shared" si="16"/>
        <v>0</v>
      </c>
      <c r="H142" s="41">
        <f t="shared" si="16"/>
        <v>90241</v>
      </c>
      <c r="I142" s="41">
        <f t="shared" si="16"/>
        <v>61192.422100000003</v>
      </c>
      <c r="J142" s="41">
        <f t="shared" si="16"/>
        <v>0</v>
      </c>
      <c r="K142" s="41">
        <f t="shared" si="16"/>
        <v>151433.4221</v>
      </c>
    </row>
    <row r="143" spans="1:11" ht="18" customHeight="1">
      <c r="A143" s="5" t="s">
        <v>144</v>
      </c>
      <c r="B143" s="2" t="s">
        <v>66</v>
      </c>
      <c r="F143" s="41">
        <f t="shared" ref="F143:K143" si="17">F64</f>
        <v>40003</v>
      </c>
      <c r="G143" s="41">
        <f t="shared" si="17"/>
        <v>1559</v>
      </c>
      <c r="H143" s="41">
        <f t="shared" si="17"/>
        <v>7110200</v>
      </c>
      <c r="I143" s="41">
        <f t="shared" si="17"/>
        <v>4821426.6199999992</v>
      </c>
      <c r="J143" s="41">
        <f t="shared" si="17"/>
        <v>1501121</v>
      </c>
      <c r="K143" s="41">
        <f t="shared" si="17"/>
        <v>10430505.620000001</v>
      </c>
    </row>
    <row r="144" spans="1:11" ht="18" customHeight="1">
      <c r="A144" s="5" t="s">
        <v>146</v>
      </c>
      <c r="B144" s="2" t="s">
        <v>67</v>
      </c>
      <c r="F144" s="41">
        <f t="shared" ref="F144:K144" si="18">F74</f>
        <v>0</v>
      </c>
      <c r="G144" s="41">
        <f t="shared" si="18"/>
        <v>0</v>
      </c>
      <c r="H144" s="41">
        <f t="shared" si="18"/>
        <v>0</v>
      </c>
      <c r="I144" s="41">
        <f t="shared" si="18"/>
        <v>0</v>
      </c>
      <c r="J144" s="41">
        <f t="shared" si="18"/>
        <v>0</v>
      </c>
      <c r="K144" s="41">
        <f t="shared" si="18"/>
        <v>0</v>
      </c>
    </row>
    <row r="145" spans="1:11" ht="18" customHeight="1">
      <c r="A145" s="5" t="s">
        <v>148</v>
      </c>
      <c r="B145" s="2" t="s">
        <v>68</v>
      </c>
      <c r="F145" s="41">
        <f t="shared" ref="F145:K145" si="19">F82</f>
        <v>0</v>
      </c>
      <c r="G145" s="41">
        <f t="shared" si="19"/>
        <v>0</v>
      </c>
      <c r="H145" s="41">
        <f t="shared" si="19"/>
        <v>0</v>
      </c>
      <c r="I145" s="41">
        <f t="shared" si="19"/>
        <v>0</v>
      </c>
      <c r="J145" s="41">
        <f t="shared" si="19"/>
        <v>0</v>
      </c>
      <c r="K145" s="41">
        <f t="shared" si="19"/>
        <v>0</v>
      </c>
    </row>
    <row r="146" spans="1:11" ht="18" customHeight="1">
      <c r="A146" s="5" t="s">
        <v>150</v>
      </c>
      <c r="B146" s="2" t="s">
        <v>69</v>
      </c>
      <c r="F146" s="41">
        <f t="shared" ref="F146:K146" si="20">F98</f>
        <v>0</v>
      </c>
      <c r="G146" s="41">
        <f t="shared" si="20"/>
        <v>0</v>
      </c>
      <c r="H146" s="41">
        <f t="shared" si="20"/>
        <v>0</v>
      </c>
      <c r="I146" s="41">
        <f t="shared" si="20"/>
        <v>0</v>
      </c>
      <c r="J146" s="41">
        <f t="shared" si="20"/>
        <v>0</v>
      </c>
      <c r="K146" s="41">
        <f t="shared" si="20"/>
        <v>0</v>
      </c>
    </row>
    <row r="147" spans="1:11" ht="18" customHeight="1">
      <c r="A147" s="5" t="s">
        <v>153</v>
      </c>
      <c r="B147" s="2" t="s">
        <v>61</v>
      </c>
      <c r="F147" s="18">
        <f t="shared" ref="F147:K147" si="21">F108</f>
        <v>160</v>
      </c>
      <c r="G147" s="18">
        <f t="shared" si="21"/>
        <v>0</v>
      </c>
      <c r="H147" s="18">
        <f t="shared" si="21"/>
        <v>8000</v>
      </c>
      <c r="I147" s="18">
        <f t="shared" si="21"/>
        <v>5424.8</v>
      </c>
      <c r="J147" s="18">
        <f t="shared" si="21"/>
        <v>0</v>
      </c>
      <c r="K147" s="18">
        <f t="shared" si="21"/>
        <v>13424.8</v>
      </c>
    </row>
    <row r="148" spans="1:11" ht="18" customHeight="1">
      <c r="A148" s="5" t="s">
        <v>155</v>
      </c>
      <c r="B148" s="2" t="s">
        <v>70</v>
      </c>
      <c r="F148" s="42" t="s">
        <v>73</v>
      </c>
      <c r="G148" s="42" t="s">
        <v>73</v>
      </c>
      <c r="H148" s="43" t="s">
        <v>73</v>
      </c>
      <c r="I148" s="43" t="s">
        <v>73</v>
      </c>
      <c r="J148" s="43" t="s">
        <v>73</v>
      </c>
      <c r="K148" s="37">
        <f>F111</f>
        <v>4507400</v>
      </c>
    </row>
    <row r="149" spans="1:11" ht="18" customHeight="1">
      <c r="A149" s="5" t="s">
        <v>163</v>
      </c>
      <c r="B149" s="2" t="s">
        <v>71</v>
      </c>
      <c r="F149" s="18">
        <f t="shared" ref="F149:K149" si="22">F137</f>
        <v>0</v>
      </c>
      <c r="G149" s="18">
        <f t="shared" si="22"/>
        <v>0</v>
      </c>
      <c r="H149" s="18">
        <f t="shared" si="22"/>
        <v>0</v>
      </c>
      <c r="I149" s="18">
        <f t="shared" si="22"/>
        <v>0</v>
      </c>
      <c r="J149" s="18">
        <f t="shared" si="22"/>
        <v>0</v>
      </c>
      <c r="K149" s="18">
        <f t="shared" si="22"/>
        <v>0</v>
      </c>
    </row>
    <row r="150" spans="1:11" ht="18" customHeight="1">
      <c r="A150" s="5" t="s">
        <v>185</v>
      </c>
      <c r="B150" s="2" t="s">
        <v>186</v>
      </c>
      <c r="F150" s="42" t="s">
        <v>73</v>
      </c>
      <c r="G150" s="42" t="s">
        <v>73</v>
      </c>
      <c r="H150" s="18">
        <f>H18</f>
        <v>3164234</v>
      </c>
      <c r="I150" s="18">
        <f>I18</f>
        <v>0</v>
      </c>
      <c r="J150" s="18">
        <f>J18</f>
        <v>2705815</v>
      </c>
      <c r="K150" s="18">
        <f>K18</f>
        <v>458419</v>
      </c>
    </row>
    <row r="151" spans="1:11" ht="18" customHeight="1">
      <c r="B151" s="2"/>
      <c r="F151" s="48"/>
      <c r="G151" s="48"/>
      <c r="H151" s="48"/>
      <c r="I151" s="48"/>
      <c r="J151" s="48"/>
      <c r="K151" s="48"/>
    </row>
    <row r="152" spans="1:11" ht="18" customHeight="1">
      <c r="A152" s="6" t="s">
        <v>165</v>
      </c>
      <c r="B152" s="2" t="s">
        <v>26</v>
      </c>
      <c r="F152" s="49">
        <f t="shared" ref="F152:K152" si="23">SUM(F141:F150)</f>
        <v>40663</v>
      </c>
      <c r="G152" s="49">
        <f t="shared" si="23"/>
        <v>2159</v>
      </c>
      <c r="H152" s="49">
        <f t="shared" si="23"/>
        <v>10432175</v>
      </c>
      <c r="I152" s="49">
        <f t="shared" si="23"/>
        <v>4928390.7920999993</v>
      </c>
      <c r="J152" s="49">
        <f t="shared" si="23"/>
        <v>4206936</v>
      </c>
      <c r="K152" s="49">
        <f t="shared" si="23"/>
        <v>15661029.792100001</v>
      </c>
    </row>
    <row r="154" spans="1:11" ht="18" customHeight="1">
      <c r="A154" s="6" t="s">
        <v>168</v>
      </c>
      <c r="B154" s="2" t="s">
        <v>28</v>
      </c>
      <c r="F154" s="64">
        <f>K152/F121</f>
        <v>0.1502320461688551</v>
      </c>
    </row>
    <row r="155" spans="1:11" ht="18" customHeight="1">
      <c r="A155" s="6" t="s">
        <v>169</v>
      </c>
      <c r="B155" s="2" t="s">
        <v>72</v>
      </c>
      <c r="F155" s="64">
        <f>K152/F127</f>
        <v>-4.3525832500764299</v>
      </c>
      <c r="G155" s="2"/>
    </row>
    <row r="156" spans="1:11" ht="18" customHeight="1">
      <c r="G156" s="2"/>
    </row>
  </sheetData>
  <sheetProtection password="EF72" sheet="1" objects="1" scenarios="1"/>
  <mergeCells count="37">
    <mergeCell ref="B135:D135"/>
    <mergeCell ref="B103:C103"/>
    <mergeCell ref="B104:D104"/>
    <mergeCell ref="B105:D105"/>
    <mergeCell ref="B106:D106"/>
    <mergeCell ref="B133:D133"/>
    <mergeCell ref="B134:D134"/>
    <mergeCell ref="B96:D96"/>
    <mergeCell ref="B54:D54"/>
    <mergeCell ref="B55:D55"/>
    <mergeCell ref="B56:D56"/>
    <mergeCell ref="B57:D57"/>
    <mergeCell ref="B58:D58"/>
    <mergeCell ref="B59:D59"/>
    <mergeCell ref="B60:D60"/>
    <mergeCell ref="B62:D62"/>
    <mergeCell ref="B90:C90"/>
    <mergeCell ref="B94:D94"/>
    <mergeCell ref="B95:D95"/>
    <mergeCell ref="B53:D53"/>
    <mergeCell ref="C11:G11"/>
    <mergeCell ref="B13:H13"/>
    <mergeCell ref="B30:D30"/>
    <mergeCell ref="B31:D31"/>
    <mergeCell ref="B34:D34"/>
    <mergeCell ref="B41:C41"/>
    <mergeCell ref="B44:D44"/>
    <mergeCell ref="B45:D45"/>
    <mergeCell ref="B46:D46"/>
    <mergeCell ref="B47:D47"/>
    <mergeCell ref="B52:C52"/>
    <mergeCell ref="C10:G10"/>
    <mergeCell ref="D2:H2"/>
    <mergeCell ref="C5:G5"/>
    <mergeCell ref="C6:G6"/>
    <mergeCell ref="C7:G7"/>
    <mergeCell ref="C9:G9"/>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124" zoomScale="75" zoomScaleNormal="50" zoomScaleSheetLayoutView="70" workbookViewId="0">
      <selection activeCell="B19" sqref="B19"/>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514</v>
      </c>
      <c r="D5" s="654"/>
      <c r="E5" s="654"/>
      <c r="F5" s="654"/>
      <c r="G5" s="655"/>
    </row>
    <row r="6" spans="1:11" ht="18" customHeight="1">
      <c r="B6" s="5" t="s">
        <v>3</v>
      </c>
      <c r="C6" s="671"/>
      <c r="D6" s="657"/>
      <c r="E6" s="657"/>
      <c r="F6" s="657"/>
      <c r="G6" s="658"/>
    </row>
    <row r="7" spans="1:11" ht="18" customHeight="1">
      <c r="B7" s="5" t="s">
        <v>4</v>
      </c>
      <c r="C7" s="659">
        <v>417</v>
      </c>
      <c r="D7" s="660"/>
      <c r="E7" s="660"/>
      <c r="F7" s="660"/>
      <c r="G7" s="661"/>
    </row>
    <row r="9" spans="1:11" ht="18" customHeight="1">
      <c r="B9" s="5" t="s">
        <v>1</v>
      </c>
      <c r="C9" s="670" t="s">
        <v>515</v>
      </c>
      <c r="D9" s="654"/>
      <c r="E9" s="654"/>
      <c r="F9" s="654"/>
      <c r="G9" s="655"/>
    </row>
    <row r="10" spans="1:11" ht="18" customHeight="1">
      <c r="B10" s="5" t="s">
        <v>2</v>
      </c>
      <c r="C10" s="674" t="s">
        <v>516</v>
      </c>
      <c r="D10" s="663"/>
      <c r="E10" s="663"/>
      <c r="F10" s="663"/>
      <c r="G10" s="664"/>
    </row>
    <row r="11" spans="1:11" ht="18" customHeight="1">
      <c r="B11" s="5" t="s">
        <v>32</v>
      </c>
      <c r="C11" s="670" t="s">
        <v>517</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c r="I18" s="50">
        <v>1225750</v>
      </c>
      <c r="J18" s="15">
        <v>1048170</v>
      </c>
      <c r="K18" s="16">
        <f>(H18+I18)-J18</f>
        <v>177580</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120</v>
      </c>
      <c r="G21" s="14">
        <v>200</v>
      </c>
      <c r="H21" s="15">
        <v>5580</v>
      </c>
      <c r="I21" s="50">
        <f t="shared" ref="I21:I34" si="0">H21*F$114</f>
        <v>3941.712</v>
      </c>
      <c r="J21" s="15"/>
      <c r="K21" s="16">
        <f t="shared" ref="K21:K34" si="1">(H21+I21)-J21</f>
        <v>9521.7119999999995</v>
      </c>
    </row>
    <row r="22" spans="1:11" ht="18" customHeight="1">
      <c r="A22" s="5" t="s">
        <v>76</v>
      </c>
      <c r="B22" t="s">
        <v>6</v>
      </c>
      <c r="F22" s="14"/>
      <c r="G22" s="14"/>
      <c r="H22" s="15"/>
      <c r="I22" s="50">
        <f t="shared" si="0"/>
        <v>0</v>
      </c>
      <c r="J22" s="15"/>
      <c r="K22" s="16">
        <f t="shared" si="1"/>
        <v>0</v>
      </c>
    </row>
    <row r="23" spans="1:11" ht="18" customHeight="1">
      <c r="A23" s="5" t="s">
        <v>77</v>
      </c>
      <c r="B23" t="s">
        <v>43</v>
      </c>
      <c r="F23" s="14"/>
      <c r="G23" s="14"/>
      <c r="H23" s="15"/>
      <c r="I23" s="50">
        <f t="shared" si="0"/>
        <v>0</v>
      </c>
      <c r="J23" s="15"/>
      <c r="K23" s="16">
        <f t="shared" si="1"/>
        <v>0</v>
      </c>
    </row>
    <row r="24" spans="1:11" ht="18" customHeight="1">
      <c r="A24" s="5" t="s">
        <v>78</v>
      </c>
      <c r="B24" t="s">
        <v>44</v>
      </c>
      <c r="F24" s="14">
        <f>129.19+57</f>
        <v>186.19</v>
      </c>
      <c r="G24" s="14">
        <v>511</v>
      </c>
      <c r="H24" s="15">
        <f>7996+1968.21</f>
        <v>9964.2099999999991</v>
      </c>
      <c r="I24" s="50">
        <v>5666</v>
      </c>
      <c r="J24" s="15"/>
      <c r="K24" s="16">
        <f t="shared" si="1"/>
        <v>15630.21</v>
      </c>
    </row>
    <row r="25" spans="1:11" ht="18" customHeight="1">
      <c r="A25" s="5" t="s">
        <v>79</v>
      </c>
      <c r="B25" t="s">
        <v>5</v>
      </c>
      <c r="F25" s="14">
        <v>20</v>
      </c>
      <c r="G25" s="14">
        <v>100</v>
      </c>
      <c r="H25" s="15">
        <v>781.6</v>
      </c>
      <c r="I25" s="50">
        <f t="shared" si="0"/>
        <v>552.12224000000003</v>
      </c>
      <c r="J25" s="15"/>
      <c r="K25" s="16">
        <f t="shared" si="1"/>
        <v>1333.7222400000001</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c r="G29" s="14"/>
      <c r="H29" s="15"/>
      <c r="I29" s="50">
        <f t="shared" si="0"/>
        <v>0</v>
      </c>
      <c r="J29" s="15"/>
      <c r="K29" s="16">
        <f t="shared" si="1"/>
        <v>0</v>
      </c>
    </row>
    <row r="30" spans="1:11" ht="18" customHeight="1">
      <c r="A30" s="5" t="s">
        <v>84</v>
      </c>
      <c r="B30" s="636" t="s">
        <v>518</v>
      </c>
      <c r="C30" s="637"/>
      <c r="D30" s="638"/>
      <c r="F30" s="14">
        <v>75</v>
      </c>
      <c r="G30" s="14"/>
      <c r="H30" s="15">
        <v>4405.5</v>
      </c>
      <c r="I30" s="50">
        <v>16026.37</v>
      </c>
      <c r="J30" s="15">
        <v>16026.37</v>
      </c>
      <c r="K30" s="16">
        <f t="shared" si="1"/>
        <v>4405.5000000000018</v>
      </c>
    </row>
    <row r="31" spans="1:11" ht="18" customHeight="1">
      <c r="A31" s="5" t="s">
        <v>133</v>
      </c>
      <c r="B31" s="636" t="s">
        <v>519</v>
      </c>
      <c r="C31" s="637"/>
      <c r="D31" s="638"/>
      <c r="F31" s="14">
        <v>40</v>
      </c>
      <c r="G31" s="14">
        <v>1</v>
      </c>
      <c r="H31" s="15">
        <v>2021.2</v>
      </c>
      <c r="I31" s="50">
        <f t="shared" si="0"/>
        <v>1427.7756800000002</v>
      </c>
      <c r="J31" s="15"/>
      <c r="K31" s="16">
        <f t="shared" si="1"/>
        <v>3448.9756800000005</v>
      </c>
    </row>
    <row r="32" spans="1:11" ht="18" customHeight="1">
      <c r="A32" s="5" t="s">
        <v>134</v>
      </c>
      <c r="B32" s="335"/>
      <c r="C32" s="336"/>
      <c r="D32" s="337"/>
      <c r="F32" s="14"/>
      <c r="G32" s="342" t="s">
        <v>85</v>
      </c>
      <c r="H32" s="15"/>
      <c r="I32" s="50">
        <f t="shared" si="0"/>
        <v>0</v>
      </c>
      <c r="J32" s="15"/>
      <c r="K32" s="16">
        <f t="shared" si="1"/>
        <v>0</v>
      </c>
    </row>
    <row r="33" spans="1:11" ht="18" customHeight="1">
      <c r="A33" s="5" t="s">
        <v>135</v>
      </c>
      <c r="B33" s="335"/>
      <c r="C33" s="336"/>
      <c r="D33" s="337"/>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441.19</v>
      </c>
      <c r="G36" s="18">
        <f t="shared" si="2"/>
        <v>812</v>
      </c>
      <c r="H36" s="18">
        <f t="shared" si="2"/>
        <v>22752.51</v>
      </c>
      <c r="I36" s="16">
        <f t="shared" si="2"/>
        <v>27613.979919999998</v>
      </c>
      <c r="J36" s="16">
        <f t="shared" si="2"/>
        <v>16026.37</v>
      </c>
      <c r="K36" s="16">
        <f t="shared" si="2"/>
        <v>34340.119920000005</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v>0</v>
      </c>
      <c r="J40" s="15"/>
      <c r="K40" s="16">
        <f t="shared" ref="K40:K47" si="3">(H40+I40)-J40</f>
        <v>0</v>
      </c>
    </row>
    <row r="41" spans="1:11" ht="18" customHeight="1">
      <c r="A41" s="5" t="s">
        <v>88</v>
      </c>
      <c r="B41" s="641" t="s">
        <v>50</v>
      </c>
      <c r="C41" s="649"/>
      <c r="F41" s="14">
        <v>4214</v>
      </c>
      <c r="G41" s="14">
        <v>35</v>
      </c>
      <c r="H41" s="15">
        <v>192061.48</v>
      </c>
      <c r="I41" s="50">
        <v>59539.06</v>
      </c>
      <c r="J41" s="15"/>
      <c r="K41" s="16">
        <f t="shared" si="3"/>
        <v>251600.54</v>
      </c>
    </row>
    <row r="42" spans="1:11" ht="18" customHeight="1">
      <c r="A42" s="5" t="s">
        <v>89</v>
      </c>
      <c r="B42" s="341" t="s">
        <v>11</v>
      </c>
      <c r="F42" s="14">
        <v>502</v>
      </c>
      <c r="G42" s="14">
        <v>1</v>
      </c>
      <c r="H42" s="15">
        <v>29965</v>
      </c>
      <c r="I42" s="50">
        <v>9269.02</v>
      </c>
      <c r="J42" s="15"/>
      <c r="K42" s="16">
        <f t="shared" si="3"/>
        <v>39234.020000000004</v>
      </c>
    </row>
    <row r="43" spans="1:11" ht="18" customHeight="1">
      <c r="A43" s="5" t="s">
        <v>90</v>
      </c>
      <c r="B43" s="343" t="s">
        <v>10</v>
      </c>
      <c r="C43" s="10"/>
      <c r="D43" s="10"/>
      <c r="F43" s="14"/>
      <c r="G43" s="14"/>
      <c r="H43" s="15"/>
      <c r="I43" s="50">
        <v>0</v>
      </c>
      <c r="J43" s="15"/>
      <c r="K43" s="16">
        <f t="shared" si="3"/>
        <v>0</v>
      </c>
    </row>
    <row r="44" spans="1:11" ht="18" customHeight="1">
      <c r="A44" s="5" t="s">
        <v>91</v>
      </c>
      <c r="B44" s="636" t="s">
        <v>520</v>
      </c>
      <c r="C44" s="637"/>
      <c r="D44" s="638"/>
      <c r="F44" s="14">
        <v>1860</v>
      </c>
      <c r="G44" s="14">
        <v>7</v>
      </c>
      <c r="H44" s="14">
        <v>68217</v>
      </c>
      <c r="I44" s="50">
        <v>21147.27</v>
      </c>
      <c r="J44" s="14"/>
      <c r="K44" s="17">
        <f t="shared" si="3"/>
        <v>89364.27</v>
      </c>
    </row>
    <row r="45" spans="1:11" ht="18" customHeight="1">
      <c r="A45" s="5" t="s">
        <v>139</v>
      </c>
      <c r="B45" s="636" t="s">
        <v>521</v>
      </c>
      <c r="C45" s="637"/>
      <c r="D45" s="638"/>
      <c r="F45" s="14">
        <v>50</v>
      </c>
      <c r="G45" s="14">
        <v>1</v>
      </c>
      <c r="H45" s="15">
        <v>2112</v>
      </c>
      <c r="I45" s="50">
        <v>654.6</v>
      </c>
      <c r="J45" s="15"/>
      <c r="K45" s="16">
        <f t="shared" si="3"/>
        <v>2766.6</v>
      </c>
    </row>
    <row r="46" spans="1:11" ht="18" customHeight="1">
      <c r="A46" s="5" t="s">
        <v>140</v>
      </c>
      <c r="B46" s="636" t="s">
        <v>522</v>
      </c>
      <c r="C46" s="637"/>
      <c r="D46" s="638"/>
      <c r="F46" s="14"/>
      <c r="G46" s="14"/>
      <c r="H46" s="15">
        <v>15441.95</v>
      </c>
      <c r="I46" s="50">
        <v>4787</v>
      </c>
      <c r="J46" s="15">
        <v>15000</v>
      </c>
      <c r="K46" s="16">
        <f t="shared" si="3"/>
        <v>5228.9500000000007</v>
      </c>
    </row>
    <row r="47" spans="1:11" ht="18" customHeight="1">
      <c r="A47" s="5" t="s">
        <v>141</v>
      </c>
      <c r="B47" s="636" t="s">
        <v>523</v>
      </c>
      <c r="C47" s="637"/>
      <c r="D47" s="638"/>
      <c r="F47" s="14"/>
      <c r="G47" s="14"/>
      <c r="H47" s="15">
        <v>5083.66</v>
      </c>
      <c r="I47" s="50">
        <v>1575.94</v>
      </c>
      <c r="J47" s="15"/>
      <c r="K47" s="16">
        <f t="shared" si="3"/>
        <v>6659.6</v>
      </c>
    </row>
    <row r="49" spans="1:11" ht="18" customHeight="1">
      <c r="A49" s="6" t="s">
        <v>142</v>
      </c>
      <c r="B49" s="2" t="s">
        <v>143</v>
      </c>
      <c r="E49" s="2" t="s">
        <v>7</v>
      </c>
      <c r="F49" s="23">
        <f t="shared" ref="F49:K49" si="4">SUM(F40:F47)</f>
        <v>6626</v>
      </c>
      <c r="G49" s="23">
        <f t="shared" si="4"/>
        <v>44</v>
      </c>
      <c r="H49" s="16">
        <f t="shared" si="4"/>
        <v>312881.08999999997</v>
      </c>
      <c r="I49" s="16">
        <f t="shared" si="4"/>
        <v>96972.890000000014</v>
      </c>
      <c r="J49" s="16">
        <f t="shared" si="4"/>
        <v>15000</v>
      </c>
      <c r="K49" s="16">
        <f t="shared" si="4"/>
        <v>394853.98</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c r="C53" s="648"/>
      <c r="D53" s="644"/>
      <c r="F53" s="14"/>
      <c r="G53" s="14"/>
      <c r="H53" s="15"/>
      <c r="I53" s="50">
        <v>0</v>
      </c>
      <c r="J53" s="15"/>
      <c r="K53" s="16">
        <f t="shared" ref="K53:K62" si="5">(H53+I53)-J53</f>
        <v>0</v>
      </c>
    </row>
    <row r="54" spans="1:11" ht="18" customHeight="1">
      <c r="A54" s="5" t="s">
        <v>93</v>
      </c>
      <c r="B54" s="338"/>
      <c r="C54" s="339"/>
      <c r="D54" s="340"/>
      <c r="F54" s="14"/>
      <c r="G54" s="14"/>
      <c r="H54" s="15"/>
      <c r="I54" s="50">
        <v>0</v>
      </c>
      <c r="J54" s="15"/>
      <c r="K54" s="16">
        <f t="shared" si="5"/>
        <v>0</v>
      </c>
    </row>
    <row r="55" spans="1:11" ht="18" customHeight="1">
      <c r="A55" s="5" t="s">
        <v>94</v>
      </c>
      <c r="B55" s="642"/>
      <c r="C55" s="643"/>
      <c r="D55" s="644"/>
      <c r="F55" s="14"/>
      <c r="G55" s="14"/>
      <c r="H55" s="15"/>
      <c r="I55" s="50">
        <v>0</v>
      </c>
      <c r="J55" s="15"/>
      <c r="K55" s="16">
        <f t="shared" si="5"/>
        <v>0</v>
      </c>
    </row>
    <row r="56" spans="1:11" ht="18" customHeight="1">
      <c r="A56" s="5" t="s">
        <v>95</v>
      </c>
      <c r="B56" s="642"/>
      <c r="C56" s="643"/>
      <c r="D56" s="644"/>
      <c r="F56" s="14"/>
      <c r="G56" s="14"/>
      <c r="H56" s="15"/>
      <c r="I56" s="50">
        <v>0</v>
      </c>
      <c r="J56" s="15"/>
      <c r="K56" s="16">
        <f t="shared" si="5"/>
        <v>0</v>
      </c>
    </row>
    <row r="57" spans="1:11" ht="18" customHeight="1">
      <c r="A57" s="5" t="s">
        <v>96</v>
      </c>
      <c r="B57" s="642"/>
      <c r="C57" s="643"/>
      <c r="D57" s="644"/>
      <c r="F57" s="14"/>
      <c r="G57" s="14"/>
      <c r="H57" s="15"/>
      <c r="I57" s="50">
        <v>0</v>
      </c>
      <c r="J57" s="15"/>
      <c r="K57" s="16">
        <f t="shared" si="5"/>
        <v>0</v>
      </c>
    </row>
    <row r="58" spans="1:11" ht="18" customHeight="1">
      <c r="A58" s="5" t="s">
        <v>97</v>
      </c>
      <c r="B58" s="338"/>
      <c r="C58" s="339"/>
      <c r="D58" s="340"/>
      <c r="F58" s="14"/>
      <c r="G58" s="14"/>
      <c r="H58" s="15"/>
      <c r="I58" s="50">
        <v>0</v>
      </c>
      <c r="J58" s="15"/>
      <c r="K58" s="16">
        <f t="shared" si="5"/>
        <v>0</v>
      </c>
    </row>
    <row r="59" spans="1:11" ht="18" customHeight="1">
      <c r="A59" s="5" t="s">
        <v>98</v>
      </c>
      <c r="B59" s="642"/>
      <c r="C59" s="643"/>
      <c r="D59" s="644"/>
      <c r="F59" s="14"/>
      <c r="G59" s="14"/>
      <c r="H59" s="15"/>
      <c r="I59" s="50">
        <v>0</v>
      </c>
      <c r="J59" s="15"/>
      <c r="K59" s="16">
        <f t="shared" si="5"/>
        <v>0</v>
      </c>
    </row>
    <row r="60" spans="1:11" ht="18" customHeight="1">
      <c r="A60" s="5" t="s">
        <v>99</v>
      </c>
      <c r="B60" s="338"/>
      <c r="C60" s="339"/>
      <c r="D60" s="340"/>
      <c r="F60" s="14"/>
      <c r="G60" s="14"/>
      <c r="H60" s="15"/>
      <c r="I60" s="50">
        <v>0</v>
      </c>
      <c r="J60" s="15"/>
      <c r="K60" s="16">
        <f t="shared" si="5"/>
        <v>0</v>
      </c>
    </row>
    <row r="61" spans="1:11" ht="18" customHeight="1">
      <c r="A61" s="5" t="s">
        <v>100</v>
      </c>
      <c r="B61" s="338"/>
      <c r="C61" s="339"/>
      <c r="D61" s="340"/>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0</v>
      </c>
      <c r="G64" s="18">
        <f t="shared" si="6"/>
        <v>0</v>
      </c>
      <c r="H64" s="16">
        <f t="shared" si="6"/>
        <v>0</v>
      </c>
      <c r="I64" s="16">
        <f t="shared" si="6"/>
        <v>0</v>
      </c>
      <c r="J64" s="16">
        <f t="shared" si="6"/>
        <v>0</v>
      </c>
      <c r="K64" s="16">
        <f t="shared" si="6"/>
        <v>0</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338"/>
      <c r="C70" s="339"/>
      <c r="D70" s="340"/>
      <c r="E70" s="2"/>
      <c r="F70" s="35"/>
      <c r="G70" s="35"/>
      <c r="H70" s="36"/>
      <c r="I70" s="50">
        <v>0</v>
      </c>
      <c r="J70" s="36"/>
      <c r="K70" s="16">
        <f>(H70+I70)-J70</f>
        <v>0</v>
      </c>
    </row>
    <row r="71" spans="1:11" ht="18" customHeight="1">
      <c r="A71" s="5" t="s">
        <v>179</v>
      </c>
      <c r="B71" s="338"/>
      <c r="C71" s="339"/>
      <c r="D71" s="340"/>
      <c r="E71" s="2"/>
      <c r="F71" s="35"/>
      <c r="G71" s="35"/>
      <c r="H71" s="36"/>
      <c r="I71" s="50">
        <v>0</v>
      </c>
      <c r="J71" s="36"/>
      <c r="K71" s="16">
        <f>(H71+I71)-J71</f>
        <v>0</v>
      </c>
    </row>
    <row r="72" spans="1:11" ht="18" customHeight="1">
      <c r="A72" s="5" t="s">
        <v>180</v>
      </c>
      <c r="B72" s="344"/>
      <c r="C72" s="345"/>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0</v>
      </c>
      <c r="I74" s="53">
        <f t="shared" si="7"/>
        <v>0</v>
      </c>
      <c r="J74" s="21">
        <f t="shared" si="7"/>
        <v>0</v>
      </c>
      <c r="K74" s="17">
        <f t="shared" si="7"/>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v>3</v>
      </c>
      <c r="H77" s="15">
        <f>800+1000+200</f>
        <v>2000</v>
      </c>
      <c r="I77" s="50">
        <v>0</v>
      </c>
      <c r="J77" s="15"/>
      <c r="K77" s="16">
        <f>(H77+I77)-J77</f>
        <v>2000</v>
      </c>
    </row>
    <row r="78" spans="1:11" ht="18" customHeight="1">
      <c r="A78" s="5" t="s">
        <v>108</v>
      </c>
      <c r="B78" s="341" t="s">
        <v>55</v>
      </c>
      <c r="F78" s="14"/>
      <c r="G78" s="14"/>
      <c r="H78" s="15"/>
      <c r="I78" s="50">
        <v>0</v>
      </c>
      <c r="J78" s="15"/>
      <c r="K78" s="16">
        <f>(H78+I78)-J78</f>
        <v>0</v>
      </c>
    </row>
    <row r="79" spans="1:11" ht="18" customHeight="1">
      <c r="A79" s="5" t="s">
        <v>109</v>
      </c>
      <c r="B79" s="341" t="s">
        <v>13</v>
      </c>
      <c r="F79" s="14"/>
      <c r="G79" s="14"/>
      <c r="H79" s="15"/>
      <c r="I79" s="50">
        <v>0</v>
      </c>
      <c r="J79" s="15"/>
      <c r="K79" s="16">
        <f>(H79+I79)-J79</f>
        <v>0</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8">SUM(F77:F80)</f>
        <v>0</v>
      </c>
      <c r="G82" s="21">
        <f t="shared" si="8"/>
        <v>3</v>
      </c>
      <c r="H82" s="17">
        <f t="shared" si="8"/>
        <v>2000</v>
      </c>
      <c r="I82" s="17">
        <f t="shared" si="8"/>
        <v>0</v>
      </c>
      <c r="J82" s="17">
        <f t="shared" si="8"/>
        <v>0</v>
      </c>
      <c r="K82" s="17">
        <f t="shared" si="8"/>
        <v>2000</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14"/>
      <c r="G87" s="14"/>
      <c r="H87" s="15"/>
      <c r="I87" s="50">
        <f t="shared" si="9"/>
        <v>0</v>
      </c>
      <c r="J87" s="15"/>
      <c r="K87" s="16">
        <f t="shared" si="10"/>
        <v>0</v>
      </c>
    </row>
    <row r="88" spans="1:11" ht="18" customHeight="1">
      <c r="A88" s="5" t="s">
        <v>115</v>
      </c>
      <c r="B88" s="341" t="s">
        <v>116</v>
      </c>
      <c r="F88" s="14"/>
      <c r="G88" s="14"/>
      <c r="H88" s="15"/>
      <c r="I88" s="50">
        <f t="shared" si="9"/>
        <v>0</v>
      </c>
      <c r="J88" s="15"/>
      <c r="K88" s="16">
        <f t="shared" si="10"/>
        <v>0</v>
      </c>
    </row>
    <row r="89" spans="1:11" ht="18" customHeight="1">
      <c r="A89" s="5" t="s">
        <v>117</v>
      </c>
      <c r="B89" s="341" t="s">
        <v>58</v>
      </c>
      <c r="F89" s="14"/>
      <c r="G89" s="14"/>
      <c r="H89" s="15"/>
      <c r="I89" s="50">
        <f t="shared" si="9"/>
        <v>0</v>
      </c>
      <c r="J89" s="15"/>
      <c r="K89" s="16">
        <f t="shared" si="10"/>
        <v>0</v>
      </c>
    </row>
    <row r="90" spans="1:11" ht="18" customHeight="1">
      <c r="A90" s="5" t="s">
        <v>118</v>
      </c>
      <c r="B90" s="641" t="s">
        <v>59</v>
      </c>
      <c r="C90" s="649"/>
      <c r="F90" s="14"/>
      <c r="G90" s="14"/>
      <c r="H90" s="15"/>
      <c r="I90" s="50">
        <f t="shared" si="9"/>
        <v>0</v>
      </c>
      <c r="J90" s="15"/>
      <c r="K90" s="16">
        <f t="shared" si="10"/>
        <v>0</v>
      </c>
    </row>
    <row r="91" spans="1:11" ht="18" customHeight="1">
      <c r="A91" s="5" t="s">
        <v>119</v>
      </c>
      <c r="B91" s="341" t="s">
        <v>60</v>
      </c>
      <c r="F91" s="14"/>
      <c r="G91" s="14"/>
      <c r="H91" s="15"/>
      <c r="I91" s="50">
        <f t="shared" si="9"/>
        <v>0</v>
      </c>
      <c r="J91" s="15"/>
      <c r="K91" s="16">
        <f t="shared" si="10"/>
        <v>0</v>
      </c>
    </row>
    <row r="92" spans="1:11" ht="18" customHeight="1">
      <c r="A92" s="5" t="s">
        <v>120</v>
      </c>
      <c r="B92" s="341" t="s">
        <v>121</v>
      </c>
      <c r="F92" s="38"/>
      <c r="G92" s="38"/>
      <c r="H92" s="39"/>
      <c r="I92" s="50">
        <f t="shared" si="9"/>
        <v>0</v>
      </c>
      <c r="J92" s="39"/>
      <c r="K92" s="16">
        <f t="shared" si="10"/>
        <v>0</v>
      </c>
    </row>
    <row r="93" spans="1:11" ht="18" customHeight="1">
      <c r="A93" s="5" t="s">
        <v>122</v>
      </c>
      <c r="B93" s="341" t="s">
        <v>123</v>
      </c>
      <c r="F93" s="14"/>
      <c r="G93" s="14"/>
      <c r="H93" s="15"/>
      <c r="I93" s="50">
        <f t="shared" si="9"/>
        <v>0</v>
      </c>
      <c r="J93" s="15"/>
      <c r="K93" s="16">
        <f t="shared" si="10"/>
        <v>0</v>
      </c>
    </row>
    <row r="94" spans="1:11" ht="18" customHeight="1">
      <c r="A94" s="5" t="s">
        <v>124</v>
      </c>
      <c r="B94" s="642"/>
      <c r="C94" s="643"/>
      <c r="D94" s="644"/>
      <c r="F94" s="14"/>
      <c r="G94" s="14"/>
      <c r="H94" s="15"/>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0</v>
      </c>
      <c r="G98" s="18">
        <f t="shared" si="11"/>
        <v>0</v>
      </c>
      <c r="H98" s="18">
        <f t="shared" si="11"/>
        <v>0</v>
      </c>
      <c r="I98" s="18">
        <f t="shared" si="11"/>
        <v>0</v>
      </c>
      <c r="J98" s="18">
        <f t="shared" si="11"/>
        <v>0</v>
      </c>
      <c r="K98" s="18">
        <f t="shared" si="11"/>
        <v>0</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c r="G102" s="14"/>
      <c r="H102" s="15"/>
      <c r="I102" s="50">
        <f>H102*F$114</f>
        <v>0</v>
      </c>
      <c r="J102" s="15"/>
      <c r="K102" s="16">
        <f>(H102+I102)-J102</f>
        <v>0</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0</v>
      </c>
      <c r="G108" s="18">
        <f t="shared" si="12"/>
        <v>0</v>
      </c>
      <c r="H108" s="16">
        <f t="shared" si="12"/>
        <v>0</v>
      </c>
      <c r="I108" s="16">
        <f t="shared" si="12"/>
        <v>0</v>
      </c>
      <c r="J108" s="16">
        <f t="shared" si="12"/>
        <v>0</v>
      </c>
      <c r="K108" s="16">
        <f t="shared" si="12"/>
        <v>0</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1614129</v>
      </c>
    </row>
    <row r="112" spans="1:11" ht="18" customHeight="1">
      <c r="B112" s="2"/>
      <c r="E112" s="2"/>
      <c r="F112" s="22"/>
    </row>
    <row r="113" spans="1:6" ht="18" customHeight="1">
      <c r="A113" s="6"/>
      <c r="B113" s="2" t="s">
        <v>15</v>
      </c>
    </row>
    <row r="114" spans="1:6" ht="18" customHeight="1">
      <c r="A114" s="5" t="s">
        <v>171</v>
      </c>
      <c r="B114" s="341" t="s">
        <v>35</v>
      </c>
      <c r="F114" s="25">
        <v>0.70640000000000003</v>
      </c>
    </row>
    <row r="115" spans="1:6" ht="18" customHeight="1">
      <c r="A115" s="5"/>
      <c r="B115" s="2"/>
    </row>
    <row r="116" spans="1:6" ht="18" customHeight="1">
      <c r="A116" s="5" t="s">
        <v>170</v>
      </c>
      <c r="B116" s="2" t="s">
        <v>16</v>
      </c>
    </row>
    <row r="117" spans="1:6" ht="18" customHeight="1">
      <c r="A117" s="5" t="s">
        <v>172</v>
      </c>
      <c r="B117" s="341" t="s">
        <v>17</v>
      </c>
      <c r="F117" s="15">
        <v>37262013</v>
      </c>
    </row>
    <row r="118" spans="1:6" ht="18" customHeight="1">
      <c r="A118" s="5" t="s">
        <v>173</v>
      </c>
      <c r="B118" t="s">
        <v>18</v>
      </c>
      <c r="F118" s="15">
        <v>2334366</v>
      </c>
    </row>
    <row r="119" spans="1:6" ht="18" customHeight="1">
      <c r="A119" s="5" t="s">
        <v>174</v>
      </c>
      <c r="B119" s="2" t="s">
        <v>19</v>
      </c>
      <c r="F119" s="17">
        <f>SUM(F117:F118)</f>
        <v>39596379</v>
      </c>
    </row>
    <row r="120" spans="1:6" ht="18" customHeight="1">
      <c r="A120" s="5"/>
      <c r="B120" s="2"/>
    </row>
    <row r="121" spans="1:6" ht="18" customHeight="1">
      <c r="A121" s="5" t="s">
        <v>167</v>
      </c>
      <c r="B121" s="2" t="s">
        <v>36</v>
      </c>
      <c r="F121" s="15">
        <v>38620727</v>
      </c>
    </row>
    <row r="122" spans="1:6" ht="18" customHeight="1">
      <c r="A122" s="5"/>
    </row>
    <row r="123" spans="1:6" ht="18" customHeight="1">
      <c r="A123" s="5" t="s">
        <v>175</v>
      </c>
      <c r="B123" s="2" t="s">
        <v>20</v>
      </c>
      <c r="F123" s="15">
        <f>+F119-F121</f>
        <v>975652</v>
      </c>
    </row>
    <row r="124" spans="1:6" ht="18" customHeight="1">
      <c r="A124" s="5"/>
    </row>
    <row r="125" spans="1:6" ht="18" customHeight="1">
      <c r="A125" s="5" t="s">
        <v>176</v>
      </c>
      <c r="B125" s="2" t="s">
        <v>21</v>
      </c>
      <c r="F125" s="15">
        <v>22715</v>
      </c>
    </row>
    <row r="126" spans="1:6" ht="18" customHeight="1">
      <c r="A126" s="5"/>
    </row>
    <row r="127" spans="1:6" ht="18" customHeight="1">
      <c r="A127" s="5" t="s">
        <v>177</v>
      </c>
      <c r="B127" s="2" t="s">
        <v>22</v>
      </c>
      <c r="F127" s="15">
        <f>+F123+F125</f>
        <v>998367</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441.19</v>
      </c>
      <c r="G141" s="41">
        <f t="shared" si="14"/>
        <v>812</v>
      </c>
      <c r="H141" s="41">
        <f t="shared" si="14"/>
        <v>22752.51</v>
      </c>
      <c r="I141" s="41">
        <f t="shared" si="14"/>
        <v>27613.979919999998</v>
      </c>
      <c r="J141" s="41">
        <f t="shared" si="14"/>
        <v>16026.37</v>
      </c>
      <c r="K141" s="41">
        <f t="shared" si="14"/>
        <v>34340.119920000005</v>
      </c>
    </row>
    <row r="142" spans="1:11" ht="18" customHeight="1">
      <c r="A142" s="5" t="s">
        <v>142</v>
      </c>
      <c r="B142" s="2" t="s">
        <v>65</v>
      </c>
      <c r="F142" s="41">
        <f t="shared" ref="F142:K142" si="15">F49</f>
        <v>6626</v>
      </c>
      <c r="G142" s="41">
        <f t="shared" si="15"/>
        <v>44</v>
      </c>
      <c r="H142" s="41">
        <f t="shared" si="15"/>
        <v>312881.08999999997</v>
      </c>
      <c r="I142" s="41">
        <f t="shared" si="15"/>
        <v>96972.890000000014</v>
      </c>
      <c r="J142" s="41">
        <f t="shared" si="15"/>
        <v>15000</v>
      </c>
      <c r="K142" s="41">
        <f t="shared" si="15"/>
        <v>394853.98</v>
      </c>
    </row>
    <row r="143" spans="1:11" ht="18" customHeight="1">
      <c r="A143" s="5" t="s">
        <v>144</v>
      </c>
      <c r="B143" s="2" t="s">
        <v>66</v>
      </c>
      <c r="F143" s="41">
        <f t="shared" ref="F143:K143" si="16">F64</f>
        <v>0</v>
      </c>
      <c r="G143" s="41">
        <f t="shared" si="16"/>
        <v>0</v>
      </c>
      <c r="H143" s="41">
        <f t="shared" si="16"/>
        <v>0</v>
      </c>
      <c r="I143" s="41">
        <f t="shared" si="16"/>
        <v>0</v>
      </c>
      <c r="J143" s="41">
        <f t="shared" si="16"/>
        <v>0</v>
      </c>
      <c r="K143" s="41">
        <f t="shared" si="16"/>
        <v>0</v>
      </c>
    </row>
    <row r="144" spans="1:11" ht="18" customHeight="1">
      <c r="A144" s="5" t="s">
        <v>146</v>
      </c>
      <c r="B144" s="2" t="s">
        <v>67</v>
      </c>
      <c r="F144" s="41">
        <f t="shared" ref="F144:K144" si="17">F74</f>
        <v>0</v>
      </c>
      <c r="G144" s="41">
        <f t="shared" si="17"/>
        <v>0</v>
      </c>
      <c r="H144" s="41">
        <f t="shared" si="17"/>
        <v>0</v>
      </c>
      <c r="I144" s="41">
        <f t="shared" si="17"/>
        <v>0</v>
      </c>
      <c r="J144" s="41">
        <f t="shared" si="17"/>
        <v>0</v>
      </c>
      <c r="K144" s="41">
        <f t="shared" si="17"/>
        <v>0</v>
      </c>
    </row>
    <row r="145" spans="1:11" ht="18" customHeight="1">
      <c r="A145" s="5" t="s">
        <v>148</v>
      </c>
      <c r="B145" s="2" t="s">
        <v>68</v>
      </c>
      <c r="F145" s="41">
        <f t="shared" ref="F145:K145" si="18">F82</f>
        <v>0</v>
      </c>
      <c r="G145" s="41">
        <f t="shared" si="18"/>
        <v>3</v>
      </c>
      <c r="H145" s="41">
        <f t="shared" si="18"/>
        <v>2000</v>
      </c>
      <c r="I145" s="41">
        <f t="shared" si="18"/>
        <v>0</v>
      </c>
      <c r="J145" s="41">
        <f t="shared" si="18"/>
        <v>0</v>
      </c>
      <c r="K145" s="41">
        <f t="shared" si="18"/>
        <v>2000</v>
      </c>
    </row>
    <row r="146" spans="1:11" ht="18" customHeight="1">
      <c r="A146" s="5" t="s">
        <v>150</v>
      </c>
      <c r="B146" s="2" t="s">
        <v>69</v>
      </c>
      <c r="F146" s="41">
        <f t="shared" ref="F146:K146" si="19">F98</f>
        <v>0</v>
      </c>
      <c r="G146" s="41">
        <f t="shared" si="19"/>
        <v>0</v>
      </c>
      <c r="H146" s="41">
        <f t="shared" si="19"/>
        <v>0</v>
      </c>
      <c r="I146" s="41">
        <f t="shared" si="19"/>
        <v>0</v>
      </c>
      <c r="J146" s="41">
        <f t="shared" si="19"/>
        <v>0</v>
      </c>
      <c r="K146" s="41">
        <f t="shared" si="19"/>
        <v>0</v>
      </c>
    </row>
    <row r="147" spans="1:11" ht="18" customHeight="1">
      <c r="A147" s="5" t="s">
        <v>153</v>
      </c>
      <c r="B147" s="2" t="s">
        <v>61</v>
      </c>
      <c r="F147" s="18">
        <f t="shared" ref="F147:K147" si="20">F108</f>
        <v>0</v>
      </c>
      <c r="G147" s="18">
        <f t="shared" si="20"/>
        <v>0</v>
      </c>
      <c r="H147" s="18">
        <f t="shared" si="20"/>
        <v>0</v>
      </c>
      <c r="I147" s="18">
        <f t="shared" si="20"/>
        <v>0</v>
      </c>
      <c r="J147" s="18">
        <f t="shared" si="20"/>
        <v>0</v>
      </c>
      <c r="K147" s="18">
        <f t="shared" si="20"/>
        <v>0</v>
      </c>
    </row>
    <row r="148" spans="1:11" ht="18" customHeight="1">
      <c r="A148" s="5" t="s">
        <v>155</v>
      </c>
      <c r="B148" s="2" t="s">
        <v>70</v>
      </c>
      <c r="F148" s="42" t="s">
        <v>73</v>
      </c>
      <c r="G148" s="42" t="s">
        <v>73</v>
      </c>
      <c r="H148" s="43" t="s">
        <v>73</v>
      </c>
      <c r="I148" s="43" t="s">
        <v>73</v>
      </c>
      <c r="J148" s="43" t="s">
        <v>73</v>
      </c>
      <c r="K148" s="37">
        <f>F111</f>
        <v>1614129</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0</v>
      </c>
      <c r="I150" s="18">
        <f>I18</f>
        <v>1225750</v>
      </c>
      <c r="J150" s="18">
        <f>J18</f>
        <v>1048170</v>
      </c>
      <c r="K150" s="18">
        <f>K18</f>
        <v>177580</v>
      </c>
    </row>
    <row r="151" spans="1:11" ht="18" customHeight="1">
      <c r="B151" s="2"/>
      <c r="F151" s="48"/>
      <c r="G151" s="48"/>
      <c r="H151" s="48"/>
      <c r="I151" s="48"/>
      <c r="J151" s="48"/>
      <c r="K151" s="48"/>
    </row>
    <row r="152" spans="1:11" ht="18" customHeight="1">
      <c r="A152" s="6" t="s">
        <v>165</v>
      </c>
      <c r="B152" s="2" t="s">
        <v>26</v>
      </c>
      <c r="F152" s="49">
        <f t="shared" ref="F152:K152" si="22">SUM(F141:F150)</f>
        <v>7067.19</v>
      </c>
      <c r="G152" s="49">
        <f t="shared" si="22"/>
        <v>859</v>
      </c>
      <c r="H152" s="49">
        <f t="shared" si="22"/>
        <v>337633.6</v>
      </c>
      <c r="I152" s="49">
        <f t="shared" si="22"/>
        <v>1350336.86992</v>
      </c>
      <c r="J152" s="49">
        <f t="shared" si="22"/>
        <v>1079196.3700000001</v>
      </c>
      <c r="K152" s="49">
        <f t="shared" si="22"/>
        <v>2222903.0999199999</v>
      </c>
    </row>
    <row r="154" spans="1:11" ht="18" customHeight="1">
      <c r="A154" s="6" t="s">
        <v>168</v>
      </c>
      <c r="B154" s="2" t="s">
        <v>28</v>
      </c>
      <c r="F154" s="348">
        <f>K152/F121</f>
        <v>5.7557256752831194E-2</v>
      </c>
    </row>
    <row r="155" spans="1:11" ht="18" customHeight="1">
      <c r="A155" s="6" t="s">
        <v>169</v>
      </c>
      <c r="B155" s="2" t="s">
        <v>72</v>
      </c>
      <c r="F155" s="348">
        <f>K152/F127</f>
        <v>2.2265390381693306</v>
      </c>
      <c r="G155" s="2"/>
    </row>
    <row r="156" spans="1:11" ht="18" customHeight="1">
      <c r="G156" s="2"/>
    </row>
  </sheetData>
  <sheetProtection password="EF72" sheet="1" objects="1" scenarios="1"/>
  <mergeCells count="34">
    <mergeCell ref="B106:D106"/>
    <mergeCell ref="B133:D133"/>
    <mergeCell ref="B134:D134"/>
    <mergeCell ref="B135:D135"/>
    <mergeCell ref="B94:D94"/>
    <mergeCell ref="B95:D95"/>
    <mergeCell ref="B96:D96"/>
    <mergeCell ref="B103:C103"/>
    <mergeCell ref="B104:D104"/>
    <mergeCell ref="B105:D105"/>
    <mergeCell ref="B90:C90"/>
    <mergeCell ref="B44:D44"/>
    <mergeCell ref="B45:D45"/>
    <mergeCell ref="B46:D46"/>
    <mergeCell ref="B47:D47"/>
    <mergeCell ref="B52:C52"/>
    <mergeCell ref="B53:D53"/>
    <mergeCell ref="B55:D55"/>
    <mergeCell ref="B56:D56"/>
    <mergeCell ref="B57:D57"/>
    <mergeCell ref="B59:D59"/>
    <mergeCell ref="B62:D62"/>
    <mergeCell ref="B41:C41"/>
    <mergeCell ref="D2:H2"/>
    <mergeCell ref="C5:G5"/>
    <mergeCell ref="C6:G6"/>
    <mergeCell ref="C7:G7"/>
    <mergeCell ref="C9:G9"/>
    <mergeCell ref="C10:G10"/>
    <mergeCell ref="C11:G11"/>
    <mergeCell ref="B13:H13"/>
    <mergeCell ref="B30:D30"/>
    <mergeCell ref="B31:D31"/>
    <mergeCell ref="B34:D34"/>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33" zoomScale="70" zoomScaleNormal="50" zoomScaleSheetLayoutView="70" workbookViewId="0">
      <selection activeCell="J113" sqref="J113"/>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393</v>
      </c>
      <c r="D5" s="654"/>
      <c r="E5" s="654"/>
      <c r="F5" s="654"/>
      <c r="G5" s="655"/>
    </row>
    <row r="6" spans="1:11" ht="18" customHeight="1">
      <c r="B6" s="5" t="s">
        <v>3</v>
      </c>
      <c r="C6" s="671">
        <v>61</v>
      </c>
      <c r="D6" s="657"/>
      <c r="E6" s="657"/>
      <c r="F6" s="657"/>
      <c r="G6" s="658"/>
    </row>
    <row r="7" spans="1:11" ht="18" customHeight="1">
      <c r="B7" s="5" t="s">
        <v>4</v>
      </c>
      <c r="C7" s="659">
        <v>835</v>
      </c>
      <c r="D7" s="660"/>
      <c r="E7" s="660"/>
      <c r="F7" s="660"/>
      <c r="G7" s="661"/>
    </row>
    <row r="9" spans="1:11" ht="18" customHeight="1">
      <c r="B9" s="5" t="s">
        <v>1</v>
      </c>
      <c r="C9" s="670" t="s">
        <v>394</v>
      </c>
      <c r="D9" s="654"/>
      <c r="E9" s="654"/>
      <c r="F9" s="654"/>
      <c r="G9" s="655"/>
    </row>
    <row r="10" spans="1:11" ht="18" customHeight="1">
      <c r="B10" s="5" t="s">
        <v>2</v>
      </c>
      <c r="C10" s="674" t="s">
        <v>395</v>
      </c>
      <c r="D10" s="663"/>
      <c r="E10" s="663"/>
      <c r="F10" s="663"/>
      <c r="G10" s="664"/>
    </row>
    <row r="11" spans="1:11" ht="18" customHeight="1">
      <c r="B11" s="5" t="s">
        <v>32</v>
      </c>
      <c r="C11" s="670" t="s">
        <v>396</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2445993</v>
      </c>
      <c r="I18" s="50">
        <v>0</v>
      </c>
      <c r="J18" s="15">
        <v>354363</v>
      </c>
      <c r="K18" s="16">
        <f>(H18+I18)-J18</f>
        <v>2091630</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54">
        <v>15329</v>
      </c>
      <c r="G21" s="54">
        <v>20833</v>
      </c>
      <c r="H21" s="15">
        <v>191849</v>
      </c>
      <c r="I21" s="50">
        <f t="shared" ref="I21:I34" si="0">H21*F$114</f>
        <v>138131.28</v>
      </c>
      <c r="J21" s="15">
        <v>128</v>
      </c>
      <c r="K21" s="16">
        <f t="shared" ref="K21:K34" si="1">(H21+I21)-J21</f>
        <v>329852.28000000003</v>
      </c>
    </row>
    <row r="22" spans="1:11" ht="18" customHeight="1">
      <c r="A22" s="5" t="s">
        <v>76</v>
      </c>
      <c r="B22" t="s">
        <v>6</v>
      </c>
      <c r="F22" s="54">
        <v>613</v>
      </c>
      <c r="G22" s="54">
        <v>332</v>
      </c>
      <c r="H22" s="15">
        <v>9373</v>
      </c>
      <c r="I22" s="50">
        <f t="shared" si="0"/>
        <v>6748.5599999999995</v>
      </c>
      <c r="J22" s="15"/>
      <c r="K22" s="16">
        <f t="shared" si="1"/>
        <v>16121.56</v>
      </c>
    </row>
    <row r="23" spans="1:11" ht="18" customHeight="1">
      <c r="A23" s="5" t="s">
        <v>77</v>
      </c>
      <c r="B23" t="s">
        <v>43</v>
      </c>
      <c r="F23" s="54"/>
      <c r="G23" s="54"/>
      <c r="H23" s="15"/>
      <c r="I23" s="50">
        <f t="shared" si="0"/>
        <v>0</v>
      </c>
      <c r="J23" s="15"/>
      <c r="K23" s="16">
        <f t="shared" si="1"/>
        <v>0</v>
      </c>
    </row>
    <row r="24" spans="1:11" ht="18" customHeight="1">
      <c r="A24" s="5" t="s">
        <v>78</v>
      </c>
      <c r="B24" t="s">
        <v>44</v>
      </c>
      <c r="F24" s="54"/>
      <c r="G24" s="54"/>
      <c r="H24" s="15"/>
      <c r="I24" s="50">
        <f t="shared" si="0"/>
        <v>0</v>
      </c>
      <c r="J24" s="15"/>
      <c r="K24" s="16">
        <f t="shared" si="1"/>
        <v>0</v>
      </c>
    </row>
    <row r="25" spans="1:11" ht="18" customHeight="1">
      <c r="A25" s="5" t="s">
        <v>79</v>
      </c>
      <c r="B25" t="s">
        <v>5</v>
      </c>
      <c r="F25" s="54">
        <v>2299</v>
      </c>
      <c r="G25" s="54">
        <v>5603</v>
      </c>
      <c r="H25" s="15">
        <v>19246</v>
      </c>
      <c r="I25" s="50">
        <f t="shared" si="0"/>
        <v>13857.119999999999</v>
      </c>
      <c r="J25" s="15"/>
      <c r="K25" s="16">
        <f t="shared" si="1"/>
        <v>33103.119999999995</v>
      </c>
    </row>
    <row r="26" spans="1:11" ht="18" customHeight="1">
      <c r="A26" s="5" t="s">
        <v>80</v>
      </c>
      <c r="B26" t="s">
        <v>45</v>
      </c>
      <c r="F26" s="54">
        <v>30</v>
      </c>
      <c r="G26" s="54">
        <v>11</v>
      </c>
      <c r="H26" s="15">
        <v>249</v>
      </c>
      <c r="I26" s="50">
        <f t="shared" si="0"/>
        <v>179.28</v>
      </c>
      <c r="J26" s="15"/>
      <c r="K26" s="16">
        <f t="shared" si="1"/>
        <v>428.28</v>
      </c>
    </row>
    <row r="27" spans="1:11" ht="18" customHeight="1">
      <c r="A27" s="5" t="s">
        <v>81</v>
      </c>
      <c r="B27" t="s">
        <v>46</v>
      </c>
      <c r="F27" s="54">
        <v>5846</v>
      </c>
      <c r="G27" s="54">
        <v>5907</v>
      </c>
      <c r="H27" s="15">
        <v>185526</v>
      </c>
      <c r="I27" s="50">
        <f t="shared" si="0"/>
        <v>133578.72</v>
      </c>
      <c r="J27" s="15"/>
      <c r="K27" s="16">
        <f t="shared" si="1"/>
        <v>319104.71999999997</v>
      </c>
    </row>
    <row r="28" spans="1:11" ht="18" customHeight="1">
      <c r="A28" s="5" t="s">
        <v>82</v>
      </c>
      <c r="B28" t="s">
        <v>47</v>
      </c>
      <c r="F28" s="54"/>
      <c r="G28" s="54"/>
      <c r="H28" s="15"/>
      <c r="I28" s="50">
        <f t="shared" si="0"/>
        <v>0</v>
      </c>
      <c r="J28" s="15"/>
      <c r="K28" s="16">
        <f t="shared" si="1"/>
        <v>0</v>
      </c>
    </row>
    <row r="29" spans="1:11" ht="18" customHeight="1">
      <c r="A29" s="5" t="s">
        <v>83</v>
      </c>
      <c r="B29" t="s">
        <v>48</v>
      </c>
      <c r="F29" s="54">
        <v>3980</v>
      </c>
      <c r="G29" s="54">
        <v>2929</v>
      </c>
      <c r="H29" s="15">
        <v>175175</v>
      </c>
      <c r="I29" s="50">
        <f t="shared" si="0"/>
        <v>126126</v>
      </c>
      <c r="J29" s="15"/>
      <c r="K29" s="16">
        <f t="shared" si="1"/>
        <v>301301</v>
      </c>
    </row>
    <row r="30" spans="1:11" ht="18" customHeight="1">
      <c r="A30" s="5" t="s">
        <v>84</v>
      </c>
      <c r="B30" s="636"/>
      <c r="C30" s="637"/>
      <c r="D30" s="638"/>
      <c r="F30" s="54"/>
      <c r="G30" s="54"/>
      <c r="H30" s="15"/>
      <c r="I30" s="50">
        <f t="shared" si="0"/>
        <v>0</v>
      </c>
      <c r="J30" s="15"/>
      <c r="K30" s="16">
        <f t="shared" si="1"/>
        <v>0</v>
      </c>
    </row>
    <row r="31" spans="1:11" ht="18" customHeight="1">
      <c r="A31" s="5" t="s">
        <v>133</v>
      </c>
      <c r="B31" s="636"/>
      <c r="C31" s="637"/>
      <c r="D31" s="638"/>
      <c r="F31" s="54"/>
      <c r="G31" s="54"/>
      <c r="H31" s="15"/>
      <c r="I31" s="50">
        <f t="shared" si="0"/>
        <v>0</v>
      </c>
      <c r="J31" s="15"/>
      <c r="K31" s="16">
        <f t="shared" si="1"/>
        <v>0</v>
      </c>
    </row>
    <row r="32" spans="1:11" ht="18" customHeight="1">
      <c r="A32" s="5" t="s">
        <v>134</v>
      </c>
      <c r="B32" s="247"/>
      <c r="C32" s="248"/>
      <c r="D32" s="249"/>
      <c r="F32" s="54"/>
      <c r="G32" s="342" t="s">
        <v>85</v>
      </c>
      <c r="H32" s="15"/>
      <c r="I32" s="50">
        <f t="shared" si="0"/>
        <v>0</v>
      </c>
      <c r="J32" s="15"/>
      <c r="K32" s="16">
        <f t="shared" si="1"/>
        <v>0</v>
      </c>
    </row>
    <row r="33" spans="1:11" ht="18" customHeight="1">
      <c r="A33" s="5" t="s">
        <v>135</v>
      </c>
      <c r="B33" s="247"/>
      <c r="C33" s="248"/>
      <c r="D33" s="249"/>
      <c r="F33" s="54"/>
      <c r="G33" s="342" t="s">
        <v>85</v>
      </c>
      <c r="H33" s="15"/>
      <c r="I33" s="50">
        <f t="shared" si="0"/>
        <v>0</v>
      </c>
      <c r="J33" s="15"/>
      <c r="K33" s="16">
        <f t="shared" si="1"/>
        <v>0</v>
      </c>
    </row>
    <row r="34" spans="1:11" ht="18" customHeight="1">
      <c r="A34" s="5" t="s">
        <v>136</v>
      </c>
      <c r="B34" s="636"/>
      <c r="C34" s="637"/>
      <c r="D34" s="638"/>
      <c r="F34" s="5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28097</v>
      </c>
      <c r="G36" s="18">
        <f t="shared" si="2"/>
        <v>35615</v>
      </c>
      <c r="H36" s="18">
        <f t="shared" si="2"/>
        <v>581418</v>
      </c>
      <c r="I36" s="16">
        <f t="shared" si="2"/>
        <v>418620.95999999996</v>
      </c>
      <c r="J36" s="16">
        <f t="shared" si="2"/>
        <v>128</v>
      </c>
      <c r="K36" s="16">
        <f t="shared" si="2"/>
        <v>999910.96</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32</v>
      </c>
      <c r="G40" s="14">
        <v>275</v>
      </c>
      <c r="H40" s="15">
        <v>320382</v>
      </c>
      <c r="I40" s="50">
        <v>0</v>
      </c>
      <c r="J40" s="15"/>
      <c r="K40" s="16">
        <f t="shared" ref="K40:K47" si="3">(H40+I40)-J40</f>
        <v>320382</v>
      </c>
    </row>
    <row r="41" spans="1:11" ht="18" customHeight="1">
      <c r="A41" s="5" t="s">
        <v>88</v>
      </c>
      <c r="B41" s="641" t="s">
        <v>50</v>
      </c>
      <c r="C41" s="649"/>
      <c r="F41" s="54">
        <v>483</v>
      </c>
      <c r="G41" s="54">
        <v>413</v>
      </c>
      <c r="H41" s="15">
        <v>65425</v>
      </c>
      <c r="I41" s="50">
        <v>0</v>
      </c>
      <c r="J41" s="15"/>
      <c r="K41" s="16">
        <f t="shared" si="3"/>
        <v>65425</v>
      </c>
    </row>
    <row r="42" spans="1:11" ht="18" customHeight="1">
      <c r="A42" s="5" t="s">
        <v>89</v>
      </c>
      <c r="B42" s="341" t="s">
        <v>11</v>
      </c>
      <c r="F42" s="54">
        <v>1016</v>
      </c>
      <c r="G42" s="54">
        <v>1239</v>
      </c>
      <c r="H42" s="15">
        <v>304510</v>
      </c>
      <c r="I42" s="50">
        <v>0</v>
      </c>
      <c r="J42" s="15"/>
      <c r="K42" s="16">
        <f t="shared" si="3"/>
        <v>304510</v>
      </c>
    </row>
    <row r="43" spans="1:11" ht="18" customHeight="1">
      <c r="A43" s="5" t="s">
        <v>90</v>
      </c>
      <c r="B43" s="343" t="s">
        <v>10</v>
      </c>
      <c r="C43" s="10"/>
      <c r="D43" s="10"/>
      <c r="F43" s="14">
        <v>77</v>
      </c>
      <c r="G43" s="14">
        <v>404</v>
      </c>
      <c r="H43" s="15">
        <v>13676</v>
      </c>
      <c r="I43" s="50">
        <v>0</v>
      </c>
      <c r="J43" s="15"/>
      <c r="K43" s="16">
        <f t="shared" si="3"/>
        <v>13676</v>
      </c>
    </row>
    <row r="44" spans="1:11" ht="18" customHeight="1">
      <c r="A44" s="5" t="s">
        <v>91</v>
      </c>
      <c r="B44" s="636"/>
      <c r="C44" s="637"/>
      <c r="D44" s="638"/>
      <c r="F44" s="54"/>
      <c r="G44" s="54"/>
      <c r="H44" s="54"/>
      <c r="I44" s="55">
        <v>0</v>
      </c>
      <c r="J44" s="15"/>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1608</v>
      </c>
      <c r="G49" s="23">
        <f t="shared" si="4"/>
        <v>2331</v>
      </c>
      <c r="H49" s="16">
        <f t="shared" si="4"/>
        <v>703993</v>
      </c>
      <c r="I49" s="16">
        <f t="shared" si="4"/>
        <v>0</v>
      </c>
      <c r="J49" s="16">
        <f t="shared" si="4"/>
        <v>0</v>
      </c>
      <c r="K49" s="16">
        <f t="shared" si="4"/>
        <v>703993</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397</v>
      </c>
      <c r="C53" s="648"/>
      <c r="D53" s="644"/>
      <c r="F53" s="54"/>
      <c r="G53" s="54"/>
      <c r="H53" s="15">
        <v>385775</v>
      </c>
      <c r="I53" s="50">
        <v>0</v>
      </c>
      <c r="J53" s="15">
        <v>335000</v>
      </c>
      <c r="K53" s="16">
        <f t="shared" ref="K53:K62" si="5">(H53+I53)-J53</f>
        <v>50775</v>
      </c>
    </row>
    <row r="54" spans="1:11" ht="18" customHeight="1">
      <c r="A54" s="5" t="s">
        <v>93</v>
      </c>
      <c r="B54" s="244" t="s">
        <v>398</v>
      </c>
      <c r="C54" s="245"/>
      <c r="D54" s="246"/>
      <c r="F54" s="54">
        <v>12</v>
      </c>
      <c r="G54" s="54">
        <v>871</v>
      </c>
      <c r="H54" s="15">
        <v>3903</v>
      </c>
      <c r="I54" s="50">
        <v>0</v>
      </c>
      <c r="J54" s="15"/>
      <c r="K54" s="16">
        <f t="shared" si="5"/>
        <v>3903</v>
      </c>
    </row>
    <row r="55" spans="1:11" ht="18" customHeight="1">
      <c r="A55" s="5" t="s">
        <v>94</v>
      </c>
      <c r="B55" s="650" t="s">
        <v>399</v>
      </c>
      <c r="C55" s="643"/>
      <c r="D55" s="644"/>
      <c r="F55" s="54"/>
      <c r="G55" s="54"/>
      <c r="H55" s="15">
        <v>180648</v>
      </c>
      <c r="I55" s="50">
        <v>0</v>
      </c>
      <c r="J55" s="15">
        <v>102093</v>
      </c>
      <c r="K55" s="16">
        <f t="shared" si="5"/>
        <v>78555</v>
      </c>
    </row>
    <row r="56" spans="1:11" ht="18" customHeight="1">
      <c r="A56" s="5" t="s">
        <v>95</v>
      </c>
      <c r="B56" s="650" t="s">
        <v>400</v>
      </c>
      <c r="C56" s="643"/>
      <c r="D56" s="644"/>
      <c r="F56" s="14"/>
      <c r="G56" s="14"/>
      <c r="H56" s="15">
        <v>15796501</v>
      </c>
      <c r="I56" s="50">
        <v>0</v>
      </c>
      <c r="J56" s="15">
        <v>10147920</v>
      </c>
      <c r="K56" s="16">
        <f t="shared" si="5"/>
        <v>5648581</v>
      </c>
    </row>
    <row r="57" spans="1:11" ht="18" customHeight="1">
      <c r="A57" s="5" t="s">
        <v>96</v>
      </c>
      <c r="B57" s="346" t="s">
        <v>401</v>
      </c>
      <c r="C57" s="245"/>
      <c r="D57" s="246"/>
      <c r="F57" s="14"/>
      <c r="G57" s="14"/>
      <c r="H57" s="15">
        <v>33595</v>
      </c>
      <c r="I57" s="50">
        <v>0</v>
      </c>
      <c r="J57" s="15">
        <v>15950</v>
      </c>
      <c r="K57" s="16">
        <f t="shared" si="5"/>
        <v>17645</v>
      </c>
    </row>
    <row r="58" spans="1:11" ht="18" customHeight="1">
      <c r="A58" s="5" t="s">
        <v>97</v>
      </c>
      <c r="B58" s="244"/>
      <c r="C58" s="245"/>
      <c r="D58" s="246"/>
      <c r="F58" s="14"/>
      <c r="G58" s="14"/>
      <c r="H58" s="15"/>
      <c r="I58" s="50">
        <v>0</v>
      </c>
      <c r="J58" s="15"/>
      <c r="K58" s="16">
        <f t="shared" si="5"/>
        <v>0</v>
      </c>
    </row>
    <row r="59" spans="1:11" ht="18" customHeight="1">
      <c r="A59" s="5" t="s">
        <v>98</v>
      </c>
      <c r="B59" s="642"/>
      <c r="C59" s="643"/>
      <c r="D59" s="644"/>
      <c r="F59" s="14"/>
      <c r="G59" s="14"/>
      <c r="H59" s="15"/>
      <c r="I59" s="50">
        <v>0</v>
      </c>
      <c r="J59" s="15"/>
      <c r="K59" s="16">
        <f t="shared" si="5"/>
        <v>0</v>
      </c>
    </row>
    <row r="60" spans="1:11" ht="18" customHeight="1">
      <c r="A60" s="5" t="s">
        <v>99</v>
      </c>
      <c r="B60" s="244"/>
      <c r="C60" s="245"/>
      <c r="D60" s="246"/>
      <c r="F60" s="14"/>
      <c r="G60" s="14"/>
      <c r="H60" s="15"/>
      <c r="I60" s="50">
        <v>0</v>
      </c>
      <c r="J60" s="15"/>
      <c r="K60" s="16">
        <f t="shared" si="5"/>
        <v>0</v>
      </c>
    </row>
    <row r="61" spans="1:11" ht="18" customHeight="1">
      <c r="A61" s="5" t="s">
        <v>100</v>
      </c>
      <c r="B61" s="244"/>
      <c r="C61" s="245"/>
      <c r="D61" s="246"/>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12</v>
      </c>
      <c r="G64" s="18">
        <f t="shared" si="6"/>
        <v>871</v>
      </c>
      <c r="H64" s="16">
        <f t="shared" si="6"/>
        <v>16400422</v>
      </c>
      <c r="I64" s="16">
        <f t="shared" si="6"/>
        <v>0</v>
      </c>
      <c r="J64" s="16">
        <f t="shared" si="6"/>
        <v>10600963</v>
      </c>
      <c r="K64" s="16">
        <f t="shared" si="6"/>
        <v>5799459</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v>28</v>
      </c>
      <c r="G69" s="51">
        <v>12</v>
      </c>
      <c r="H69" s="51">
        <v>504</v>
      </c>
      <c r="I69" s="50">
        <v>0</v>
      </c>
      <c r="J69" s="51"/>
      <c r="K69" s="16">
        <f>(H69+I69)-J69</f>
        <v>504</v>
      </c>
    </row>
    <row r="70" spans="1:11" ht="18" customHeight="1">
      <c r="A70" s="5" t="s">
        <v>178</v>
      </c>
      <c r="B70" s="244"/>
      <c r="C70" s="245"/>
      <c r="D70" s="246"/>
      <c r="E70" s="2"/>
      <c r="F70" s="35"/>
      <c r="G70" s="35"/>
      <c r="H70" s="36"/>
      <c r="I70" s="50">
        <v>0</v>
      </c>
      <c r="J70" s="36"/>
      <c r="K70" s="16">
        <f>(H70+I70)-J70</f>
        <v>0</v>
      </c>
    </row>
    <row r="71" spans="1:11" ht="18" customHeight="1">
      <c r="A71" s="5" t="s">
        <v>179</v>
      </c>
      <c r="B71" s="244"/>
      <c r="C71" s="245"/>
      <c r="D71" s="246"/>
      <c r="E71" s="2"/>
      <c r="F71" s="35"/>
      <c r="G71" s="35"/>
      <c r="H71" s="36"/>
      <c r="I71" s="50">
        <v>0</v>
      </c>
      <c r="J71" s="36"/>
      <c r="K71" s="16">
        <f>(H71+I71)-J71</f>
        <v>0</v>
      </c>
    </row>
    <row r="72" spans="1:11" ht="18" customHeight="1">
      <c r="A72" s="5" t="s">
        <v>180</v>
      </c>
      <c r="B72" s="32"/>
      <c r="C72" s="33"/>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7">SUM(F68:F72)</f>
        <v>28</v>
      </c>
      <c r="G74" s="21">
        <f t="shared" si="7"/>
        <v>12</v>
      </c>
      <c r="H74" s="21">
        <f t="shared" si="7"/>
        <v>504</v>
      </c>
      <c r="I74" s="53">
        <f t="shared" si="7"/>
        <v>0</v>
      </c>
      <c r="J74" s="21">
        <f t="shared" si="7"/>
        <v>0</v>
      </c>
      <c r="K74" s="17">
        <f t="shared" si="7"/>
        <v>504</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c r="I77" s="50">
        <v>0</v>
      </c>
      <c r="J77" s="15"/>
      <c r="K77" s="16">
        <f>(H77+I77)-J77</f>
        <v>0</v>
      </c>
    </row>
    <row r="78" spans="1:11" ht="18" customHeight="1">
      <c r="A78" s="5" t="s">
        <v>108</v>
      </c>
      <c r="B78" s="341" t="s">
        <v>55</v>
      </c>
      <c r="F78" s="347">
        <v>45</v>
      </c>
      <c r="G78" s="54">
        <v>53</v>
      </c>
      <c r="H78" s="15">
        <v>316</v>
      </c>
      <c r="I78" s="50">
        <v>0</v>
      </c>
      <c r="J78" s="15"/>
      <c r="K78" s="16">
        <f>(H78+I78)-J78</f>
        <v>316</v>
      </c>
    </row>
    <row r="79" spans="1:11" ht="18" customHeight="1">
      <c r="A79" s="5" t="s">
        <v>109</v>
      </c>
      <c r="B79" s="341" t="s">
        <v>13</v>
      </c>
      <c r="F79" s="54">
        <v>6313</v>
      </c>
      <c r="G79" s="54">
        <v>11449</v>
      </c>
      <c r="H79" s="15">
        <v>81840</v>
      </c>
      <c r="I79" s="50">
        <v>0</v>
      </c>
      <c r="J79" s="15"/>
      <c r="K79" s="16">
        <f>(H79+I79)-J79</f>
        <v>81840</v>
      </c>
    </row>
    <row r="80" spans="1:11" ht="18" customHeight="1">
      <c r="A80" s="5" t="s">
        <v>110</v>
      </c>
      <c r="B80" s="341" t="s">
        <v>56</v>
      </c>
      <c r="F80" s="54">
        <v>502</v>
      </c>
      <c r="G80" s="54">
        <v>12</v>
      </c>
      <c r="H80" s="15">
        <v>458</v>
      </c>
      <c r="I80" s="50">
        <v>0</v>
      </c>
      <c r="J80" s="15"/>
      <c r="K80" s="16">
        <f>(H80+I80)-J80</f>
        <v>458</v>
      </c>
    </row>
    <row r="81" spans="1:11" ht="18" customHeight="1">
      <c r="A81" s="5"/>
      <c r="K81" s="40"/>
    </row>
    <row r="82" spans="1:11" ht="18" customHeight="1">
      <c r="A82" s="5" t="s">
        <v>148</v>
      </c>
      <c r="B82" s="2" t="s">
        <v>149</v>
      </c>
      <c r="E82" s="2" t="s">
        <v>7</v>
      </c>
      <c r="F82" s="21">
        <f t="shared" ref="F82:K82" si="8">SUM(F77:F80)</f>
        <v>6860</v>
      </c>
      <c r="G82" s="21">
        <f t="shared" si="8"/>
        <v>11514</v>
      </c>
      <c r="H82" s="17">
        <f t="shared" si="8"/>
        <v>82614</v>
      </c>
      <c r="I82" s="17">
        <f t="shared" si="8"/>
        <v>0</v>
      </c>
      <c r="J82" s="17">
        <f t="shared" si="8"/>
        <v>0</v>
      </c>
      <c r="K82" s="17">
        <f t="shared" si="8"/>
        <v>82614</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9">H86*F$114</f>
        <v>0</v>
      </c>
      <c r="J86" s="15"/>
      <c r="K86" s="16">
        <f t="shared" ref="K86:K96" si="10">(H86+I86)-J86</f>
        <v>0</v>
      </c>
    </row>
    <row r="87" spans="1:11" ht="18" customHeight="1">
      <c r="A87" s="5" t="s">
        <v>114</v>
      </c>
      <c r="B87" s="341" t="s">
        <v>14</v>
      </c>
      <c r="F87" s="54">
        <v>389</v>
      </c>
      <c r="G87" s="54">
        <v>182</v>
      </c>
      <c r="H87" s="15">
        <v>1901</v>
      </c>
      <c r="I87" s="50">
        <f t="shared" si="9"/>
        <v>1368.72</v>
      </c>
      <c r="J87" s="15"/>
      <c r="K87" s="16">
        <f t="shared" si="10"/>
        <v>3269.7200000000003</v>
      </c>
    </row>
    <row r="88" spans="1:11" ht="18" customHeight="1">
      <c r="A88" s="5" t="s">
        <v>115</v>
      </c>
      <c r="B88" s="341" t="s">
        <v>116</v>
      </c>
      <c r="F88" s="54">
        <v>989</v>
      </c>
      <c r="G88" s="54">
        <v>1078</v>
      </c>
      <c r="H88" s="15">
        <v>37247</v>
      </c>
      <c r="I88" s="50">
        <f t="shared" si="9"/>
        <v>26817.84</v>
      </c>
      <c r="J88" s="15"/>
      <c r="K88" s="16">
        <f t="shared" si="10"/>
        <v>64064.84</v>
      </c>
    </row>
    <row r="89" spans="1:11" ht="18" customHeight="1">
      <c r="A89" s="5" t="s">
        <v>117</v>
      </c>
      <c r="B89" s="341" t="s">
        <v>58</v>
      </c>
      <c r="F89" s="54"/>
      <c r="G89" s="54"/>
      <c r="H89" s="15">
        <v>4532</v>
      </c>
      <c r="I89" s="50">
        <f t="shared" si="9"/>
        <v>3263.04</v>
      </c>
      <c r="J89" s="15"/>
      <c r="K89" s="16">
        <f t="shared" si="10"/>
        <v>7795.04</v>
      </c>
    </row>
    <row r="90" spans="1:11" ht="18" customHeight="1">
      <c r="A90" s="5" t="s">
        <v>118</v>
      </c>
      <c r="B90" s="641" t="s">
        <v>59</v>
      </c>
      <c r="C90" s="649"/>
      <c r="F90" s="54"/>
      <c r="G90" s="54"/>
      <c r="H90" s="15"/>
      <c r="I90" s="50">
        <f t="shared" si="9"/>
        <v>0</v>
      </c>
      <c r="J90" s="15"/>
      <c r="K90" s="16">
        <f t="shared" si="10"/>
        <v>0</v>
      </c>
    </row>
    <row r="91" spans="1:11" ht="18" customHeight="1">
      <c r="A91" s="5" t="s">
        <v>119</v>
      </c>
      <c r="B91" s="341" t="s">
        <v>60</v>
      </c>
      <c r="F91" s="54">
        <v>3251</v>
      </c>
      <c r="G91" s="54">
        <v>1612</v>
      </c>
      <c r="H91" s="15">
        <v>32507</v>
      </c>
      <c r="I91" s="50">
        <f t="shared" si="9"/>
        <v>23405.040000000001</v>
      </c>
      <c r="J91" s="15">
        <v>13</v>
      </c>
      <c r="K91" s="16">
        <f t="shared" si="10"/>
        <v>55899.040000000001</v>
      </c>
    </row>
    <row r="92" spans="1:11" ht="18" customHeight="1">
      <c r="A92" s="5" t="s">
        <v>120</v>
      </c>
      <c r="B92" s="341" t="s">
        <v>121</v>
      </c>
      <c r="F92" s="38">
        <v>1110</v>
      </c>
      <c r="G92" s="38">
        <v>426</v>
      </c>
      <c r="H92" s="39">
        <v>46132</v>
      </c>
      <c r="I92" s="50">
        <f t="shared" si="9"/>
        <v>33215.040000000001</v>
      </c>
      <c r="J92" s="39"/>
      <c r="K92" s="16">
        <f t="shared" si="10"/>
        <v>79347.040000000008</v>
      </c>
    </row>
    <row r="93" spans="1:11" ht="18" customHeight="1">
      <c r="A93" s="5" t="s">
        <v>122</v>
      </c>
      <c r="B93" s="341" t="s">
        <v>123</v>
      </c>
      <c r="F93" s="54">
        <v>74</v>
      </c>
      <c r="G93" s="54">
        <v>47</v>
      </c>
      <c r="H93" s="15">
        <v>3693</v>
      </c>
      <c r="I93" s="50">
        <f t="shared" si="9"/>
        <v>2658.96</v>
      </c>
      <c r="J93" s="15"/>
      <c r="K93" s="16">
        <f t="shared" si="10"/>
        <v>6351.96</v>
      </c>
    </row>
    <row r="94" spans="1:11" ht="18" customHeight="1">
      <c r="A94" s="5" t="s">
        <v>124</v>
      </c>
      <c r="B94" s="642" t="s">
        <v>402</v>
      </c>
      <c r="C94" s="643"/>
      <c r="D94" s="644"/>
      <c r="F94" s="14">
        <v>29</v>
      </c>
      <c r="G94" s="14">
        <v>89</v>
      </c>
      <c r="H94" s="15">
        <v>52712</v>
      </c>
      <c r="I94" s="50">
        <f t="shared" si="9"/>
        <v>37952.639999999999</v>
      </c>
      <c r="J94" s="15"/>
      <c r="K94" s="16">
        <f t="shared" si="10"/>
        <v>90664.639999999999</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341"/>
    </row>
    <row r="98" spans="1:11" ht="18" customHeight="1">
      <c r="A98" s="6" t="s">
        <v>150</v>
      </c>
      <c r="B98" s="2" t="s">
        <v>151</v>
      </c>
      <c r="E98" s="2" t="s">
        <v>7</v>
      </c>
      <c r="F98" s="18">
        <f t="shared" ref="F98:K98" si="11">SUM(F86:F96)</f>
        <v>5842</v>
      </c>
      <c r="G98" s="18">
        <f t="shared" si="11"/>
        <v>3434</v>
      </c>
      <c r="H98" s="18">
        <f t="shared" si="11"/>
        <v>178724</v>
      </c>
      <c r="I98" s="18">
        <f t="shared" si="11"/>
        <v>128681.28</v>
      </c>
      <c r="J98" s="18">
        <f t="shared" si="11"/>
        <v>13</v>
      </c>
      <c r="K98" s="18">
        <f t="shared" si="11"/>
        <v>307392.27999999997</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54">
        <v>146</v>
      </c>
      <c r="G102" s="54">
        <v>126</v>
      </c>
      <c r="H102" s="15">
        <v>388482</v>
      </c>
      <c r="I102" s="50">
        <f>H102*F$114</f>
        <v>279707.03999999998</v>
      </c>
      <c r="J102" s="15"/>
      <c r="K102" s="16">
        <f>(H102+I102)-J102</f>
        <v>668189.04</v>
      </c>
    </row>
    <row r="103" spans="1:11" ht="18" customHeight="1">
      <c r="A103" s="5" t="s">
        <v>132</v>
      </c>
      <c r="B103" s="641" t="s">
        <v>62</v>
      </c>
      <c r="C103" s="641"/>
      <c r="F103" s="54">
        <v>12</v>
      </c>
      <c r="G103" s="54">
        <v>12</v>
      </c>
      <c r="H103" s="15">
        <v>55</v>
      </c>
      <c r="I103" s="50">
        <f>H103*F$114</f>
        <v>39.6</v>
      </c>
      <c r="J103" s="15"/>
      <c r="K103" s="16">
        <f>(H103+I103)-J103</f>
        <v>94.6</v>
      </c>
    </row>
    <row r="104" spans="1:11" ht="18" customHeight="1">
      <c r="A104" s="5" t="s">
        <v>128</v>
      </c>
      <c r="B104" s="642" t="s">
        <v>403</v>
      </c>
      <c r="C104" s="643"/>
      <c r="D104" s="644"/>
      <c r="F104" s="54">
        <v>0</v>
      </c>
      <c r="G104" s="54">
        <v>120</v>
      </c>
      <c r="H104" s="15">
        <v>756</v>
      </c>
      <c r="I104" s="50">
        <f>H104*F$114</f>
        <v>544.31999999999994</v>
      </c>
      <c r="J104" s="15">
        <v>44</v>
      </c>
      <c r="K104" s="16">
        <f>(H104+I104)-J104</f>
        <v>1256.32</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158</v>
      </c>
      <c r="G108" s="18">
        <f t="shared" si="12"/>
        <v>258</v>
      </c>
      <c r="H108" s="16">
        <f t="shared" si="12"/>
        <v>389293</v>
      </c>
      <c r="I108" s="16">
        <f t="shared" si="12"/>
        <v>280290.95999999996</v>
      </c>
      <c r="J108" s="16">
        <f t="shared" si="12"/>
        <v>44</v>
      </c>
      <c r="K108" s="16">
        <f t="shared" si="12"/>
        <v>669539.96</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3594293</v>
      </c>
    </row>
    <row r="112" spans="1:11" ht="18" customHeight="1">
      <c r="B112" s="2"/>
      <c r="E112" s="2"/>
      <c r="F112" s="22"/>
    </row>
    <row r="113" spans="1:6" ht="18" customHeight="1">
      <c r="A113" s="6"/>
      <c r="B113" s="2" t="s">
        <v>15</v>
      </c>
    </row>
    <row r="114" spans="1:6" ht="18" customHeight="1">
      <c r="A114" s="5" t="s">
        <v>171</v>
      </c>
      <c r="B114" s="341" t="s">
        <v>35</v>
      </c>
      <c r="F114" s="25">
        <v>0.72</v>
      </c>
    </row>
    <row r="115" spans="1:6" ht="18" customHeight="1">
      <c r="A115" s="5"/>
      <c r="B115" s="2"/>
    </row>
    <row r="116" spans="1:6" ht="18" customHeight="1">
      <c r="A116" s="5" t="s">
        <v>170</v>
      </c>
      <c r="B116" s="2" t="s">
        <v>16</v>
      </c>
    </row>
    <row r="117" spans="1:6" ht="18" customHeight="1">
      <c r="A117" s="5" t="s">
        <v>172</v>
      </c>
      <c r="B117" s="341" t="s">
        <v>17</v>
      </c>
      <c r="F117" s="15">
        <v>97633779</v>
      </c>
    </row>
    <row r="118" spans="1:6" ht="18" customHeight="1">
      <c r="A118" s="5" t="s">
        <v>173</v>
      </c>
      <c r="B118" t="s">
        <v>18</v>
      </c>
      <c r="F118" s="15">
        <v>2304846</v>
      </c>
    </row>
    <row r="119" spans="1:6" ht="18" customHeight="1">
      <c r="A119" s="5" t="s">
        <v>174</v>
      </c>
      <c r="B119" s="2" t="s">
        <v>19</v>
      </c>
      <c r="F119" s="17">
        <f>SUM(F117:F118)</f>
        <v>99938625</v>
      </c>
    </row>
    <row r="120" spans="1:6" ht="18" customHeight="1">
      <c r="A120" s="5"/>
      <c r="B120" s="2"/>
    </row>
    <row r="121" spans="1:6" ht="18" customHeight="1">
      <c r="A121" s="5" t="s">
        <v>167</v>
      </c>
      <c r="B121" s="2" t="s">
        <v>36</v>
      </c>
      <c r="F121" s="15">
        <v>101574098</v>
      </c>
    </row>
    <row r="122" spans="1:6" ht="18" customHeight="1">
      <c r="A122" s="5"/>
    </row>
    <row r="123" spans="1:6" ht="18" customHeight="1">
      <c r="A123" s="5" t="s">
        <v>175</v>
      </c>
      <c r="B123" s="2" t="s">
        <v>20</v>
      </c>
      <c r="F123" s="15">
        <f>+F119-F121</f>
        <v>-1635473</v>
      </c>
    </row>
    <row r="124" spans="1:6" ht="18" customHeight="1">
      <c r="A124" s="5"/>
    </row>
    <row r="125" spans="1:6" ht="18" customHeight="1">
      <c r="A125" s="5" t="s">
        <v>176</v>
      </c>
      <c r="B125" s="2" t="s">
        <v>21</v>
      </c>
      <c r="F125" s="15">
        <v>2611619</v>
      </c>
    </row>
    <row r="126" spans="1:6" ht="18" customHeight="1">
      <c r="A126" s="5"/>
    </row>
    <row r="127" spans="1:6" ht="18" customHeight="1">
      <c r="A127" s="5" t="s">
        <v>177</v>
      </c>
      <c r="B127" s="2" t="s">
        <v>22</v>
      </c>
      <c r="F127" s="15">
        <f>+F123+F125</f>
        <v>976146</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28097</v>
      </c>
      <c r="G141" s="41">
        <f t="shared" si="14"/>
        <v>35615</v>
      </c>
      <c r="H141" s="41">
        <f t="shared" si="14"/>
        <v>581418</v>
      </c>
      <c r="I141" s="41">
        <f t="shared" si="14"/>
        <v>418620.95999999996</v>
      </c>
      <c r="J141" s="41">
        <f t="shared" si="14"/>
        <v>128</v>
      </c>
      <c r="K141" s="41">
        <f t="shared" si="14"/>
        <v>999910.96</v>
      </c>
    </row>
    <row r="142" spans="1:11" ht="18" customHeight="1">
      <c r="A142" s="5" t="s">
        <v>142</v>
      </c>
      <c r="B142" s="2" t="s">
        <v>65</v>
      </c>
      <c r="F142" s="41">
        <f t="shared" ref="F142:K142" si="15">F49</f>
        <v>1608</v>
      </c>
      <c r="G142" s="41">
        <f t="shared" si="15"/>
        <v>2331</v>
      </c>
      <c r="H142" s="41">
        <f t="shared" si="15"/>
        <v>703993</v>
      </c>
      <c r="I142" s="41">
        <f t="shared" si="15"/>
        <v>0</v>
      </c>
      <c r="J142" s="41">
        <f t="shared" si="15"/>
        <v>0</v>
      </c>
      <c r="K142" s="41">
        <f t="shared" si="15"/>
        <v>703993</v>
      </c>
    </row>
    <row r="143" spans="1:11" ht="18" customHeight="1">
      <c r="A143" s="5" t="s">
        <v>144</v>
      </c>
      <c r="B143" s="2" t="s">
        <v>66</v>
      </c>
      <c r="F143" s="41">
        <f t="shared" ref="F143:K143" si="16">F64</f>
        <v>12</v>
      </c>
      <c r="G143" s="41">
        <f t="shared" si="16"/>
        <v>871</v>
      </c>
      <c r="H143" s="41">
        <f t="shared" si="16"/>
        <v>16400422</v>
      </c>
      <c r="I143" s="41">
        <f t="shared" si="16"/>
        <v>0</v>
      </c>
      <c r="J143" s="41">
        <f t="shared" si="16"/>
        <v>10600963</v>
      </c>
      <c r="K143" s="41">
        <f t="shared" si="16"/>
        <v>5799459</v>
      </c>
    </row>
    <row r="144" spans="1:11" ht="18" customHeight="1">
      <c r="A144" s="5" t="s">
        <v>146</v>
      </c>
      <c r="B144" s="2" t="s">
        <v>67</v>
      </c>
      <c r="F144" s="41">
        <f t="shared" ref="F144:K144" si="17">F74</f>
        <v>28</v>
      </c>
      <c r="G144" s="41">
        <f t="shared" si="17"/>
        <v>12</v>
      </c>
      <c r="H144" s="41">
        <f t="shared" si="17"/>
        <v>504</v>
      </c>
      <c r="I144" s="41">
        <f t="shared" si="17"/>
        <v>0</v>
      </c>
      <c r="J144" s="41">
        <f t="shared" si="17"/>
        <v>0</v>
      </c>
      <c r="K144" s="41">
        <f t="shared" si="17"/>
        <v>504</v>
      </c>
    </row>
    <row r="145" spans="1:11" ht="18" customHeight="1">
      <c r="A145" s="5" t="s">
        <v>148</v>
      </c>
      <c r="B145" s="2" t="s">
        <v>68</v>
      </c>
      <c r="F145" s="41">
        <f t="shared" ref="F145:K145" si="18">F82</f>
        <v>6860</v>
      </c>
      <c r="G145" s="41">
        <f t="shared" si="18"/>
        <v>11514</v>
      </c>
      <c r="H145" s="41">
        <f t="shared" si="18"/>
        <v>82614</v>
      </c>
      <c r="I145" s="41">
        <f t="shared" si="18"/>
        <v>0</v>
      </c>
      <c r="J145" s="41">
        <f t="shared" si="18"/>
        <v>0</v>
      </c>
      <c r="K145" s="41">
        <f t="shared" si="18"/>
        <v>82614</v>
      </c>
    </row>
    <row r="146" spans="1:11" ht="18" customHeight="1">
      <c r="A146" s="5" t="s">
        <v>150</v>
      </c>
      <c r="B146" s="2" t="s">
        <v>69</v>
      </c>
      <c r="F146" s="41">
        <f t="shared" ref="F146:K146" si="19">F98</f>
        <v>5842</v>
      </c>
      <c r="G146" s="41">
        <f t="shared" si="19"/>
        <v>3434</v>
      </c>
      <c r="H146" s="41">
        <f t="shared" si="19"/>
        <v>178724</v>
      </c>
      <c r="I146" s="41">
        <f t="shared" si="19"/>
        <v>128681.28</v>
      </c>
      <c r="J146" s="41">
        <f t="shared" si="19"/>
        <v>13</v>
      </c>
      <c r="K146" s="41">
        <f t="shared" si="19"/>
        <v>307392.27999999997</v>
      </c>
    </row>
    <row r="147" spans="1:11" ht="18" customHeight="1">
      <c r="A147" s="5" t="s">
        <v>153</v>
      </c>
      <c r="B147" s="2" t="s">
        <v>61</v>
      </c>
      <c r="F147" s="18">
        <f t="shared" ref="F147:K147" si="20">F108</f>
        <v>158</v>
      </c>
      <c r="G147" s="18">
        <f t="shared" si="20"/>
        <v>258</v>
      </c>
      <c r="H147" s="18">
        <f t="shared" si="20"/>
        <v>389293</v>
      </c>
      <c r="I147" s="18">
        <f t="shared" si="20"/>
        <v>280290.95999999996</v>
      </c>
      <c r="J147" s="18">
        <f t="shared" si="20"/>
        <v>44</v>
      </c>
      <c r="K147" s="18">
        <f t="shared" si="20"/>
        <v>669539.96</v>
      </c>
    </row>
    <row r="148" spans="1:11" ht="18" customHeight="1">
      <c r="A148" s="5" t="s">
        <v>155</v>
      </c>
      <c r="B148" s="2" t="s">
        <v>70</v>
      </c>
      <c r="F148" s="42" t="s">
        <v>73</v>
      </c>
      <c r="G148" s="42" t="s">
        <v>73</v>
      </c>
      <c r="H148" s="43" t="s">
        <v>73</v>
      </c>
      <c r="I148" s="43" t="s">
        <v>73</v>
      </c>
      <c r="J148" s="43" t="s">
        <v>73</v>
      </c>
      <c r="K148" s="37">
        <f>F111</f>
        <v>3594293</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2445993</v>
      </c>
      <c r="I150" s="18">
        <f>I18</f>
        <v>0</v>
      </c>
      <c r="J150" s="18">
        <f>J18</f>
        <v>354363</v>
      </c>
      <c r="K150" s="18">
        <f>K18</f>
        <v>2091630</v>
      </c>
    </row>
    <row r="151" spans="1:11" ht="18" customHeight="1">
      <c r="B151" s="2"/>
      <c r="F151" s="48"/>
      <c r="G151" s="48"/>
      <c r="H151" s="48"/>
      <c r="I151" s="48"/>
      <c r="J151" s="48"/>
      <c r="K151" s="48"/>
    </row>
    <row r="152" spans="1:11" ht="18" customHeight="1">
      <c r="A152" s="6" t="s">
        <v>165</v>
      </c>
      <c r="B152" s="2" t="s">
        <v>26</v>
      </c>
      <c r="F152" s="49">
        <f t="shared" ref="F152:K152" si="22">SUM(F141:F150)</f>
        <v>42605</v>
      </c>
      <c r="G152" s="49">
        <f t="shared" si="22"/>
        <v>54035</v>
      </c>
      <c r="H152" s="49">
        <f t="shared" si="22"/>
        <v>20782961</v>
      </c>
      <c r="I152" s="49">
        <f t="shared" si="22"/>
        <v>827593.2</v>
      </c>
      <c r="J152" s="49">
        <f t="shared" si="22"/>
        <v>10955511</v>
      </c>
      <c r="K152" s="49">
        <f t="shared" si="22"/>
        <v>14249336.199999999</v>
      </c>
    </row>
    <row r="154" spans="1:11" ht="18" customHeight="1">
      <c r="A154" s="6" t="s">
        <v>168</v>
      </c>
      <c r="B154" s="2" t="s">
        <v>28</v>
      </c>
      <c r="F154" s="348">
        <f>K152/F121</f>
        <v>0.14028513647248927</v>
      </c>
    </row>
    <row r="155" spans="1:11" ht="18" customHeight="1">
      <c r="A155" s="6" t="s">
        <v>169</v>
      </c>
      <c r="B155" s="2" t="s">
        <v>72</v>
      </c>
      <c r="F155" s="348">
        <f>K152/F127</f>
        <v>14.597546063806028</v>
      </c>
      <c r="G155" s="2"/>
    </row>
    <row r="156" spans="1:11" ht="18" customHeight="1">
      <c r="G156" s="2"/>
    </row>
  </sheetData>
  <sheetProtection password="EF72" sheet="1" objects="1" scenarios="1"/>
  <mergeCells count="33">
    <mergeCell ref="B41:C41"/>
    <mergeCell ref="D2:H2"/>
    <mergeCell ref="C5:G5"/>
    <mergeCell ref="C6:G6"/>
    <mergeCell ref="C7:G7"/>
    <mergeCell ref="C9:G9"/>
    <mergeCell ref="C10:G10"/>
    <mergeCell ref="C11:G11"/>
    <mergeCell ref="B13:H13"/>
    <mergeCell ref="B30:D30"/>
    <mergeCell ref="B31:D31"/>
    <mergeCell ref="B34:D34"/>
    <mergeCell ref="B94:D94"/>
    <mergeCell ref="B44:D44"/>
    <mergeCell ref="B45:D45"/>
    <mergeCell ref="B46:D46"/>
    <mergeCell ref="B47:D47"/>
    <mergeCell ref="B52:C52"/>
    <mergeCell ref="B53:D53"/>
    <mergeCell ref="B55:D55"/>
    <mergeCell ref="B56:D56"/>
    <mergeCell ref="B59:D59"/>
    <mergeCell ref="B62:D62"/>
    <mergeCell ref="B90:C90"/>
    <mergeCell ref="B133:D133"/>
    <mergeCell ref="B134:D134"/>
    <mergeCell ref="B135:D135"/>
    <mergeCell ref="B95:D95"/>
    <mergeCell ref="B96:D96"/>
    <mergeCell ref="B103:C103"/>
    <mergeCell ref="B104:D104"/>
    <mergeCell ref="B105:D105"/>
    <mergeCell ref="B106:D106"/>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topLeftCell="A124" workbookViewId="0">
      <selection activeCell="B155" sqref="B155"/>
    </sheetView>
  </sheetViews>
  <sheetFormatPr defaultRowHeight="15"/>
  <cols>
    <col min="1" max="1" width="10" style="411" customWidth="1"/>
    <col min="2" max="2" width="55.5703125" style="411" bestFit="1" customWidth="1"/>
    <col min="3" max="5" width="9.140625" style="411"/>
    <col min="6" max="7" width="17.5703125" style="411" bestFit="1" customWidth="1"/>
    <col min="8" max="8" width="15" style="411" bestFit="1" customWidth="1"/>
    <col min="9" max="9" width="16.7109375" style="411" bestFit="1" customWidth="1"/>
    <col min="10" max="10" width="23.42578125" style="411" bestFit="1" customWidth="1"/>
    <col min="11" max="11" width="24.7109375" style="411" bestFit="1" customWidth="1"/>
    <col min="12" max="16384" width="9.140625" style="411"/>
  </cols>
  <sheetData>
    <row r="1" spans="1:11">
      <c r="A1" s="410"/>
    </row>
    <row r="2" spans="1:11" ht="15.75">
      <c r="D2" s="733" t="s">
        <v>371</v>
      </c>
      <c r="E2" s="733"/>
      <c r="F2" s="733"/>
      <c r="G2" s="733"/>
      <c r="H2" s="733"/>
    </row>
    <row r="3" spans="1:11">
      <c r="B3" s="412" t="s">
        <v>0</v>
      </c>
    </row>
    <row r="5" spans="1:11">
      <c r="B5" s="413" t="s">
        <v>40</v>
      </c>
      <c r="C5" s="732" t="s">
        <v>660</v>
      </c>
      <c r="D5" s="732"/>
      <c r="E5" s="732"/>
      <c r="F5" s="732"/>
      <c r="G5" s="732"/>
    </row>
    <row r="6" spans="1:11">
      <c r="B6" s="413" t="s">
        <v>3</v>
      </c>
      <c r="C6" s="732">
        <v>62</v>
      </c>
      <c r="D6" s="732"/>
      <c r="E6" s="732"/>
      <c r="F6" s="732"/>
      <c r="G6" s="732"/>
    </row>
    <row r="7" spans="1:11">
      <c r="B7" s="413" t="s">
        <v>4</v>
      </c>
      <c r="C7" s="734">
        <v>1638</v>
      </c>
      <c r="D7" s="732"/>
      <c r="E7" s="732"/>
      <c r="F7" s="732"/>
      <c r="G7" s="732"/>
    </row>
    <row r="8" spans="1:11">
      <c r="B8" s="413"/>
    </row>
    <row r="9" spans="1:11">
      <c r="B9" s="413" t="s">
        <v>1</v>
      </c>
      <c r="C9" s="732" t="s">
        <v>645</v>
      </c>
      <c r="D9" s="732"/>
      <c r="E9" s="732"/>
      <c r="F9" s="732"/>
      <c r="G9" s="732"/>
    </row>
    <row r="10" spans="1:11">
      <c r="B10" s="413" t="s">
        <v>2</v>
      </c>
      <c r="C10" s="732" t="s">
        <v>623</v>
      </c>
      <c r="D10" s="732"/>
      <c r="E10" s="732"/>
      <c r="F10" s="732"/>
      <c r="G10" s="732"/>
    </row>
    <row r="11" spans="1:11">
      <c r="B11" s="413" t="s">
        <v>32</v>
      </c>
      <c r="C11" s="732" t="s">
        <v>633</v>
      </c>
      <c r="D11" s="732"/>
      <c r="E11" s="732"/>
      <c r="F11" s="732"/>
      <c r="G11" s="732"/>
    </row>
    <row r="16" spans="1:11">
      <c r="B16" s="412" t="s">
        <v>181</v>
      </c>
      <c r="F16" s="414" t="s">
        <v>9</v>
      </c>
      <c r="G16" s="414" t="s">
        <v>37</v>
      </c>
      <c r="H16" s="414" t="s">
        <v>29</v>
      </c>
      <c r="I16" s="414" t="s">
        <v>30</v>
      </c>
      <c r="J16" s="414" t="s">
        <v>33</v>
      </c>
      <c r="K16" s="414" t="s">
        <v>34</v>
      </c>
    </row>
    <row r="17" spans="1:11">
      <c r="A17" s="415" t="s">
        <v>184</v>
      </c>
      <c r="B17" s="414" t="s">
        <v>182</v>
      </c>
    </row>
    <row r="18" spans="1:11">
      <c r="A18" s="413" t="s">
        <v>408</v>
      </c>
      <c r="B18" s="413" t="s">
        <v>183</v>
      </c>
      <c r="F18" s="416" t="s">
        <v>73</v>
      </c>
      <c r="G18" s="416" t="s">
        <v>73</v>
      </c>
      <c r="H18" s="417">
        <v>6206546</v>
      </c>
      <c r="I18" s="417">
        <v>0</v>
      </c>
      <c r="J18" s="417">
        <v>5307373</v>
      </c>
      <c r="K18" s="417">
        <v>899173</v>
      </c>
    </row>
    <row r="19" spans="1:11">
      <c r="B19" s="412" t="s">
        <v>8</v>
      </c>
      <c r="F19" s="414" t="s">
        <v>9</v>
      </c>
      <c r="G19" s="414" t="s">
        <v>37</v>
      </c>
      <c r="H19" s="414" t="s">
        <v>29</v>
      </c>
      <c r="I19" s="414" t="s">
        <v>30</v>
      </c>
      <c r="J19" s="414" t="s">
        <v>33</v>
      </c>
      <c r="K19" s="414" t="s">
        <v>34</v>
      </c>
    </row>
    <row r="20" spans="1:11">
      <c r="A20" s="415" t="s">
        <v>409</v>
      </c>
      <c r="B20" s="414" t="s">
        <v>41</v>
      </c>
    </row>
    <row r="21" spans="1:11">
      <c r="A21" s="413" t="s">
        <v>410</v>
      </c>
      <c r="B21" s="413" t="s">
        <v>42</v>
      </c>
      <c r="F21" s="416">
        <v>62</v>
      </c>
      <c r="G21" s="416">
        <v>971</v>
      </c>
      <c r="H21" s="417">
        <v>768</v>
      </c>
      <c r="I21" s="417">
        <v>0</v>
      </c>
      <c r="J21" s="417">
        <v>0</v>
      </c>
      <c r="K21" s="417">
        <v>768</v>
      </c>
    </row>
    <row r="22" spans="1:11">
      <c r="A22" s="413" t="s">
        <v>411</v>
      </c>
      <c r="B22" s="413" t="s">
        <v>6</v>
      </c>
      <c r="F22" s="416">
        <v>148</v>
      </c>
      <c r="G22" s="416">
        <v>513</v>
      </c>
      <c r="H22" s="417">
        <v>14426</v>
      </c>
      <c r="I22" s="417">
        <v>4601</v>
      </c>
      <c r="J22" s="417">
        <v>0</v>
      </c>
      <c r="K22" s="417">
        <v>19027</v>
      </c>
    </row>
    <row r="23" spans="1:11">
      <c r="A23" s="413" t="s">
        <v>412</v>
      </c>
      <c r="B23" s="413" t="s">
        <v>43</v>
      </c>
      <c r="F23" s="416">
        <v>40</v>
      </c>
      <c r="G23" s="416">
        <v>112</v>
      </c>
      <c r="H23" s="417">
        <v>908</v>
      </c>
      <c r="I23" s="417">
        <v>0</v>
      </c>
      <c r="J23" s="417">
        <v>0</v>
      </c>
      <c r="K23" s="417">
        <v>908</v>
      </c>
    </row>
    <row r="24" spans="1:11">
      <c r="A24" s="413" t="s">
        <v>413</v>
      </c>
      <c r="B24" s="413" t="s">
        <v>44</v>
      </c>
      <c r="F24" s="416">
        <v>101</v>
      </c>
      <c r="G24" s="416">
        <v>1003</v>
      </c>
      <c r="H24" s="417">
        <v>3158</v>
      </c>
      <c r="I24" s="417">
        <v>0</v>
      </c>
      <c r="J24" s="417">
        <v>0</v>
      </c>
      <c r="K24" s="417">
        <v>3158</v>
      </c>
    </row>
    <row r="25" spans="1:11">
      <c r="A25" s="413" t="s">
        <v>414</v>
      </c>
      <c r="B25" s="413" t="s">
        <v>5</v>
      </c>
      <c r="F25" s="416">
        <v>515</v>
      </c>
      <c r="G25" s="416">
        <v>4367</v>
      </c>
      <c r="H25" s="417">
        <v>8516</v>
      </c>
      <c r="I25" s="417">
        <v>2657</v>
      </c>
      <c r="J25" s="417">
        <v>0</v>
      </c>
      <c r="K25" s="417">
        <v>11173</v>
      </c>
    </row>
    <row r="26" spans="1:11">
      <c r="A26" s="413" t="s">
        <v>415</v>
      </c>
      <c r="B26" s="413" t="s">
        <v>45</v>
      </c>
      <c r="F26" s="416">
        <v>336</v>
      </c>
      <c r="G26" s="416">
        <v>1154</v>
      </c>
      <c r="H26" s="417">
        <v>107296</v>
      </c>
      <c r="I26" s="417">
        <v>0</v>
      </c>
      <c r="J26" s="417">
        <v>1034</v>
      </c>
      <c r="K26" s="417">
        <v>106262</v>
      </c>
    </row>
    <row r="27" spans="1:11">
      <c r="A27" s="413" t="s">
        <v>416</v>
      </c>
      <c r="B27" s="413" t="s">
        <v>46</v>
      </c>
      <c r="F27" s="416">
        <v>0</v>
      </c>
      <c r="G27" s="416">
        <v>0</v>
      </c>
      <c r="H27" s="417">
        <v>0</v>
      </c>
      <c r="I27" s="417">
        <v>0</v>
      </c>
      <c r="J27" s="417">
        <v>0</v>
      </c>
      <c r="K27" s="417">
        <v>0</v>
      </c>
    </row>
    <row r="28" spans="1:11">
      <c r="A28" s="413" t="s">
        <v>417</v>
      </c>
      <c r="B28" s="413" t="s">
        <v>47</v>
      </c>
      <c r="F28" s="416">
        <v>0</v>
      </c>
      <c r="G28" s="416">
        <v>0</v>
      </c>
      <c r="H28" s="417">
        <v>0</v>
      </c>
      <c r="I28" s="417">
        <v>0</v>
      </c>
      <c r="J28" s="417">
        <v>0</v>
      </c>
      <c r="K28" s="417">
        <v>0</v>
      </c>
    </row>
    <row r="29" spans="1:11">
      <c r="A29" s="413" t="s">
        <v>75</v>
      </c>
      <c r="B29" s="413" t="s">
        <v>48</v>
      </c>
      <c r="F29" s="416">
        <v>0</v>
      </c>
      <c r="G29" s="416">
        <v>1429</v>
      </c>
      <c r="H29" s="417">
        <v>49616</v>
      </c>
      <c r="I29" s="417">
        <v>31208</v>
      </c>
      <c r="J29" s="417">
        <v>0</v>
      </c>
      <c r="K29" s="417">
        <v>80824</v>
      </c>
    </row>
    <row r="30" spans="1:11">
      <c r="A30" s="413" t="s">
        <v>76</v>
      </c>
      <c r="B30" s="413" t="s">
        <v>661</v>
      </c>
      <c r="F30" s="416">
        <v>1341</v>
      </c>
      <c r="G30" s="416">
        <v>12146</v>
      </c>
      <c r="H30" s="417">
        <v>3163</v>
      </c>
      <c r="I30" s="417">
        <v>0</v>
      </c>
      <c r="J30" s="417">
        <v>0</v>
      </c>
      <c r="K30" s="417">
        <v>3163</v>
      </c>
    </row>
    <row r="31" spans="1:11">
      <c r="A31" s="413" t="s">
        <v>77</v>
      </c>
      <c r="B31" s="413" t="s">
        <v>662</v>
      </c>
      <c r="F31" s="416">
        <v>24</v>
      </c>
      <c r="G31" s="416">
        <v>0</v>
      </c>
      <c r="H31" s="417">
        <v>786</v>
      </c>
      <c r="I31" s="417">
        <v>492</v>
      </c>
      <c r="J31" s="417">
        <v>0</v>
      </c>
      <c r="K31" s="417">
        <v>1278</v>
      </c>
    </row>
    <row r="32" spans="1:11">
      <c r="A32" s="413" t="s">
        <v>663</v>
      </c>
      <c r="B32" s="413" t="s">
        <v>664</v>
      </c>
      <c r="F32" s="416">
        <v>2080</v>
      </c>
      <c r="G32" s="416">
        <v>2909</v>
      </c>
      <c r="H32" s="417">
        <v>133479</v>
      </c>
      <c r="I32" s="417">
        <v>83958</v>
      </c>
      <c r="J32" s="417">
        <v>0</v>
      </c>
      <c r="K32" s="417">
        <v>217437</v>
      </c>
    </row>
    <row r="33" spans="1:11">
      <c r="A33" s="413" t="s">
        <v>665</v>
      </c>
      <c r="B33" s="413" t="s">
        <v>666</v>
      </c>
      <c r="F33" s="416">
        <v>0</v>
      </c>
      <c r="G33" s="416">
        <v>0</v>
      </c>
      <c r="H33" s="417">
        <v>0</v>
      </c>
      <c r="I33" s="417">
        <v>0</v>
      </c>
      <c r="J33" s="417">
        <v>0</v>
      </c>
      <c r="K33" s="417">
        <v>0</v>
      </c>
    </row>
    <row r="34" spans="1:11">
      <c r="A34" s="413"/>
      <c r="B34" s="413"/>
      <c r="F34" s="416"/>
      <c r="G34" s="416"/>
      <c r="H34" s="417"/>
      <c r="I34" s="417"/>
      <c r="J34" s="417"/>
      <c r="K34" s="417"/>
    </row>
    <row r="35" spans="1:11">
      <c r="A35" s="413"/>
      <c r="B35" s="413"/>
      <c r="F35" s="416"/>
      <c r="G35" s="416"/>
      <c r="H35" s="417"/>
      <c r="I35" s="417"/>
      <c r="J35" s="417"/>
      <c r="K35" s="417"/>
    </row>
    <row r="36" spans="1:11">
      <c r="A36" s="415" t="s">
        <v>420</v>
      </c>
      <c r="B36" s="413" t="s">
        <v>138</v>
      </c>
      <c r="F36" s="416">
        <v>4647</v>
      </c>
      <c r="G36" s="416">
        <v>24604</v>
      </c>
      <c r="H36" s="417">
        <v>322116</v>
      </c>
      <c r="I36" s="417">
        <v>122916</v>
      </c>
      <c r="J36" s="417">
        <v>1034</v>
      </c>
      <c r="K36" s="417">
        <v>443998</v>
      </c>
    </row>
    <row r="39" spans="1:11">
      <c r="A39" s="415" t="s">
        <v>86</v>
      </c>
      <c r="B39" s="414" t="s">
        <v>49</v>
      </c>
    </row>
    <row r="40" spans="1:11">
      <c r="A40" s="413" t="s">
        <v>421</v>
      </c>
      <c r="B40" s="413" t="s">
        <v>31</v>
      </c>
      <c r="F40" s="416">
        <v>0</v>
      </c>
      <c r="G40" s="416">
        <v>0</v>
      </c>
      <c r="H40" s="417">
        <v>0</v>
      </c>
      <c r="I40" s="417">
        <v>0</v>
      </c>
      <c r="J40" s="417">
        <v>0</v>
      </c>
      <c r="K40" s="417">
        <v>0</v>
      </c>
    </row>
    <row r="41" spans="1:11">
      <c r="A41" s="413" t="s">
        <v>422</v>
      </c>
      <c r="B41" s="413" t="s">
        <v>50</v>
      </c>
      <c r="F41" s="416">
        <v>35071</v>
      </c>
      <c r="G41" s="416">
        <v>498</v>
      </c>
      <c r="H41" s="417">
        <v>1402146</v>
      </c>
      <c r="I41" s="417">
        <v>881952</v>
      </c>
      <c r="J41" s="417">
        <v>0</v>
      </c>
      <c r="K41" s="417">
        <v>2284098</v>
      </c>
    </row>
    <row r="42" spans="1:11">
      <c r="A42" s="413" t="s">
        <v>423</v>
      </c>
      <c r="B42" s="413" t="s">
        <v>11</v>
      </c>
      <c r="F42" s="416">
        <v>4974</v>
      </c>
      <c r="G42" s="416">
        <v>183</v>
      </c>
      <c r="H42" s="417">
        <v>205746</v>
      </c>
      <c r="I42" s="417">
        <v>129414</v>
      </c>
      <c r="J42" s="417">
        <v>0</v>
      </c>
      <c r="K42" s="417">
        <v>335160</v>
      </c>
    </row>
    <row r="43" spans="1:11">
      <c r="A43" s="413" t="s">
        <v>424</v>
      </c>
      <c r="B43" s="413" t="s">
        <v>10</v>
      </c>
      <c r="F43" s="416">
        <v>0</v>
      </c>
      <c r="G43" s="416">
        <v>0</v>
      </c>
      <c r="H43" s="417">
        <v>0</v>
      </c>
      <c r="I43" s="417">
        <v>0</v>
      </c>
      <c r="J43" s="417">
        <v>0</v>
      </c>
      <c r="K43" s="417">
        <v>0</v>
      </c>
    </row>
    <row r="44" spans="1:11">
      <c r="A44" s="413" t="s">
        <v>646</v>
      </c>
      <c r="B44" s="413" t="s">
        <v>667</v>
      </c>
      <c r="F44" s="416">
        <v>240</v>
      </c>
      <c r="G44" s="416">
        <v>1</v>
      </c>
      <c r="H44" s="417">
        <v>7516</v>
      </c>
      <c r="I44" s="417">
        <v>4728</v>
      </c>
      <c r="J44" s="417">
        <v>0</v>
      </c>
      <c r="K44" s="417">
        <v>12244</v>
      </c>
    </row>
    <row r="45" spans="1:11">
      <c r="A45" s="413" t="s">
        <v>668</v>
      </c>
      <c r="B45" s="413" t="s">
        <v>669</v>
      </c>
      <c r="F45" s="416">
        <v>784</v>
      </c>
      <c r="G45" s="416">
        <v>12</v>
      </c>
      <c r="H45" s="417">
        <v>27709</v>
      </c>
      <c r="I45" s="417">
        <v>17429</v>
      </c>
      <c r="J45" s="417">
        <v>0</v>
      </c>
      <c r="K45" s="417">
        <v>45138</v>
      </c>
    </row>
    <row r="46" spans="1:11">
      <c r="A46" s="413" t="s">
        <v>670</v>
      </c>
      <c r="B46" s="413" t="s">
        <v>671</v>
      </c>
      <c r="F46" s="416">
        <v>2016</v>
      </c>
      <c r="G46" s="416">
        <v>16</v>
      </c>
      <c r="H46" s="417">
        <v>61211</v>
      </c>
      <c r="I46" s="417">
        <v>38502</v>
      </c>
      <c r="J46" s="417">
        <v>0</v>
      </c>
      <c r="K46" s="417">
        <v>99713</v>
      </c>
    </row>
    <row r="47" spans="1:11">
      <c r="A47" s="413" t="s">
        <v>672</v>
      </c>
      <c r="B47" s="413" t="s">
        <v>673</v>
      </c>
      <c r="F47" s="416">
        <v>2640</v>
      </c>
      <c r="G47" s="416">
        <v>66</v>
      </c>
      <c r="H47" s="417">
        <v>105985</v>
      </c>
      <c r="I47" s="417">
        <v>66665</v>
      </c>
      <c r="J47" s="417">
        <v>0</v>
      </c>
      <c r="K47" s="417">
        <v>172650</v>
      </c>
    </row>
    <row r="48" spans="1:11">
      <c r="A48" s="413"/>
      <c r="B48" s="413"/>
      <c r="F48" s="416"/>
      <c r="G48" s="416"/>
      <c r="H48" s="417"/>
      <c r="I48" s="417"/>
      <c r="J48" s="417"/>
      <c r="K48" s="417"/>
    </row>
    <row r="49" spans="1:11">
      <c r="A49" s="415" t="s">
        <v>425</v>
      </c>
      <c r="B49" s="413" t="s">
        <v>143</v>
      </c>
      <c r="F49" s="416">
        <v>45725</v>
      </c>
      <c r="G49" s="416">
        <v>776</v>
      </c>
      <c r="H49" s="417">
        <v>1810313</v>
      </c>
      <c r="I49" s="417">
        <v>1138690</v>
      </c>
      <c r="J49" s="417">
        <v>0</v>
      </c>
      <c r="K49" s="417">
        <v>2949003</v>
      </c>
    </row>
    <row r="52" spans="1:11">
      <c r="A52" s="415" t="s">
        <v>92</v>
      </c>
      <c r="B52" s="414" t="s">
        <v>38</v>
      </c>
    </row>
    <row r="53" spans="1:11">
      <c r="A53" s="413" t="s">
        <v>426</v>
      </c>
      <c r="B53" s="413" t="s">
        <v>674</v>
      </c>
      <c r="F53" s="416">
        <v>78840</v>
      </c>
      <c r="G53" s="416">
        <v>7222</v>
      </c>
      <c r="H53" s="417">
        <v>5065700</v>
      </c>
      <c r="I53" s="417">
        <v>0</v>
      </c>
      <c r="J53" s="417">
        <v>2920354</v>
      </c>
      <c r="K53" s="417">
        <v>2145346</v>
      </c>
    </row>
    <row r="54" spans="1:11">
      <c r="A54" s="413"/>
      <c r="B54" s="413"/>
      <c r="F54" s="416"/>
      <c r="G54" s="416"/>
      <c r="H54" s="417"/>
      <c r="I54" s="417"/>
      <c r="J54" s="417"/>
      <c r="K54" s="417"/>
    </row>
    <row r="55" spans="1:11">
      <c r="A55" s="413"/>
      <c r="B55" s="413"/>
      <c r="F55" s="416"/>
      <c r="G55" s="416"/>
      <c r="H55" s="417"/>
      <c r="I55" s="417"/>
      <c r="J55" s="417"/>
      <c r="K55" s="417"/>
    </row>
    <row r="56" spans="1:11">
      <c r="A56" s="413"/>
      <c r="B56" s="413"/>
      <c r="F56" s="416"/>
      <c r="G56" s="416"/>
      <c r="H56" s="417"/>
      <c r="I56" s="417"/>
      <c r="J56" s="417"/>
      <c r="K56" s="417"/>
    </row>
    <row r="57" spans="1:11">
      <c r="A57" s="413"/>
      <c r="B57" s="413"/>
      <c r="F57" s="416"/>
      <c r="G57" s="416"/>
      <c r="H57" s="417"/>
      <c r="I57" s="417"/>
      <c r="J57" s="417"/>
      <c r="K57" s="417"/>
    </row>
    <row r="58" spans="1:11">
      <c r="A58" s="413"/>
      <c r="B58" s="413"/>
      <c r="F58" s="416"/>
      <c r="G58" s="416"/>
      <c r="H58" s="417"/>
      <c r="I58" s="417"/>
      <c r="J58" s="417"/>
      <c r="K58" s="417"/>
    </row>
    <row r="59" spans="1:11">
      <c r="A59" s="413"/>
      <c r="B59" s="413"/>
      <c r="F59" s="416"/>
      <c r="G59" s="416"/>
      <c r="H59" s="417"/>
      <c r="I59" s="417"/>
      <c r="J59" s="417"/>
      <c r="K59" s="417"/>
    </row>
    <row r="60" spans="1:11">
      <c r="A60" s="413"/>
      <c r="B60" s="413"/>
      <c r="F60" s="416"/>
      <c r="G60" s="416"/>
      <c r="H60" s="417"/>
      <c r="I60" s="417"/>
      <c r="J60" s="417"/>
      <c r="K60" s="417"/>
    </row>
    <row r="61" spans="1:11">
      <c r="A61" s="413"/>
      <c r="B61" s="413"/>
      <c r="F61" s="416"/>
      <c r="G61" s="416"/>
      <c r="H61" s="417"/>
      <c r="I61" s="417"/>
      <c r="J61" s="417"/>
      <c r="K61" s="417"/>
    </row>
    <row r="62" spans="1:11">
      <c r="A62" s="413"/>
      <c r="B62" s="413"/>
      <c r="F62" s="416"/>
      <c r="G62" s="416"/>
      <c r="H62" s="417"/>
      <c r="I62" s="417"/>
      <c r="J62" s="417"/>
      <c r="K62" s="417"/>
    </row>
    <row r="63" spans="1:11">
      <c r="A63" s="413"/>
      <c r="B63" s="413"/>
      <c r="F63" s="416"/>
      <c r="G63" s="416"/>
      <c r="H63" s="417"/>
      <c r="I63" s="417"/>
      <c r="J63" s="417"/>
      <c r="K63" s="417"/>
    </row>
    <row r="64" spans="1:11">
      <c r="A64" s="415" t="s">
        <v>428</v>
      </c>
      <c r="B64" s="413" t="s">
        <v>145</v>
      </c>
      <c r="F64" s="416">
        <v>78840</v>
      </c>
      <c r="G64" s="416">
        <v>7222</v>
      </c>
      <c r="H64" s="417">
        <v>5065700</v>
      </c>
      <c r="I64" s="417">
        <v>0</v>
      </c>
      <c r="J64" s="417">
        <v>2920354</v>
      </c>
      <c r="K64" s="417">
        <v>2145346</v>
      </c>
    </row>
    <row r="67" spans="1:11">
      <c r="A67" s="415" t="s">
        <v>102</v>
      </c>
      <c r="B67" s="414" t="s">
        <v>12</v>
      </c>
    </row>
    <row r="68" spans="1:11">
      <c r="A68" s="413" t="s">
        <v>429</v>
      </c>
      <c r="B68" s="413" t="s">
        <v>52</v>
      </c>
      <c r="F68" s="416">
        <v>0</v>
      </c>
      <c r="G68" s="416">
        <v>0</v>
      </c>
      <c r="H68" s="417">
        <v>0</v>
      </c>
      <c r="I68" s="417">
        <v>0</v>
      </c>
      <c r="J68" s="417">
        <v>0</v>
      </c>
      <c r="K68" s="417">
        <v>0</v>
      </c>
    </row>
    <row r="69" spans="1:11">
      <c r="A69" s="413" t="s">
        <v>430</v>
      </c>
      <c r="B69" s="413" t="s">
        <v>53</v>
      </c>
      <c r="F69" s="416">
        <v>0</v>
      </c>
      <c r="G69" s="416">
        <v>0</v>
      </c>
      <c r="H69" s="417">
        <v>0</v>
      </c>
      <c r="I69" s="417">
        <v>0</v>
      </c>
      <c r="J69" s="417">
        <v>0</v>
      </c>
      <c r="K69" s="417">
        <v>0</v>
      </c>
    </row>
    <row r="70" spans="1:11">
      <c r="A70" s="413"/>
      <c r="B70" s="413"/>
      <c r="F70" s="416"/>
      <c r="G70" s="416"/>
      <c r="H70" s="417"/>
      <c r="I70" s="417"/>
      <c r="J70" s="417"/>
      <c r="K70" s="417"/>
    </row>
    <row r="71" spans="1:11">
      <c r="A71" s="413"/>
      <c r="B71" s="413"/>
      <c r="F71" s="416"/>
      <c r="G71" s="416"/>
      <c r="H71" s="417"/>
      <c r="I71" s="417"/>
      <c r="J71" s="417"/>
      <c r="K71" s="417"/>
    </row>
    <row r="72" spans="1:11">
      <c r="A72" s="413"/>
      <c r="B72" s="413"/>
      <c r="F72" s="416"/>
      <c r="G72" s="416"/>
      <c r="H72" s="417"/>
      <c r="I72" s="417"/>
      <c r="J72" s="417"/>
      <c r="K72" s="417"/>
    </row>
    <row r="73" spans="1:11">
      <c r="A73" s="413"/>
      <c r="B73" s="413"/>
      <c r="F73" s="416"/>
      <c r="G73" s="416"/>
      <c r="H73" s="417"/>
      <c r="I73" s="417"/>
      <c r="J73" s="417"/>
      <c r="K73" s="417"/>
    </row>
    <row r="74" spans="1:11">
      <c r="A74" s="415" t="s">
        <v>431</v>
      </c>
      <c r="B74" s="413" t="s">
        <v>147</v>
      </c>
      <c r="F74" s="416">
        <v>0</v>
      </c>
      <c r="G74" s="416">
        <v>0</v>
      </c>
      <c r="H74" s="417">
        <v>0</v>
      </c>
      <c r="I74" s="417">
        <v>0</v>
      </c>
      <c r="J74" s="417">
        <v>0</v>
      </c>
      <c r="K74" s="417">
        <v>0</v>
      </c>
    </row>
    <row r="76" spans="1:11">
      <c r="A76" s="415" t="s">
        <v>105</v>
      </c>
      <c r="B76" s="414" t="s">
        <v>106</v>
      </c>
    </row>
    <row r="77" spans="1:11">
      <c r="A77" s="413" t="s">
        <v>432</v>
      </c>
      <c r="B77" s="413" t="s">
        <v>54</v>
      </c>
      <c r="F77" s="416">
        <v>0</v>
      </c>
      <c r="G77" s="416">
        <v>0</v>
      </c>
      <c r="H77" s="417">
        <v>53900</v>
      </c>
      <c r="I77" s="417">
        <v>0</v>
      </c>
      <c r="J77" s="417">
        <v>0</v>
      </c>
      <c r="K77" s="417">
        <v>53900</v>
      </c>
    </row>
    <row r="78" spans="1:11">
      <c r="A78" s="413" t="s">
        <v>433</v>
      </c>
      <c r="B78" s="413" t="s">
        <v>55</v>
      </c>
      <c r="F78" s="416">
        <v>0</v>
      </c>
      <c r="G78" s="416">
        <v>0</v>
      </c>
      <c r="H78" s="417">
        <v>0</v>
      </c>
      <c r="I78" s="417">
        <v>0</v>
      </c>
      <c r="J78" s="417">
        <v>0</v>
      </c>
      <c r="K78" s="417">
        <v>0</v>
      </c>
    </row>
    <row r="79" spans="1:11">
      <c r="A79" s="413" t="s">
        <v>434</v>
      </c>
      <c r="B79" s="413" t="s">
        <v>13</v>
      </c>
      <c r="F79" s="416">
        <v>0</v>
      </c>
      <c r="G79" s="416">
        <v>0</v>
      </c>
      <c r="H79" s="417">
        <v>0</v>
      </c>
      <c r="I79" s="417">
        <v>0</v>
      </c>
      <c r="J79" s="417">
        <v>0</v>
      </c>
      <c r="K79" s="417">
        <v>0</v>
      </c>
    </row>
    <row r="80" spans="1:11">
      <c r="A80" s="413" t="s">
        <v>435</v>
      </c>
      <c r="B80" s="413" t="s">
        <v>436</v>
      </c>
      <c r="F80" s="416">
        <v>0</v>
      </c>
      <c r="G80" s="416">
        <v>0</v>
      </c>
      <c r="H80" s="417">
        <v>0</v>
      </c>
      <c r="I80" s="417">
        <v>0</v>
      </c>
      <c r="J80" s="417">
        <v>0</v>
      </c>
      <c r="K80" s="417">
        <v>0</v>
      </c>
    </row>
    <row r="81" spans="1:11">
      <c r="A81" s="413"/>
      <c r="B81" s="413"/>
      <c r="F81" s="416"/>
      <c r="G81" s="416"/>
      <c r="H81" s="417"/>
      <c r="I81" s="417"/>
      <c r="J81" s="417"/>
      <c r="K81" s="417"/>
    </row>
    <row r="82" spans="1:11">
      <c r="A82" s="415" t="s">
        <v>437</v>
      </c>
      <c r="B82" s="413"/>
      <c r="F82" s="416">
        <v>0</v>
      </c>
      <c r="G82" s="416">
        <v>0</v>
      </c>
      <c r="H82" s="417">
        <v>53900</v>
      </c>
      <c r="I82" s="417">
        <v>0</v>
      </c>
      <c r="J82" s="417">
        <v>0</v>
      </c>
      <c r="K82" s="417">
        <v>53900</v>
      </c>
    </row>
    <row r="85" spans="1:11">
      <c r="A85" s="415" t="s">
        <v>111</v>
      </c>
      <c r="B85" s="414" t="s">
        <v>57</v>
      </c>
    </row>
    <row r="86" spans="1:11">
      <c r="A86" s="413" t="s">
        <v>438</v>
      </c>
      <c r="B86" s="413" t="s">
        <v>113</v>
      </c>
      <c r="F86" s="416">
        <v>0</v>
      </c>
      <c r="G86" s="416">
        <v>0</v>
      </c>
      <c r="H86" s="417">
        <v>0</v>
      </c>
      <c r="I86" s="417">
        <v>0</v>
      </c>
      <c r="J86" s="417">
        <v>0</v>
      </c>
      <c r="K86" s="417">
        <v>0</v>
      </c>
    </row>
    <row r="87" spans="1:11">
      <c r="A87" s="413" t="s">
        <v>439</v>
      </c>
      <c r="B87" s="413" t="s">
        <v>14</v>
      </c>
      <c r="F87" s="416">
        <v>0</v>
      </c>
      <c r="G87" s="416">
        <v>0</v>
      </c>
      <c r="H87" s="417">
        <v>0</v>
      </c>
      <c r="I87" s="417">
        <v>0</v>
      </c>
      <c r="J87" s="417">
        <v>0</v>
      </c>
      <c r="K87" s="417">
        <v>0</v>
      </c>
    </row>
    <row r="88" spans="1:11">
      <c r="A88" s="413" t="s">
        <v>440</v>
      </c>
      <c r="B88" s="413" t="s">
        <v>116</v>
      </c>
      <c r="F88" s="416">
        <v>5</v>
      </c>
      <c r="G88" s="416">
        <v>170</v>
      </c>
      <c r="H88" s="417">
        <v>10443</v>
      </c>
      <c r="I88" s="417">
        <v>4996</v>
      </c>
      <c r="J88" s="417">
        <v>0</v>
      </c>
      <c r="K88" s="417">
        <v>15439</v>
      </c>
    </row>
    <row r="89" spans="1:11">
      <c r="A89" s="413" t="s">
        <v>441</v>
      </c>
      <c r="B89" s="413" t="s">
        <v>58</v>
      </c>
      <c r="F89" s="416">
        <v>0</v>
      </c>
      <c r="G89" s="416">
        <v>0</v>
      </c>
      <c r="H89" s="417">
        <v>0</v>
      </c>
      <c r="I89" s="417">
        <v>0</v>
      </c>
      <c r="J89" s="417">
        <v>0</v>
      </c>
      <c r="K89" s="417">
        <v>0</v>
      </c>
    </row>
    <row r="90" spans="1:11">
      <c r="A90" s="413" t="s">
        <v>442</v>
      </c>
      <c r="B90" s="413" t="s">
        <v>59</v>
      </c>
      <c r="F90" s="416">
        <v>0</v>
      </c>
      <c r="G90" s="416">
        <v>0</v>
      </c>
      <c r="H90" s="417">
        <v>0</v>
      </c>
      <c r="I90" s="417">
        <v>0</v>
      </c>
      <c r="J90" s="417">
        <v>0</v>
      </c>
      <c r="K90" s="417">
        <v>0</v>
      </c>
    </row>
    <row r="91" spans="1:11">
      <c r="A91" s="413" t="s">
        <v>443</v>
      </c>
      <c r="B91" s="413" t="s">
        <v>60</v>
      </c>
      <c r="F91" s="416">
        <v>0</v>
      </c>
      <c r="G91" s="416">
        <v>0</v>
      </c>
      <c r="H91" s="417">
        <v>0</v>
      </c>
      <c r="I91" s="417">
        <v>0</v>
      </c>
      <c r="J91" s="417">
        <v>0</v>
      </c>
      <c r="K91" s="417">
        <v>0</v>
      </c>
    </row>
    <row r="92" spans="1:11">
      <c r="A92" s="413" t="s">
        <v>444</v>
      </c>
      <c r="B92" s="413" t="s">
        <v>121</v>
      </c>
      <c r="F92" s="416">
        <v>40</v>
      </c>
      <c r="G92" s="416">
        <v>98</v>
      </c>
      <c r="H92" s="417">
        <v>28187</v>
      </c>
      <c r="I92" s="417">
        <v>0</v>
      </c>
      <c r="J92" s="417">
        <v>0</v>
      </c>
      <c r="K92" s="417">
        <v>28187</v>
      </c>
    </row>
    <row r="93" spans="1:11">
      <c r="A93" s="413" t="s">
        <v>445</v>
      </c>
      <c r="B93" s="413" t="s">
        <v>123</v>
      </c>
      <c r="F93" s="416">
        <v>1359</v>
      </c>
      <c r="G93" s="416">
        <v>1595</v>
      </c>
      <c r="H93" s="417">
        <v>55231</v>
      </c>
      <c r="I93" s="417">
        <v>34530</v>
      </c>
      <c r="J93" s="417">
        <v>0</v>
      </c>
      <c r="K93" s="417">
        <v>89761</v>
      </c>
    </row>
    <row r="94" spans="1:11">
      <c r="A94" s="413" t="s">
        <v>654</v>
      </c>
      <c r="B94" s="413" t="s">
        <v>675</v>
      </c>
      <c r="F94" s="416">
        <v>0</v>
      </c>
      <c r="G94" s="416">
        <v>0</v>
      </c>
      <c r="H94" s="417">
        <v>0</v>
      </c>
      <c r="I94" s="417">
        <v>0</v>
      </c>
      <c r="J94" s="417">
        <v>0</v>
      </c>
      <c r="K94" s="417">
        <v>0</v>
      </c>
    </row>
    <row r="95" spans="1:11">
      <c r="A95" s="413"/>
      <c r="B95" s="413"/>
      <c r="F95" s="416"/>
      <c r="G95" s="416"/>
      <c r="H95" s="417"/>
      <c r="I95" s="417"/>
      <c r="J95" s="417"/>
      <c r="K95" s="417"/>
    </row>
    <row r="96" spans="1:11">
      <c r="A96" s="413"/>
      <c r="B96" s="413"/>
      <c r="F96" s="416"/>
      <c r="G96" s="416"/>
      <c r="H96" s="417"/>
      <c r="I96" s="417"/>
      <c r="J96" s="417"/>
      <c r="K96" s="417"/>
    </row>
    <row r="97" spans="1:11">
      <c r="A97" s="413"/>
      <c r="B97" s="413"/>
      <c r="F97" s="416"/>
      <c r="G97" s="416"/>
      <c r="H97" s="417"/>
      <c r="I97" s="417"/>
      <c r="J97" s="417"/>
      <c r="K97" s="417"/>
    </row>
    <row r="98" spans="1:11">
      <c r="A98" s="415" t="s">
        <v>446</v>
      </c>
      <c r="B98" s="413" t="s">
        <v>151</v>
      </c>
      <c r="F98" s="416">
        <v>1404</v>
      </c>
      <c r="G98" s="416">
        <v>1863</v>
      </c>
      <c r="H98" s="417">
        <v>93861</v>
      </c>
      <c r="I98" s="417">
        <v>39526</v>
      </c>
      <c r="J98" s="417">
        <v>0</v>
      </c>
      <c r="K98" s="417">
        <v>133387</v>
      </c>
    </row>
    <row r="101" spans="1:11">
      <c r="A101" s="415" t="s">
        <v>130</v>
      </c>
      <c r="B101" s="414" t="s">
        <v>63</v>
      </c>
    </row>
    <row r="102" spans="1:11">
      <c r="A102" s="413" t="s">
        <v>447</v>
      </c>
      <c r="B102" s="413" t="s">
        <v>152</v>
      </c>
      <c r="F102" s="416">
        <v>7800</v>
      </c>
      <c r="G102" s="416">
        <v>0</v>
      </c>
      <c r="H102" s="417">
        <v>280484</v>
      </c>
      <c r="I102" s="417">
        <v>176424</v>
      </c>
      <c r="J102" s="417">
        <v>0</v>
      </c>
      <c r="K102" s="417">
        <v>456908</v>
      </c>
    </row>
    <row r="103" spans="1:11">
      <c r="A103" s="413" t="s">
        <v>448</v>
      </c>
      <c r="B103" s="413" t="s">
        <v>62</v>
      </c>
      <c r="F103" s="416">
        <v>0</v>
      </c>
      <c r="G103" s="416">
        <v>0</v>
      </c>
      <c r="H103" s="417">
        <v>0</v>
      </c>
      <c r="I103" s="417">
        <v>0</v>
      </c>
      <c r="J103" s="417">
        <v>0</v>
      </c>
      <c r="K103" s="417">
        <v>0</v>
      </c>
    </row>
    <row r="104" spans="1:11">
      <c r="A104" s="413" t="s">
        <v>642</v>
      </c>
      <c r="B104" s="413" t="s">
        <v>676</v>
      </c>
      <c r="F104" s="416">
        <v>0</v>
      </c>
      <c r="G104" s="416">
        <v>0</v>
      </c>
      <c r="H104" s="417">
        <v>30034</v>
      </c>
      <c r="I104" s="417">
        <v>0</v>
      </c>
      <c r="J104" s="417">
        <v>0</v>
      </c>
      <c r="K104" s="417">
        <v>30034</v>
      </c>
    </row>
    <row r="105" spans="1:11">
      <c r="A105" s="413" t="s">
        <v>677</v>
      </c>
      <c r="B105" s="413" t="s">
        <v>678</v>
      </c>
      <c r="F105" s="416">
        <v>7</v>
      </c>
      <c r="G105" s="416">
        <v>0</v>
      </c>
      <c r="H105" s="417">
        <v>144</v>
      </c>
      <c r="I105" s="417">
        <v>91</v>
      </c>
      <c r="J105" s="417">
        <v>0</v>
      </c>
      <c r="K105" s="417">
        <v>235</v>
      </c>
    </row>
    <row r="106" spans="1:11">
      <c r="A106" s="413" t="s">
        <v>679</v>
      </c>
      <c r="B106" s="413" t="s">
        <v>680</v>
      </c>
      <c r="F106" s="416">
        <v>0</v>
      </c>
      <c r="G106" s="416">
        <v>0</v>
      </c>
      <c r="H106" s="417">
        <v>85194</v>
      </c>
      <c r="I106" s="417">
        <v>53587</v>
      </c>
      <c r="J106" s="417">
        <v>0</v>
      </c>
      <c r="K106" s="417">
        <v>138781</v>
      </c>
    </row>
    <row r="107" spans="1:11">
      <c r="A107" s="413"/>
      <c r="B107" s="413"/>
      <c r="F107" s="416"/>
      <c r="G107" s="416"/>
      <c r="H107" s="417"/>
      <c r="I107" s="417"/>
      <c r="J107" s="417"/>
      <c r="K107" s="417"/>
    </row>
    <row r="108" spans="1:11">
      <c r="A108" s="415" t="s">
        <v>449</v>
      </c>
      <c r="B108" s="413" t="s">
        <v>154</v>
      </c>
      <c r="F108" s="416">
        <v>7807</v>
      </c>
      <c r="G108" s="416">
        <v>0</v>
      </c>
      <c r="H108" s="417">
        <v>395856</v>
      </c>
      <c r="I108" s="417">
        <v>230102</v>
      </c>
      <c r="J108" s="417">
        <v>0</v>
      </c>
      <c r="K108" s="417">
        <v>625958</v>
      </c>
    </row>
    <row r="110" spans="1:11">
      <c r="A110" s="414" t="s">
        <v>156</v>
      </c>
      <c r="B110" s="414" t="s">
        <v>39</v>
      </c>
    </row>
    <row r="111" spans="1:11">
      <c r="A111" s="413" t="s">
        <v>450</v>
      </c>
      <c r="B111" s="411" t="s">
        <v>164</v>
      </c>
      <c r="F111" s="417">
        <v>3582453</v>
      </c>
    </row>
    <row r="113" spans="1:6">
      <c r="A113" s="414"/>
      <c r="B113" s="414" t="s">
        <v>15</v>
      </c>
    </row>
    <row r="114" spans="1:6">
      <c r="A114" s="413" t="s">
        <v>451</v>
      </c>
      <c r="B114" s="411" t="s">
        <v>452</v>
      </c>
      <c r="F114" s="418">
        <v>0.63</v>
      </c>
    </row>
    <row r="116" spans="1:6">
      <c r="A116" s="414" t="s">
        <v>170</v>
      </c>
      <c r="B116" s="414" t="s">
        <v>16</v>
      </c>
    </row>
    <row r="117" spans="1:6">
      <c r="A117" s="413" t="s">
        <v>453</v>
      </c>
      <c r="B117" s="411" t="s">
        <v>17</v>
      </c>
      <c r="F117" s="417">
        <v>212576826</v>
      </c>
    </row>
    <row r="118" spans="1:6">
      <c r="A118" s="413" t="s">
        <v>454</v>
      </c>
      <c r="B118" s="411" t="s">
        <v>18</v>
      </c>
      <c r="F118" s="417">
        <v>1285788</v>
      </c>
    </row>
    <row r="119" spans="1:6">
      <c r="A119" s="413" t="s">
        <v>455</v>
      </c>
      <c r="B119" s="414" t="s">
        <v>19</v>
      </c>
      <c r="F119" s="416">
        <v>213862614</v>
      </c>
    </row>
    <row r="121" spans="1:6">
      <c r="A121" s="413" t="s">
        <v>456</v>
      </c>
      <c r="B121" s="411" t="s">
        <v>282</v>
      </c>
      <c r="F121" s="417">
        <v>219466790</v>
      </c>
    </row>
    <row r="123" spans="1:6">
      <c r="A123" s="413" t="s">
        <v>457</v>
      </c>
      <c r="B123" s="411" t="s">
        <v>458</v>
      </c>
      <c r="F123" s="417">
        <v>-5604176</v>
      </c>
    </row>
    <row r="125" spans="1:6">
      <c r="A125" s="413" t="s">
        <v>459</v>
      </c>
      <c r="B125" s="411" t="s">
        <v>460</v>
      </c>
      <c r="F125" s="417">
        <v>21958</v>
      </c>
    </row>
    <row r="127" spans="1:6">
      <c r="A127" s="413" t="s">
        <v>461</v>
      </c>
      <c r="B127" s="411" t="s">
        <v>462</v>
      </c>
      <c r="F127" s="417">
        <v>-5582219</v>
      </c>
    </row>
    <row r="130" spans="1:11">
      <c r="A130" s="415" t="s">
        <v>157</v>
      </c>
      <c r="B130" s="414" t="s">
        <v>23</v>
      </c>
    </row>
    <row r="131" spans="1:11">
      <c r="A131" s="413" t="s">
        <v>463</v>
      </c>
      <c r="B131" s="413" t="s">
        <v>24</v>
      </c>
      <c r="F131" s="416">
        <v>0</v>
      </c>
      <c r="G131" s="416">
        <v>0</v>
      </c>
      <c r="H131" s="417">
        <v>0</v>
      </c>
      <c r="I131" s="417">
        <v>0</v>
      </c>
      <c r="J131" s="417">
        <v>0</v>
      </c>
      <c r="K131" s="417">
        <v>0</v>
      </c>
    </row>
    <row r="132" spans="1:11">
      <c r="A132" s="413" t="s">
        <v>464</v>
      </c>
      <c r="B132" s="413" t="s">
        <v>25</v>
      </c>
      <c r="F132" s="416">
        <v>0</v>
      </c>
      <c r="G132" s="416">
        <v>0</v>
      </c>
      <c r="H132" s="417">
        <v>0</v>
      </c>
      <c r="I132" s="417">
        <v>0</v>
      </c>
      <c r="J132" s="417">
        <v>0</v>
      </c>
      <c r="K132" s="417">
        <v>0</v>
      </c>
    </row>
    <row r="133" spans="1:11">
      <c r="A133" s="413"/>
      <c r="B133" s="413"/>
      <c r="F133" s="416"/>
      <c r="G133" s="416"/>
      <c r="H133" s="417"/>
      <c r="I133" s="417"/>
      <c r="J133" s="417"/>
      <c r="K133" s="417"/>
    </row>
    <row r="134" spans="1:11">
      <c r="A134" s="413"/>
      <c r="B134" s="413"/>
      <c r="F134" s="416"/>
      <c r="G134" s="416"/>
      <c r="H134" s="417"/>
      <c r="I134" s="417"/>
      <c r="J134" s="417"/>
      <c r="K134" s="417"/>
    </row>
    <row r="135" spans="1:11">
      <c r="A135" s="413"/>
      <c r="B135" s="413"/>
      <c r="F135" s="416"/>
      <c r="G135" s="416"/>
      <c r="H135" s="417"/>
      <c r="I135" s="417"/>
      <c r="J135" s="417"/>
      <c r="K135" s="417"/>
    </row>
    <row r="136" spans="1:11">
      <c r="A136" s="413"/>
      <c r="B136" s="413"/>
      <c r="F136" s="416"/>
      <c r="G136" s="416"/>
      <c r="H136" s="417"/>
      <c r="I136" s="417"/>
      <c r="J136" s="417"/>
      <c r="K136" s="417"/>
    </row>
    <row r="137" spans="1:11">
      <c r="A137" s="415" t="s">
        <v>465</v>
      </c>
      <c r="B137" s="413" t="s">
        <v>466</v>
      </c>
      <c r="F137" s="416">
        <v>0</v>
      </c>
      <c r="G137" s="416">
        <v>0</v>
      </c>
      <c r="H137" s="417">
        <v>0</v>
      </c>
      <c r="I137" s="417">
        <v>0</v>
      </c>
      <c r="J137" s="417">
        <v>0</v>
      </c>
      <c r="K137" s="417">
        <v>0</v>
      </c>
    </row>
    <row r="140" spans="1:11">
      <c r="A140" s="415" t="s">
        <v>166</v>
      </c>
      <c r="B140" s="414" t="s">
        <v>26</v>
      </c>
    </row>
    <row r="141" spans="1:11">
      <c r="A141" s="413" t="s">
        <v>420</v>
      </c>
      <c r="B141" s="413" t="s">
        <v>64</v>
      </c>
      <c r="F141" s="416">
        <v>4647</v>
      </c>
      <c r="G141" s="416">
        <v>24604</v>
      </c>
      <c r="H141" s="417">
        <v>322116</v>
      </c>
      <c r="I141" s="417">
        <v>122916</v>
      </c>
      <c r="J141" s="417">
        <v>1034</v>
      </c>
      <c r="K141" s="417">
        <v>443998</v>
      </c>
    </row>
    <row r="142" spans="1:11">
      <c r="A142" s="413" t="s">
        <v>425</v>
      </c>
      <c r="B142" s="413" t="s">
        <v>65</v>
      </c>
      <c r="F142" s="416">
        <v>45725</v>
      </c>
      <c r="G142" s="416">
        <v>776</v>
      </c>
      <c r="H142" s="417">
        <v>1810313</v>
      </c>
      <c r="I142" s="417">
        <v>1138690</v>
      </c>
      <c r="J142" s="417">
        <v>0</v>
      </c>
      <c r="K142" s="417">
        <v>2949003</v>
      </c>
    </row>
    <row r="143" spans="1:11">
      <c r="A143" s="413" t="s">
        <v>428</v>
      </c>
      <c r="B143" s="413" t="s">
        <v>66</v>
      </c>
      <c r="F143" s="416">
        <v>78840</v>
      </c>
      <c r="G143" s="416">
        <v>7222</v>
      </c>
      <c r="H143" s="417">
        <v>5065700</v>
      </c>
      <c r="I143" s="417">
        <v>0</v>
      </c>
      <c r="J143" s="417">
        <v>2920354</v>
      </c>
      <c r="K143" s="417">
        <v>2145346</v>
      </c>
    </row>
    <row r="144" spans="1:11">
      <c r="A144" s="413" t="s">
        <v>431</v>
      </c>
      <c r="B144" s="413" t="s">
        <v>67</v>
      </c>
      <c r="F144" s="416">
        <v>0</v>
      </c>
      <c r="G144" s="416">
        <v>0</v>
      </c>
      <c r="H144" s="417">
        <v>0</v>
      </c>
      <c r="I144" s="417">
        <v>0</v>
      </c>
      <c r="J144" s="417">
        <v>0</v>
      </c>
      <c r="K144" s="417">
        <v>0</v>
      </c>
    </row>
    <row r="145" spans="1:11">
      <c r="A145" s="413" t="s">
        <v>437</v>
      </c>
      <c r="B145" s="413" t="s">
        <v>68</v>
      </c>
      <c r="F145" s="416">
        <v>0</v>
      </c>
      <c r="G145" s="416">
        <v>0</v>
      </c>
      <c r="H145" s="417">
        <v>53900</v>
      </c>
      <c r="I145" s="417">
        <v>0</v>
      </c>
      <c r="J145" s="417">
        <v>0</v>
      </c>
      <c r="K145" s="417">
        <v>53900</v>
      </c>
    </row>
    <row r="146" spans="1:11">
      <c r="A146" s="413" t="s">
        <v>446</v>
      </c>
      <c r="B146" s="413" t="s">
        <v>69</v>
      </c>
      <c r="F146" s="416">
        <v>1404</v>
      </c>
      <c r="G146" s="416">
        <v>1863</v>
      </c>
      <c r="H146" s="417">
        <v>93861</v>
      </c>
      <c r="I146" s="417">
        <v>39526</v>
      </c>
      <c r="J146" s="417">
        <v>0</v>
      </c>
      <c r="K146" s="417">
        <v>133387</v>
      </c>
    </row>
    <row r="147" spans="1:11">
      <c r="A147" s="413" t="s">
        <v>449</v>
      </c>
      <c r="B147" s="413" t="s">
        <v>61</v>
      </c>
      <c r="F147" s="416">
        <v>7807</v>
      </c>
      <c r="G147" s="416">
        <v>0</v>
      </c>
      <c r="H147" s="417">
        <v>395856</v>
      </c>
      <c r="I147" s="417">
        <v>230102</v>
      </c>
      <c r="J147" s="417">
        <v>0</v>
      </c>
      <c r="K147" s="417">
        <v>625958</v>
      </c>
    </row>
    <row r="148" spans="1:11">
      <c r="A148" s="413" t="s">
        <v>450</v>
      </c>
      <c r="B148" s="413" t="s">
        <v>70</v>
      </c>
      <c r="F148" s="411" t="s">
        <v>73</v>
      </c>
      <c r="G148" s="411" t="s">
        <v>73</v>
      </c>
      <c r="H148" s="411" t="s">
        <v>73</v>
      </c>
      <c r="I148" s="411" t="s">
        <v>73</v>
      </c>
      <c r="J148" s="411" t="s">
        <v>73</v>
      </c>
      <c r="K148" s="417">
        <v>3582453</v>
      </c>
    </row>
    <row r="149" spans="1:11">
      <c r="A149" s="413" t="s">
        <v>465</v>
      </c>
      <c r="B149" s="413" t="s">
        <v>71</v>
      </c>
      <c r="F149" s="416">
        <v>0</v>
      </c>
      <c r="G149" s="416">
        <v>0</v>
      </c>
      <c r="H149" s="417">
        <v>0</v>
      </c>
      <c r="I149" s="417">
        <v>0</v>
      </c>
      <c r="J149" s="417">
        <v>0</v>
      </c>
      <c r="K149" s="417">
        <v>0</v>
      </c>
    </row>
    <row r="150" spans="1:11">
      <c r="A150" s="413" t="s">
        <v>408</v>
      </c>
      <c r="B150" s="413" t="s">
        <v>186</v>
      </c>
      <c r="F150" s="411" t="s">
        <v>73</v>
      </c>
      <c r="G150" s="411" t="s">
        <v>73</v>
      </c>
      <c r="H150" s="417">
        <v>6206546</v>
      </c>
      <c r="I150" s="417">
        <v>0</v>
      </c>
      <c r="J150" s="417">
        <v>5307373</v>
      </c>
      <c r="K150" s="417">
        <v>899173</v>
      </c>
    </row>
    <row r="151" spans="1:11" s="422" customFormat="1">
      <c r="A151" s="421"/>
      <c r="B151" s="421"/>
      <c r="H151" s="419"/>
      <c r="I151" s="419"/>
      <c r="J151" s="419"/>
      <c r="K151" s="419"/>
    </row>
    <row r="152" spans="1:11">
      <c r="A152" s="415" t="s">
        <v>467</v>
      </c>
      <c r="B152" s="413" t="s">
        <v>26</v>
      </c>
      <c r="F152" s="416">
        <v>138423</v>
      </c>
      <c r="G152" s="416">
        <v>34465</v>
      </c>
      <c r="H152" s="417">
        <v>13948292</v>
      </c>
      <c r="I152" s="417">
        <v>1531234</v>
      </c>
      <c r="J152" s="417">
        <v>8228761</v>
      </c>
      <c r="K152" s="417">
        <v>10833218</v>
      </c>
    </row>
    <row r="154" spans="1:11">
      <c r="A154" s="413" t="s">
        <v>468</v>
      </c>
      <c r="B154" s="414" t="s">
        <v>28</v>
      </c>
      <c r="F154" s="416">
        <v>4.9400000000000004</v>
      </c>
    </row>
    <row r="155" spans="1:11">
      <c r="A155" s="413" t="s">
        <v>469</v>
      </c>
      <c r="B155" s="414" t="s">
        <v>72</v>
      </c>
      <c r="F155" s="416">
        <v>194.07</v>
      </c>
    </row>
  </sheetData>
  <mergeCells count="7">
    <mergeCell ref="C11:G11"/>
    <mergeCell ref="D2:H2"/>
    <mergeCell ref="C5:G5"/>
    <mergeCell ref="C6:G6"/>
    <mergeCell ref="C7:G7"/>
    <mergeCell ref="C9:G9"/>
    <mergeCell ref="C10:G10"/>
  </mergeCells>
  <pageMargins left="0.7" right="0.7" top="0.75" bottom="0.75" header="0.3" footer="0.3"/>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18" zoomScale="70" zoomScaleNormal="50" zoomScaleSheetLayoutView="70" workbookViewId="0">
      <selection activeCell="H72" sqref="H72"/>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785" t="s">
        <v>859</v>
      </c>
      <c r="D5" s="786"/>
      <c r="E5" s="786"/>
      <c r="F5" s="786"/>
      <c r="G5" s="787"/>
    </row>
    <row r="6" spans="1:11" ht="18" customHeight="1">
      <c r="B6" s="5" t="s">
        <v>3</v>
      </c>
      <c r="C6" s="788" t="s">
        <v>860</v>
      </c>
      <c r="D6" s="789"/>
      <c r="E6" s="789"/>
      <c r="F6" s="789"/>
      <c r="G6" s="790"/>
    </row>
    <row r="7" spans="1:11" ht="18" customHeight="1">
      <c r="B7" s="5" t="s">
        <v>4</v>
      </c>
      <c r="C7" s="791">
        <v>2332</v>
      </c>
      <c r="D7" s="792"/>
      <c r="E7" s="792"/>
      <c r="F7" s="792"/>
      <c r="G7" s="793"/>
    </row>
    <row r="9" spans="1:11" ht="18" customHeight="1">
      <c r="B9" s="5" t="s">
        <v>1</v>
      </c>
      <c r="C9" s="670"/>
      <c r="D9" s="654"/>
      <c r="E9" s="654"/>
      <c r="F9" s="654"/>
      <c r="G9" s="655"/>
    </row>
    <row r="10" spans="1:11" ht="18" customHeight="1">
      <c r="B10" s="5" t="s">
        <v>2</v>
      </c>
      <c r="C10" s="674"/>
      <c r="D10" s="663"/>
      <c r="E10" s="663"/>
      <c r="F10" s="663"/>
      <c r="G10" s="664"/>
    </row>
    <row r="11" spans="1:11" ht="18" customHeight="1">
      <c r="B11" s="5" t="s">
        <v>32</v>
      </c>
      <c r="C11" s="670"/>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2"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475">
        <f>'[16]Deficit Assessment FY14'!E15</f>
        <v>8195226.5778723592</v>
      </c>
      <c r="I18" s="50">
        <v>0</v>
      </c>
      <c r="J18" s="475">
        <f>'[16]Deficit Assessment FY14'!D15</f>
        <v>7007943.3980720993</v>
      </c>
      <c r="K18" s="16">
        <f>(H18+I18)-J18</f>
        <v>1187283.1798002599</v>
      </c>
    </row>
    <row r="19" spans="1:11" ht="45.2"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476">
        <v>1735.472901168969</v>
      </c>
      <c r="G21" s="476">
        <v>13375</v>
      </c>
      <c r="H21" s="476">
        <v>81654</v>
      </c>
      <c r="I21" s="477">
        <f>H21*F$114</f>
        <v>41027.462472880179</v>
      </c>
      <c r="J21" s="476">
        <v>2510</v>
      </c>
      <c r="K21" s="16">
        <f t="shared" ref="K21:K34" si="0">(H21+I21)-J21</f>
        <v>120171.46247288017</v>
      </c>
    </row>
    <row r="22" spans="1:11" ht="18" customHeight="1">
      <c r="A22" s="5" t="s">
        <v>76</v>
      </c>
      <c r="B22" t="s">
        <v>6</v>
      </c>
      <c r="F22" s="476">
        <v>201.29649309245485</v>
      </c>
      <c r="G22" s="476">
        <v>544</v>
      </c>
      <c r="H22" s="476">
        <v>9471</v>
      </c>
      <c r="I22" s="477">
        <f t="shared" ref="I22:I34" si="1">H22*F$114</f>
        <v>4758.7515257139657</v>
      </c>
      <c r="J22" s="476">
        <v>0</v>
      </c>
      <c r="K22" s="16">
        <f t="shared" si="0"/>
        <v>14229.751525713966</v>
      </c>
    </row>
    <row r="23" spans="1:11" ht="18" customHeight="1">
      <c r="A23" s="5" t="s">
        <v>77</v>
      </c>
      <c r="B23" t="s">
        <v>43</v>
      </c>
      <c r="F23" s="476">
        <v>0</v>
      </c>
      <c r="G23" s="476">
        <v>0</v>
      </c>
      <c r="H23" s="476">
        <v>0</v>
      </c>
      <c r="I23" s="477">
        <f t="shared" si="1"/>
        <v>0</v>
      </c>
      <c r="J23" s="476">
        <v>0</v>
      </c>
      <c r="K23" s="16">
        <f t="shared" si="0"/>
        <v>0</v>
      </c>
    </row>
    <row r="24" spans="1:11" ht="18" customHeight="1">
      <c r="A24" s="5" t="s">
        <v>78</v>
      </c>
      <c r="B24" t="s">
        <v>44</v>
      </c>
      <c r="F24" s="476">
        <v>4370.8607863974494</v>
      </c>
      <c r="G24" s="476">
        <v>498</v>
      </c>
      <c r="H24" s="476">
        <v>205649</v>
      </c>
      <c r="I24" s="477">
        <f t="shared" si="1"/>
        <v>103329.37308748298</v>
      </c>
      <c r="J24" s="476">
        <v>0</v>
      </c>
      <c r="K24" s="16">
        <f t="shared" si="0"/>
        <v>308978.37308748299</v>
      </c>
    </row>
    <row r="25" spans="1:11" ht="18" customHeight="1">
      <c r="A25" s="5" t="s">
        <v>79</v>
      </c>
      <c r="B25" t="s">
        <v>5</v>
      </c>
      <c r="F25" s="476">
        <v>1259.7024442082891</v>
      </c>
      <c r="G25" s="476">
        <v>1703</v>
      </c>
      <c r="H25" s="476">
        <v>59269</v>
      </c>
      <c r="I25" s="477">
        <f t="shared" si="1"/>
        <v>29780.006776215927</v>
      </c>
      <c r="J25" s="476">
        <v>0</v>
      </c>
      <c r="K25" s="16">
        <f t="shared" si="0"/>
        <v>89049.006776215931</v>
      </c>
    </row>
    <row r="26" spans="1:11" ht="18" customHeight="1">
      <c r="A26" s="5" t="s">
        <v>80</v>
      </c>
      <c r="B26" t="s">
        <v>45</v>
      </c>
      <c r="F26" s="476">
        <v>1005.4622741764082</v>
      </c>
      <c r="G26" s="476">
        <v>6450</v>
      </c>
      <c r="H26" s="476">
        <v>47307</v>
      </c>
      <c r="I26" s="477">
        <f t="shared" si="1"/>
        <v>23769.639787451226</v>
      </c>
      <c r="J26" s="476">
        <v>0</v>
      </c>
      <c r="K26" s="16">
        <f t="shared" si="0"/>
        <v>71076.639787451219</v>
      </c>
    </row>
    <row r="27" spans="1:11" ht="18" customHeight="1">
      <c r="A27" s="5" t="s">
        <v>81</v>
      </c>
      <c r="B27" t="s">
        <v>46</v>
      </c>
      <c r="F27" s="476">
        <v>0</v>
      </c>
      <c r="G27" s="476">
        <v>2300</v>
      </c>
      <c r="H27" s="475">
        <v>2011798.3799999987</v>
      </c>
      <c r="I27" s="477">
        <f t="shared" si="1"/>
        <v>1010838.2019062273</v>
      </c>
      <c r="J27" s="475">
        <v>1388021.2200000007</v>
      </c>
      <c r="K27" s="16">
        <f t="shared" si="0"/>
        <v>1634615.3619062253</v>
      </c>
    </row>
    <row r="28" spans="1:11" ht="18" customHeight="1">
      <c r="A28" s="5" t="s">
        <v>82</v>
      </c>
      <c r="B28" t="s">
        <v>47</v>
      </c>
      <c r="F28" s="476">
        <v>0</v>
      </c>
      <c r="G28" s="476">
        <v>0</v>
      </c>
      <c r="H28" s="476">
        <v>0</v>
      </c>
      <c r="I28" s="477">
        <f t="shared" si="1"/>
        <v>0</v>
      </c>
      <c r="J28" s="476">
        <v>0</v>
      </c>
      <c r="K28" s="16">
        <f t="shared" si="0"/>
        <v>0</v>
      </c>
    </row>
    <row r="29" spans="1:11" ht="18" customHeight="1">
      <c r="A29" s="5" t="s">
        <v>83</v>
      </c>
      <c r="B29" t="s">
        <v>48</v>
      </c>
      <c r="F29" s="476">
        <v>3640.3188097768334</v>
      </c>
      <c r="G29" s="476">
        <v>31</v>
      </c>
      <c r="H29" s="476">
        <v>171277</v>
      </c>
      <c r="I29" s="477">
        <f t="shared" si="1"/>
        <v>86058.989026471434</v>
      </c>
      <c r="J29" s="476">
        <v>0</v>
      </c>
      <c r="K29" s="16">
        <f t="shared" si="0"/>
        <v>257335.98902647145</v>
      </c>
    </row>
    <row r="30" spans="1:11" ht="18" customHeight="1">
      <c r="A30" s="5" t="s">
        <v>84</v>
      </c>
      <c r="B30" s="783" t="s">
        <v>861</v>
      </c>
      <c r="C30" s="784"/>
      <c r="D30" s="782"/>
      <c r="F30" s="476">
        <v>104.27205100956429</v>
      </c>
      <c r="G30" s="476">
        <v>1374</v>
      </c>
      <c r="H30" s="476">
        <v>4906</v>
      </c>
      <c r="I30" s="477">
        <f t="shared" si="1"/>
        <v>2465.044344330347</v>
      </c>
      <c r="J30" s="476">
        <v>0</v>
      </c>
      <c r="K30" s="16">
        <f t="shared" si="0"/>
        <v>7371.0443443303466</v>
      </c>
    </row>
    <row r="31" spans="1:11" ht="18" customHeight="1">
      <c r="A31" s="5" t="s">
        <v>133</v>
      </c>
      <c r="B31" s="636"/>
      <c r="C31" s="637"/>
      <c r="D31" s="638"/>
      <c r="F31" s="14"/>
      <c r="G31" s="14"/>
      <c r="H31" s="15"/>
      <c r="I31" s="50">
        <f t="shared" si="1"/>
        <v>0</v>
      </c>
      <c r="J31" s="15"/>
      <c r="K31" s="16">
        <f t="shared" si="0"/>
        <v>0</v>
      </c>
    </row>
    <row r="32" spans="1:11" ht="18" customHeight="1">
      <c r="A32" s="5" t="s">
        <v>134</v>
      </c>
      <c r="B32" s="363"/>
      <c r="C32" s="364"/>
      <c r="D32" s="365"/>
      <c r="F32" s="14"/>
      <c r="G32" s="342" t="s">
        <v>85</v>
      </c>
      <c r="H32" s="15"/>
      <c r="I32" s="50">
        <f t="shared" si="1"/>
        <v>0</v>
      </c>
      <c r="J32" s="15"/>
      <c r="K32" s="16">
        <f t="shared" si="0"/>
        <v>0</v>
      </c>
    </row>
    <row r="33" spans="1:11" ht="18" customHeight="1">
      <c r="A33" s="5" t="s">
        <v>135</v>
      </c>
      <c r="B33" s="363"/>
      <c r="C33" s="364"/>
      <c r="D33" s="365"/>
      <c r="F33" s="14"/>
      <c r="G33" s="342" t="s">
        <v>85</v>
      </c>
      <c r="H33" s="15"/>
      <c r="I33" s="50">
        <f t="shared" si="1"/>
        <v>0</v>
      </c>
      <c r="J33" s="15"/>
      <c r="K33" s="16">
        <f t="shared" si="0"/>
        <v>0</v>
      </c>
    </row>
    <row r="34" spans="1:11" ht="18" customHeight="1">
      <c r="A34" s="5" t="s">
        <v>136</v>
      </c>
      <c r="B34" s="636"/>
      <c r="C34" s="637"/>
      <c r="D34" s="638"/>
      <c r="F34" s="14"/>
      <c r="G34" s="342" t="s">
        <v>85</v>
      </c>
      <c r="H34" s="15"/>
      <c r="I34" s="50">
        <f t="shared" si="1"/>
        <v>0</v>
      </c>
      <c r="J34" s="15"/>
      <c r="K34" s="16">
        <f t="shared" si="0"/>
        <v>0</v>
      </c>
    </row>
    <row r="35" spans="1:11" ht="18" customHeight="1">
      <c r="K35" s="44"/>
    </row>
    <row r="36" spans="1:11" ht="18" customHeight="1">
      <c r="A36" s="6" t="s">
        <v>137</v>
      </c>
      <c r="B36" s="2" t="s">
        <v>138</v>
      </c>
      <c r="E36" s="2" t="s">
        <v>7</v>
      </c>
      <c r="F36" s="18">
        <f t="shared" ref="F36:K36" si="2">SUM(F21:F34)</f>
        <v>12317.385759829969</v>
      </c>
      <c r="G36" s="18">
        <f t="shared" si="2"/>
        <v>26275</v>
      </c>
      <c r="H36" s="18">
        <f t="shared" si="2"/>
        <v>2591331.379999999</v>
      </c>
      <c r="I36" s="16">
        <f t="shared" si="2"/>
        <v>1302027.4689267734</v>
      </c>
      <c r="J36" s="16">
        <f t="shared" si="2"/>
        <v>1390531.2200000007</v>
      </c>
      <c r="K36" s="16">
        <f t="shared" si="2"/>
        <v>2502827.6289267712</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476">
        <v>0</v>
      </c>
      <c r="G40" s="14"/>
      <c r="H40" s="15"/>
      <c r="I40" s="50">
        <v>0</v>
      </c>
      <c r="J40" s="15"/>
      <c r="K40" s="16">
        <f t="shared" ref="K40:K47" si="3">(H40+I40)-J40</f>
        <v>0</v>
      </c>
    </row>
    <row r="41" spans="1:11" ht="18" customHeight="1">
      <c r="A41" s="5" t="s">
        <v>88</v>
      </c>
      <c r="B41" s="641" t="s">
        <v>50</v>
      </c>
      <c r="C41" s="649"/>
      <c r="F41" s="476">
        <v>0</v>
      </c>
      <c r="G41" s="476">
        <v>0</v>
      </c>
      <c r="H41" s="476">
        <v>0</v>
      </c>
      <c r="I41" s="477">
        <f t="shared" ref="I41:I42" si="4">H41*F$114</f>
        <v>0</v>
      </c>
      <c r="J41" s="476">
        <v>0</v>
      </c>
      <c r="K41" s="16">
        <f t="shared" si="3"/>
        <v>0</v>
      </c>
    </row>
    <row r="42" spans="1:11" ht="18" customHeight="1">
      <c r="A42" s="5" t="s">
        <v>89</v>
      </c>
      <c r="B42" s="341" t="s">
        <v>11</v>
      </c>
      <c r="F42" s="476">
        <v>30892.157279489908</v>
      </c>
      <c r="G42" s="476">
        <v>1171</v>
      </c>
      <c r="H42" s="476">
        <v>1453476</v>
      </c>
      <c r="I42" s="477">
        <f t="shared" si="4"/>
        <v>730306.3174520781</v>
      </c>
      <c r="J42" s="476">
        <v>0</v>
      </c>
      <c r="K42" s="16">
        <f t="shared" si="3"/>
        <v>2183782.3174520782</v>
      </c>
    </row>
    <row r="43" spans="1:11" ht="18" customHeight="1">
      <c r="A43" s="5" t="s">
        <v>90</v>
      </c>
      <c r="B43" s="343" t="s">
        <v>10</v>
      </c>
      <c r="C43" s="10"/>
      <c r="D43" s="10"/>
      <c r="F43" s="476">
        <v>0</v>
      </c>
      <c r="G43" s="14"/>
      <c r="H43" s="15"/>
      <c r="I43" s="50">
        <v>0</v>
      </c>
      <c r="J43" s="15"/>
      <c r="K43" s="16">
        <f t="shared" si="3"/>
        <v>0</v>
      </c>
    </row>
    <row r="44" spans="1:11" ht="18" customHeight="1">
      <c r="A44" s="5" t="s">
        <v>91</v>
      </c>
      <c r="B44" s="636"/>
      <c r="C44" s="637"/>
      <c r="D44" s="638"/>
      <c r="F44" s="54"/>
      <c r="G44" s="54"/>
      <c r="H44" s="54"/>
      <c r="I44" s="55">
        <v>0</v>
      </c>
      <c r="J44" s="54"/>
      <c r="K44" s="56">
        <f t="shared" si="3"/>
        <v>0</v>
      </c>
    </row>
    <row r="45" spans="1:11" ht="18" customHeight="1">
      <c r="A45" s="5" t="s">
        <v>139</v>
      </c>
      <c r="B45" s="636"/>
      <c r="C45" s="637"/>
      <c r="D45" s="638"/>
      <c r="F45" s="14"/>
      <c r="G45" s="14"/>
      <c r="H45" s="15"/>
      <c r="I45" s="50">
        <v>0</v>
      </c>
      <c r="J45" s="15"/>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5">SUM(F40:F47)</f>
        <v>30892.157279489908</v>
      </c>
      <c r="G49" s="23">
        <f t="shared" si="5"/>
        <v>1171</v>
      </c>
      <c r="H49" s="16">
        <f t="shared" si="5"/>
        <v>1453476</v>
      </c>
      <c r="I49" s="16">
        <f t="shared" si="5"/>
        <v>730306.3174520781</v>
      </c>
      <c r="J49" s="16">
        <f t="shared" si="5"/>
        <v>0</v>
      </c>
      <c r="K49" s="16">
        <f t="shared" si="5"/>
        <v>2183782.3174520782</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780" t="s">
        <v>723</v>
      </c>
      <c r="C53" s="781"/>
      <c r="D53" s="782"/>
      <c r="F53" s="14">
        <v>11369.526270456507</v>
      </c>
      <c r="G53" s="14"/>
      <c r="H53" s="15">
        <v>1716002.5999999999</v>
      </c>
      <c r="I53" s="477">
        <f t="shared" ref="I53:I61" si="6">H53*F$114</f>
        <v>862214.12637304736</v>
      </c>
      <c r="J53" s="15"/>
      <c r="K53" s="16">
        <f t="shared" ref="K53:K62" si="7">(H53+I53)-J53</f>
        <v>2578216.7263730471</v>
      </c>
    </row>
    <row r="54" spans="1:11" ht="18" customHeight="1">
      <c r="A54" s="5" t="s">
        <v>93</v>
      </c>
      <c r="B54" s="478" t="s">
        <v>862</v>
      </c>
      <c r="C54" s="479"/>
      <c r="D54" s="480"/>
      <c r="F54" s="14">
        <v>49924.421321142217</v>
      </c>
      <c r="G54" s="14"/>
      <c r="H54" s="15">
        <v>7535092.9100000011</v>
      </c>
      <c r="I54" s="477">
        <f t="shared" si="6"/>
        <v>3786045.2836932731</v>
      </c>
      <c r="J54" s="15"/>
      <c r="K54" s="16">
        <f t="shared" si="7"/>
        <v>11321138.193693275</v>
      </c>
    </row>
    <row r="55" spans="1:11" ht="18" customHeight="1">
      <c r="A55" s="5" t="s">
        <v>94</v>
      </c>
      <c r="B55" s="783" t="s">
        <v>863</v>
      </c>
      <c r="C55" s="784"/>
      <c r="D55" s="782"/>
      <c r="F55" s="14">
        <v>8157.2053269727667</v>
      </c>
      <c r="G55" s="14"/>
      <c r="H55" s="15">
        <v>1231167</v>
      </c>
      <c r="I55" s="477">
        <f t="shared" si="6"/>
        <v>618606.04367634736</v>
      </c>
      <c r="J55" s="15"/>
      <c r="K55" s="16">
        <f t="shared" si="7"/>
        <v>1849773.0436763475</v>
      </c>
    </row>
    <row r="56" spans="1:11" ht="18" customHeight="1">
      <c r="A56" s="5" t="s">
        <v>95</v>
      </c>
      <c r="B56" s="783" t="s">
        <v>864</v>
      </c>
      <c r="C56" s="784"/>
      <c r="D56" s="782"/>
      <c r="F56" s="14">
        <v>5456.1985026171087</v>
      </c>
      <c r="G56" s="14"/>
      <c r="H56" s="15">
        <v>823504.03999999992</v>
      </c>
      <c r="I56" s="477">
        <f t="shared" si="6"/>
        <v>413773.74160929304</v>
      </c>
      <c r="J56" s="15"/>
      <c r="K56" s="16">
        <f t="shared" si="7"/>
        <v>1237277.7816092931</v>
      </c>
    </row>
    <row r="57" spans="1:11" ht="18" customHeight="1">
      <c r="A57" s="5" t="s">
        <v>96</v>
      </c>
      <c r="B57" s="783" t="s">
        <v>807</v>
      </c>
      <c r="C57" s="784"/>
      <c r="D57" s="782"/>
      <c r="F57" s="14">
        <v>8760.9346054462367</v>
      </c>
      <c r="G57" s="14"/>
      <c r="H57" s="15">
        <v>1322287.8599999999</v>
      </c>
      <c r="I57" s="477">
        <f t="shared" si="6"/>
        <v>664390.17751114501</v>
      </c>
      <c r="J57" s="15"/>
      <c r="K57" s="16">
        <f t="shared" si="7"/>
        <v>1986678.0375111448</v>
      </c>
    </row>
    <row r="58" spans="1:11" ht="18" customHeight="1">
      <c r="A58" s="5" t="s">
        <v>97</v>
      </c>
      <c r="B58" s="478" t="s">
        <v>865</v>
      </c>
      <c r="C58" s="479"/>
      <c r="D58" s="480"/>
      <c r="F58" s="14">
        <v>0</v>
      </c>
      <c r="G58" s="14"/>
      <c r="H58" s="15">
        <v>657728.22</v>
      </c>
      <c r="I58" s="477">
        <f t="shared" si="6"/>
        <v>330478.84810792218</v>
      </c>
      <c r="J58" s="15"/>
      <c r="K58" s="16">
        <f t="shared" si="7"/>
        <v>988207.0681079221</v>
      </c>
    </row>
    <row r="59" spans="1:11" ht="18" customHeight="1">
      <c r="A59" s="5" t="s">
        <v>98</v>
      </c>
      <c r="B59" s="650" t="s">
        <v>866</v>
      </c>
      <c r="C59" s="643"/>
      <c r="D59" s="644"/>
      <c r="F59" s="14">
        <v>5725.7935466772706</v>
      </c>
      <c r="G59" s="14"/>
      <c r="H59" s="15">
        <v>864194.01999999967</v>
      </c>
      <c r="I59" s="477">
        <f t="shared" si="6"/>
        <v>434218.62645843986</v>
      </c>
      <c r="J59" s="15"/>
      <c r="K59" s="16">
        <f t="shared" si="7"/>
        <v>1298412.6464584395</v>
      </c>
    </row>
    <row r="60" spans="1:11" ht="18" customHeight="1">
      <c r="A60" s="5" t="s">
        <v>99</v>
      </c>
      <c r="B60" s="360" t="s">
        <v>867</v>
      </c>
      <c r="C60" s="361"/>
      <c r="D60" s="362"/>
      <c r="F60" s="14">
        <v>1322.4673689789963</v>
      </c>
      <c r="G60" s="14"/>
      <c r="H60" s="15">
        <v>199600</v>
      </c>
      <c r="I60" s="477">
        <f t="shared" si="6"/>
        <v>100290.02265151594</v>
      </c>
      <c r="J60" s="15"/>
      <c r="K60" s="16">
        <f t="shared" si="7"/>
        <v>299890.02265151596</v>
      </c>
    </row>
    <row r="61" spans="1:11" ht="18" customHeight="1">
      <c r="A61" s="5" t="s">
        <v>100</v>
      </c>
      <c r="B61" s="360" t="s">
        <v>868</v>
      </c>
      <c r="C61" s="361"/>
      <c r="D61" s="362"/>
      <c r="F61" s="14">
        <v>571.64745246140671</v>
      </c>
      <c r="G61" s="14"/>
      <c r="H61" s="15">
        <v>135188.75</v>
      </c>
      <c r="I61" s="477">
        <f t="shared" si="6"/>
        <v>67926.266531714064</v>
      </c>
      <c r="J61" s="15"/>
      <c r="K61" s="16">
        <f t="shared" si="7"/>
        <v>203115.01653171406</v>
      </c>
    </row>
    <row r="62" spans="1:11" ht="18" customHeight="1">
      <c r="A62" s="5" t="s">
        <v>101</v>
      </c>
      <c r="B62" s="642"/>
      <c r="C62" s="643"/>
      <c r="D62" s="644"/>
      <c r="F62" s="14"/>
      <c r="G62" s="14"/>
      <c r="H62" s="15"/>
      <c r="I62" s="50">
        <v>0</v>
      </c>
      <c r="J62" s="15"/>
      <c r="K62" s="16">
        <f t="shared" si="7"/>
        <v>0</v>
      </c>
    </row>
    <row r="63" spans="1:11" ht="18" customHeight="1">
      <c r="A63" s="5"/>
      <c r="I63" s="46"/>
    </row>
    <row r="64" spans="1:11" ht="18" customHeight="1">
      <c r="A64" s="5" t="s">
        <v>144</v>
      </c>
      <c r="B64" s="2" t="s">
        <v>145</v>
      </c>
      <c r="E64" s="2" t="s">
        <v>7</v>
      </c>
      <c r="F64" s="18">
        <f t="shared" ref="F64:K64" si="8">SUM(F53:F62)</f>
        <v>91288.1943947525</v>
      </c>
      <c r="G64" s="18">
        <f t="shared" si="8"/>
        <v>0</v>
      </c>
      <c r="H64" s="16">
        <f t="shared" si="8"/>
        <v>14484765.4</v>
      </c>
      <c r="I64" s="16">
        <f t="shared" si="8"/>
        <v>7277943.1366126984</v>
      </c>
      <c r="J64" s="16">
        <f t="shared" si="8"/>
        <v>0</v>
      </c>
      <c r="K64" s="16">
        <f t="shared" si="8"/>
        <v>21762708.536612697</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481">
        <v>324027.50000000006</v>
      </c>
      <c r="I68" s="477">
        <f>H68*F$114</f>
        <v>162809.24506369783</v>
      </c>
      <c r="J68" s="481">
        <v>191424.06</v>
      </c>
      <c r="K68" s="16">
        <f>(H68+I68)-J68</f>
        <v>295412.68506369792</v>
      </c>
    </row>
    <row r="69" spans="1:11" ht="18" customHeight="1">
      <c r="A69" s="5" t="s">
        <v>104</v>
      </c>
      <c r="B69" s="341" t="s">
        <v>53</v>
      </c>
      <c r="F69" s="51"/>
      <c r="G69" s="51"/>
      <c r="H69" s="51"/>
      <c r="I69" s="50">
        <v>0</v>
      </c>
      <c r="J69" s="51"/>
      <c r="K69" s="16">
        <f>(H69+I69)-J69</f>
        <v>0</v>
      </c>
    </row>
    <row r="70" spans="1:11" ht="18" customHeight="1">
      <c r="A70" s="5" t="s">
        <v>178</v>
      </c>
      <c r="B70" s="369" t="s">
        <v>869</v>
      </c>
      <c r="C70" s="361"/>
      <c r="D70" s="362"/>
      <c r="E70" s="2"/>
      <c r="F70" s="476">
        <v>4617.4920297555791</v>
      </c>
      <c r="G70" s="476">
        <v>0</v>
      </c>
      <c r="H70" s="476">
        <v>217253</v>
      </c>
      <c r="I70" s="477">
        <f>H70*F$114</f>
        <v>109159.86117790478</v>
      </c>
      <c r="J70" s="476">
        <v>0</v>
      </c>
      <c r="K70" s="16">
        <f>(H70+I70)-J70</f>
        <v>326412.86117790476</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9">SUM(F68:F72)</f>
        <v>4617.4920297555791</v>
      </c>
      <c r="G74" s="21">
        <f t="shared" si="9"/>
        <v>0</v>
      </c>
      <c r="H74" s="21">
        <f t="shared" si="9"/>
        <v>541280.5</v>
      </c>
      <c r="I74" s="53">
        <f t="shared" si="9"/>
        <v>271969.10624160263</v>
      </c>
      <c r="J74" s="21">
        <f t="shared" si="9"/>
        <v>191424.06</v>
      </c>
      <c r="K74" s="17">
        <f t="shared" si="9"/>
        <v>621825.54624160263</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476">
        <v>233.79383634431457</v>
      </c>
      <c r="G77" s="476">
        <v>500</v>
      </c>
      <c r="H77" s="476">
        <v>11000</v>
      </c>
      <c r="I77" s="477">
        <f>H77*F$114</f>
        <v>5527.0052563460695</v>
      </c>
      <c r="J77" s="476">
        <v>0</v>
      </c>
      <c r="K77" s="16">
        <f>(H77+I77)-J77</f>
        <v>16527.00525634607</v>
      </c>
    </row>
    <row r="78" spans="1:11" ht="18" customHeight="1">
      <c r="A78" s="5" t="s">
        <v>108</v>
      </c>
      <c r="B78" s="341" t="s">
        <v>55</v>
      </c>
      <c r="F78" s="476">
        <v>0</v>
      </c>
      <c r="G78" s="14"/>
      <c r="H78" s="15"/>
      <c r="I78" s="50">
        <v>0</v>
      </c>
      <c r="J78" s="15"/>
      <c r="K78" s="16">
        <f>(H78+I78)-J78</f>
        <v>0</v>
      </c>
    </row>
    <row r="79" spans="1:11" ht="18" customHeight="1">
      <c r="A79" s="5" t="s">
        <v>109</v>
      </c>
      <c r="B79" s="341" t="s">
        <v>13</v>
      </c>
      <c r="F79" s="476">
        <v>104.01700318809777</v>
      </c>
      <c r="G79" s="476">
        <v>363</v>
      </c>
      <c r="H79" s="476">
        <v>4894</v>
      </c>
      <c r="I79" s="477">
        <f>H79*F$114</f>
        <v>2459.0148840506968</v>
      </c>
      <c r="J79" s="476">
        <v>0</v>
      </c>
      <c r="K79" s="16">
        <f>(H79+I79)-J79</f>
        <v>7353.0148840506972</v>
      </c>
    </row>
    <row r="80" spans="1:11" ht="18" customHeight="1">
      <c r="A80" s="5" t="s">
        <v>110</v>
      </c>
      <c r="B80" s="341" t="s">
        <v>56</v>
      </c>
      <c r="F80" s="476">
        <v>0</v>
      </c>
      <c r="G80" s="14"/>
      <c r="H80" s="15"/>
      <c r="I80" s="50">
        <v>0</v>
      </c>
      <c r="J80" s="15"/>
      <c r="K80" s="16">
        <f>(H80+I80)-J80</f>
        <v>0</v>
      </c>
    </row>
    <row r="81" spans="1:11" ht="18" customHeight="1">
      <c r="A81" s="5"/>
      <c r="K81" s="40"/>
    </row>
    <row r="82" spans="1:11" ht="18" customHeight="1">
      <c r="A82" s="5" t="s">
        <v>148</v>
      </c>
      <c r="B82" s="2" t="s">
        <v>149</v>
      </c>
      <c r="E82" s="2" t="s">
        <v>7</v>
      </c>
      <c r="F82" s="21">
        <f t="shared" ref="F82:K82" si="10">SUM(F77:F80)</f>
        <v>337.81083953241233</v>
      </c>
      <c r="G82" s="21">
        <f t="shared" si="10"/>
        <v>863</v>
      </c>
      <c r="H82" s="17">
        <f t="shared" si="10"/>
        <v>15894</v>
      </c>
      <c r="I82" s="17">
        <f t="shared" si="10"/>
        <v>7986.0201403967658</v>
      </c>
      <c r="J82" s="17">
        <f t="shared" si="10"/>
        <v>0</v>
      </c>
      <c r="K82" s="17">
        <f t="shared" si="10"/>
        <v>23880.020140396766</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476">
        <v>0</v>
      </c>
      <c r="G86" s="14"/>
      <c r="H86" s="15"/>
      <c r="I86" s="50">
        <f t="shared" ref="I86:I96" si="11">H86*F$114</f>
        <v>0</v>
      </c>
      <c r="J86" s="15"/>
      <c r="K86" s="16">
        <f t="shared" ref="K86:K96" si="12">(H86+I86)-J86</f>
        <v>0</v>
      </c>
    </row>
    <row r="87" spans="1:11" ht="18" customHeight="1">
      <c r="A87" s="5" t="s">
        <v>114</v>
      </c>
      <c r="B87" s="341" t="s">
        <v>14</v>
      </c>
      <c r="F87" s="476">
        <v>0</v>
      </c>
      <c r="G87" s="14"/>
      <c r="H87" s="15"/>
      <c r="I87" s="50">
        <f t="shared" si="11"/>
        <v>0</v>
      </c>
      <c r="J87" s="15"/>
      <c r="K87" s="16">
        <f t="shared" si="12"/>
        <v>0</v>
      </c>
    </row>
    <row r="88" spans="1:11" ht="18" customHeight="1">
      <c r="A88" s="5" t="s">
        <v>115</v>
      </c>
      <c r="B88" s="341" t="s">
        <v>116</v>
      </c>
      <c r="F88" s="476">
        <v>0</v>
      </c>
      <c r="G88" s="14"/>
      <c r="H88" s="15"/>
      <c r="I88" s="50">
        <f t="shared" si="11"/>
        <v>0</v>
      </c>
      <c r="J88" s="15"/>
      <c r="K88" s="16">
        <f t="shared" si="12"/>
        <v>0</v>
      </c>
    </row>
    <row r="89" spans="1:11" ht="18" customHeight="1">
      <c r="A89" s="5" t="s">
        <v>117</v>
      </c>
      <c r="B89" s="341" t="s">
        <v>58</v>
      </c>
      <c r="F89" s="476">
        <v>0</v>
      </c>
      <c r="G89" s="14"/>
      <c r="H89" s="15"/>
      <c r="I89" s="50">
        <f t="shared" si="11"/>
        <v>0</v>
      </c>
      <c r="J89" s="15"/>
      <c r="K89" s="16">
        <f t="shared" si="12"/>
        <v>0</v>
      </c>
    </row>
    <row r="90" spans="1:11" ht="18" customHeight="1">
      <c r="A90" s="5" t="s">
        <v>118</v>
      </c>
      <c r="B90" s="641" t="s">
        <v>59</v>
      </c>
      <c r="C90" s="649"/>
      <c r="F90" s="476">
        <v>0</v>
      </c>
      <c r="G90" s="14"/>
      <c r="H90" s="15"/>
      <c r="I90" s="50">
        <f t="shared" si="11"/>
        <v>0</v>
      </c>
      <c r="J90" s="15"/>
      <c r="K90" s="16">
        <f t="shared" si="12"/>
        <v>0</v>
      </c>
    </row>
    <row r="91" spans="1:11" ht="18" customHeight="1">
      <c r="A91" s="5" t="s">
        <v>119</v>
      </c>
      <c r="B91" s="341" t="s">
        <v>60</v>
      </c>
      <c r="F91" s="476">
        <v>135.85547290116898</v>
      </c>
      <c r="G91" s="476">
        <v>1162</v>
      </c>
      <c r="H91" s="476">
        <v>6392</v>
      </c>
      <c r="I91" s="477">
        <f>H91*F$114</f>
        <v>3211.6925089603706</v>
      </c>
      <c r="J91" s="476">
        <v>0</v>
      </c>
      <c r="K91" s="16">
        <f t="shared" si="12"/>
        <v>9603.6925089603701</v>
      </c>
    </row>
    <row r="92" spans="1:11" ht="18" customHeight="1">
      <c r="A92" s="5" t="s">
        <v>120</v>
      </c>
      <c r="B92" s="341" t="s">
        <v>121</v>
      </c>
      <c r="F92" s="476">
        <v>0</v>
      </c>
      <c r="G92" s="38"/>
      <c r="H92" s="39"/>
      <c r="I92" s="50">
        <f t="shared" si="11"/>
        <v>0</v>
      </c>
      <c r="J92" s="39"/>
      <c r="K92" s="16">
        <f t="shared" si="12"/>
        <v>0</v>
      </c>
    </row>
    <row r="93" spans="1:11" ht="18" customHeight="1">
      <c r="A93" s="5" t="s">
        <v>122</v>
      </c>
      <c r="B93" s="341" t="s">
        <v>123</v>
      </c>
      <c r="F93" s="476">
        <v>0</v>
      </c>
      <c r="G93" s="14"/>
      <c r="H93" s="15"/>
      <c r="I93" s="50">
        <f t="shared" si="11"/>
        <v>0</v>
      </c>
      <c r="J93" s="15"/>
      <c r="K93" s="16">
        <f t="shared" si="12"/>
        <v>0</v>
      </c>
    </row>
    <row r="94" spans="1:11" ht="18" customHeight="1">
      <c r="A94" s="5" t="s">
        <v>124</v>
      </c>
      <c r="B94" s="642"/>
      <c r="C94" s="643"/>
      <c r="D94" s="644"/>
      <c r="F94" s="476">
        <v>0</v>
      </c>
      <c r="G94" s="14"/>
      <c r="H94" s="15"/>
      <c r="I94" s="50">
        <f t="shared" si="11"/>
        <v>0</v>
      </c>
      <c r="J94" s="15"/>
      <c r="K94" s="16">
        <f t="shared" si="12"/>
        <v>0</v>
      </c>
    </row>
    <row r="95" spans="1:11" ht="18" customHeight="1">
      <c r="A95" s="5" t="s">
        <v>125</v>
      </c>
      <c r="B95" s="642"/>
      <c r="C95" s="643"/>
      <c r="D95" s="644"/>
      <c r="F95" s="14"/>
      <c r="G95" s="14"/>
      <c r="H95" s="15"/>
      <c r="I95" s="50">
        <f t="shared" si="11"/>
        <v>0</v>
      </c>
      <c r="J95" s="15"/>
      <c r="K95" s="16">
        <f t="shared" si="12"/>
        <v>0</v>
      </c>
    </row>
    <row r="96" spans="1:11" ht="18" customHeight="1">
      <c r="A96" s="5" t="s">
        <v>126</v>
      </c>
      <c r="B96" s="642"/>
      <c r="C96" s="643"/>
      <c r="D96" s="644"/>
      <c r="F96" s="14"/>
      <c r="G96" s="14"/>
      <c r="H96" s="15"/>
      <c r="I96" s="50">
        <f t="shared" si="11"/>
        <v>0</v>
      </c>
      <c r="J96" s="15"/>
      <c r="K96" s="16">
        <f t="shared" si="12"/>
        <v>0</v>
      </c>
    </row>
    <row r="97" spans="1:11" ht="18" customHeight="1">
      <c r="A97" s="5"/>
      <c r="B97" s="341"/>
    </row>
    <row r="98" spans="1:11" ht="18" customHeight="1">
      <c r="A98" s="6" t="s">
        <v>150</v>
      </c>
      <c r="B98" s="2" t="s">
        <v>151</v>
      </c>
      <c r="E98" s="2" t="s">
        <v>7</v>
      </c>
      <c r="F98" s="18">
        <f t="shared" ref="F98:K98" si="13">SUM(F86:F96)</f>
        <v>135.85547290116898</v>
      </c>
      <c r="G98" s="18">
        <f t="shared" si="13"/>
        <v>1162</v>
      </c>
      <c r="H98" s="18">
        <f t="shared" si="13"/>
        <v>6392</v>
      </c>
      <c r="I98" s="18">
        <f t="shared" si="13"/>
        <v>3211.6925089603706</v>
      </c>
      <c r="J98" s="18">
        <f t="shared" si="13"/>
        <v>0</v>
      </c>
      <c r="K98" s="18">
        <f t="shared" si="13"/>
        <v>9603.6925089603701</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476">
        <v>0</v>
      </c>
      <c r="G102" s="14"/>
      <c r="H102" s="15"/>
      <c r="I102" s="50">
        <f>H102*F$114</f>
        <v>0</v>
      </c>
      <c r="J102" s="15"/>
      <c r="K102" s="16">
        <f>(H102+I102)-J102</f>
        <v>0</v>
      </c>
    </row>
    <row r="103" spans="1:11" ht="18" customHeight="1">
      <c r="A103" s="5" t="s">
        <v>132</v>
      </c>
      <c r="B103" s="641" t="s">
        <v>62</v>
      </c>
      <c r="C103" s="641"/>
      <c r="F103" s="476">
        <v>0</v>
      </c>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4">SUM(F102:F106)</f>
        <v>0</v>
      </c>
      <c r="G108" s="18">
        <f t="shared" si="14"/>
        <v>0</v>
      </c>
      <c r="H108" s="16">
        <f t="shared" si="14"/>
        <v>0</v>
      </c>
      <c r="I108" s="16">
        <f t="shared" si="14"/>
        <v>0</v>
      </c>
      <c r="J108" s="16">
        <f t="shared" si="14"/>
        <v>0</v>
      </c>
      <c r="K108" s="16">
        <f t="shared" si="14"/>
        <v>0</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7375768.9299999997</v>
      </c>
    </row>
    <row r="112" spans="1:11" ht="18" customHeight="1">
      <c r="B112" s="2"/>
      <c r="E112" s="2"/>
      <c r="F112" s="22"/>
    </row>
    <row r="113" spans="1:6" ht="18" customHeight="1">
      <c r="A113" s="6"/>
      <c r="B113" s="2" t="s">
        <v>15</v>
      </c>
    </row>
    <row r="114" spans="1:6" ht="18" customHeight="1">
      <c r="A114" s="5" t="s">
        <v>171</v>
      </c>
      <c r="B114" s="341" t="s">
        <v>35</v>
      </c>
      <c r="F114" s="25">
        <v>0.50245502330418812</v>
      </c>
    </row>
    <row r="115" spans="1:6" ht="18" customHeight="1">
      <c r="A115" s="5"/>
      <c r="B115" s="2"/>
    </row>
    <row r="116" spans="1:6" ht="18" customHeight="1">
      <c r="A116" s="5" t="s">
        <v>170</v>
      </c>
      <c r="B116" s="2" t="s">
        <v>16</v>
      </c>
    </row>
    <row r="117" spans="1:6" ht="18" customHeight="1">
      <c r="A117" s="5" t="s">
        <v>172</v>
      </c>
      <c r="B117" s="341" t="s">
        <v>17</v>
      </c>
      <c r="F117" s="15">
        <v>299059000</v>
      </c>
    </row>
    <row r="118" spans="1:6" ht="18" customHeight="1">
      <c r="A118" s="5" t="s">
        <v>173</v>
      </c>
      <c r="B118" t="s">
        <v>18</v>
      </c>
      <c r="F118" s="15">
        <v>3156000</v>
      </c>
    </row>
    <row r="119" spans="1:6" ht="18" customHeight="1">
      <c r="A119" s="5" t="s">
        <v>174</v>
      </c>
      <c r="B119" s="2" t="s">
        <v>19</v>
      </c>
      <c r="F119" s="17">
        <f>SUM(F117:F118)</f>
        <v>302215000</v>
      </c>
    </row>
    <row r="120" spans="1:6" ht="18" customHeight="1">
      <c r="A120" s="5"/>
      <c r="B120" s="2"/>
    </row>
    <row r="121" spans="1:6" ht="18" customHeight="1">
      <c r="A121" s="5" t="s">
        <v>167</v>
      </c>
      <c r="B121" s="2" t="s">
        <v>36</v>
      </c>
      <c r="F121" s="15">
        <v>310933000</v>
      </c>
    </row>
    <row r="122" spans="1:6" ht="18" customHeight="1">
      <c r="A122" s="5"/>
    </row>
    <row r="123" spans="1:6" ht="18" customHeight="1">
      <c r="A123" s="5" t="s">
        <v>175</v>
      </c>
      <c r="B123" s="2" t="s">
        <v>20</v>
      </c>
      <c r="F123" s="475">
        <f>F119-F121</f>
        <v>-8718000</v>
      </c>
    </row>
    <row r="124" spans="1:6" ht="18" customHeight="1">
      <c r="A124" s="5"/>
    </row>
    <row r="125" spans="1:6" ht="18" customHeight="1">
      <c r="A125" s="5" t="s">
        <v>176</v>
      </c>
      <c r="B125" s="2" t="s">
        <v>21</v>
      </c>
      <c r="F125" s="15">
        <v>-5413000</v>
      </c>
    </row>
    <row r="126" spans="1:6" ht="18" customHeight="1">
      <c r="A126" s="5"/>
    </row>
    <row r="127" spans="1:6" ht="18" customHeight="1">
      <c r="A127" s="5" t="s">
        <v>177</v>
      </c>
      <c r="B127" s="2" t="s">
        <v>22</v>
      </c>
      <c r="F127" s="15">
        <f>F119-F121+F125</f>
        <v>-14131000</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5">SUM(F131:F135)</f>
        <v>0</v>
      </c>
      <c r="G137" s="18">
        <f t="shared" si="15"/>
        <v>0</v>
      </c>
      <c r="H137" s="16">
        <f t="shared" si="15"/>
        <v>0</v>
      </c>
      <c r="I137" s="16">
        <f t="shared" si="15"/>
        <v>0</v>
      </c>
      <c r="J137" s="16">
        <f t="shared" si="15"/>
        <v>0</v>
      </c>
      <c r="K137" s="16">
        <f t="shared" si="15"/>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6">F36</f>
        <v>12317.385759829969</v>
      </c>
      <c r="G141" s="41">
        <f t="shared" si="16"/>
        <v>26275</v>
      </c>
      <c r="H141" s="41">
        <f t="shared" si="16"/>
        <v>2591331.379999999</v>
      </c>
      <c r="I141" s="41">
        <f t="shared" si="16"/>
        <v>1302027.4689267734</v>
      </c>
      <c r="J141" s="41">
        <f t="shared" si="16"/>
        <v>1390531.2200000007</v>
      </c>
      <c r="K141" s="41">
        <f t="shared" si="16"/>
        <v>2502827.6289267712</v>
      </c>
    </row>
    <row r="142" spans="1:11" ht="18" customHeight="1">
      <c r="A142" s="5" t="s">
        <v>142</v>
      </c>
      <c r="B142" s="2" t="s">
        <v>65</v>
      </c>
      <c r="F142" s="41">
        <f t="shared" ref="F142:K142" si="17">F49</f>
        <v>30892.157279489908</v>
      </c>
      <c r="G142" s="41">
        <f t="shared" si="17"/>
        <v>1171</v>
      </c>
      <c r="H142" s="41">
        <f t="shared" si="17"/>
        <v>1453476</v>
      </c>
      <c r="I142" s="41">
        <f t="shared" si="17"/>
        <v>730306.3174520781</v>
      </c>
      <c r="J142" s="41">
        <f t="shared" si="17"/>
        <v>0</v>
      </c>
      <c r="K142" s="41">
        <f t="shared" si="17"/>
        <v>2183782.3174520782</v>
      </c>
    </row>
    <row r="143" spans="1:11" ht="18" customHeight="1">
      <c r="A143" s="5" t="s">
        <v>144</v>
      </c>
      <c r="B143" s="2" t="s">
        <v>66</v>
      </c>
      <c r="F143" s="41">
        <f t="shared" ref="F143:K143" si="18">F64</f>
        <v>91288.1943947525</v>
      </c>
      <c r="G143" s="41">
        <f t="shared" si="18"/>
        <v>0</v>
      </c>
      <c r="H143" s="41">
        <f t="shared" si="18"/>
        <v>14484765.4</v>
      </c>
      <c r="I143" s="41">
        <f t="shared" si="18"/>
        <v>7277943.1366126984</v>
      </c>
      <c r="J143" s="41">
        <f t="shared" si="18"/>
        <v>0</v>
      </c>
      <c r="K143" s="41">
        <f t="shared" si="18"/>
        <v>21762708.536612697</v>
      </c>
    </row>
    <row r="144" spans="1:11" ht="18" customHeight="1">
      <c r="A144" s="5" t="s">
        <v>146</v>
      </c>
      <c r="B144" s="2" t="s">
        <v>67</v>
      </c>
      <c r="F144" s="41">
        <f t="shared" ref="F144:K144" si="19">F74</f>
        <v>4617.4920297555791</v>
      </c>
      <c r="G144" s="41">
        <f t="shared" si="19"/>
        <v>0</v>
      </c>
      <c r="H144" s="41">
        <f t="shared" si="19"/>
        <v>541280.5</v>
      </c>
      <c r="I144" s="41">
        <f t="shared" si="19"/>
        <v>271969.10624160263</v>
      </c>
      <c r="J144" s="41">
        <f t="shared" si="19"/>
        <v>191424.06</v>
      </c>
      <c r="K144" s="41">
        <f t="shared" si="19"/>
        <v>621825.54624160263</v>
      </c>
    </row>
    <row r="145" spans="1:11" ht="18" customHeight="1">
      <c r="A145" s="5" t="s">
        <v>148</v>
      </c>
      <c r="B145" s="2" t="s">
        <v>68</v>
      </c>
      <c r="F145" s="41">
        <f t="shared" ref="F145:K145" si="20">F82</f>
        <v>337.81083953241233</v>
      </c>
      <c r="G145" s="41">
        <f t="shared" si="20"/>
        <v>863</v>
      </c>
      <c r="H145" s="41">
        <f t="shared" si="20"/>
        <v>15894</v>
      </c>
      <c r="I145" s="41">
        <f t="shared" si="20"/>
        <v>7986.0201403967658</v>
      </c>
      <c r="J145" s="41">
        <f t="shared" si="20"/>
        <v>0</v>
      </c>
      <c r="K145" s="41">
        <f t="shared" si="20"/>
        <v>23880.020140396766</v>
      </c>
    </row>
    <row r="146" spans="1:11" ht="18" customHeight="1">
      <c r="A146" s="5" t="s">
        <v>150</v>
      </c>
      <c r="B146" s="2" t="s">
        <v>69</v>
      </c>
      <c r="F146" s="41">
        <f t="shared" ref="F146:K146" si="21">F98</f>
        <v>135.85547290116898</v>
      </c>
      <c r="G146" s="41">
        <f t="shared" si="21"/>
        <v>1162</v>
      </c>
      <c r="H146" s="41">
        <f t="shared" si="21"/>
        <v>6392</v>
      </c>
      <c r="I146" s="41">
        <f t="shared" si="21"/>
        <v>3211.6925089603706</v>
      </c>
      <c r="J146" s="41">
        <f t="shared" si="21"/>
        <v>0</v>
      </c>
      <c r="K146" s="41">
        <f t="shared" si="21"/>
        <v>9603.6925089603701</v>
      </c>
    </row>
    <row r="147" spans="1:11" ht="18" customHeight="1">
      <c r="A147" s="5" t="s">
        <v>153</v>
      </c>
      <c r="B147" s="2" t="s">
        <v>61</v>
      </c>
      <c r="F147" s="18">
        <f t="shared" ref="F147:K147" si="22">F108</f>
        <v>0</v>
      </c>
      <c r="G147" s="18">
        <f t="shared" si="22"/>
        <v>0</v>
      </c>
      <c r="H147" s="18">
        <f t="shared" si="22"/>
        <v>0</v>
      </c>
      <c r="I147" s="18">
        <f t="shared" si="22"/>
        <v>0</v>
      </c>
      <c r="J147" s="18">
        <f t="shared" si="22"/>
        <v>0</v>
      </c>
      <c r="K147" s="18">
        <f t="shared" si="22"/>
        <v>0</v>
      </c>
    </row>
    <row r="148" spans="1:11" ht="18" customHeight="1">
      <c r="A148" s="5" t="s">
        <v>155</v>
      </c>
      <c r="B148" s="2" t="s">
        <v>70</v>
      </c>
      <c r="F148" s="42" t="s">
        <v>73</v>
      </c>
      <c r="G148" s="42" t="s">
        <v>73</v>
      </c>
      <c r="H148" s="43" t="s">
        <v>73</v>
      </c>
      <c r="I148" s="43" t="s">
        <v>73</v>
      </c>
      <c r="J148" s="43" t="s">
        <v>73</v>
      </c>
      <c r="K148" s="37">
        <f>F111</f>
        <v>7375768.9299999997</v>
      </c>
    </row>
    <row r="149" spans="1:11" ht="18" customHeight="1">
      <c r="A149" s="5" t="s">
        <v>163</v>
      </c>
      <c r="B149" s="2" t="s">
        <v>71</v>
      </c>
      <c r="F149" s="18">
        <f t="shared" ref="F149:K149" si="23">F137</f>
        <v>0</v>
      </c>
      <c r="G149" s="18">
        <f t="shared" si="23"/>
        <v>0</v>
      </c>
      <c r="H149" s="18">
        <f t="shared" si="23"/>
        <v>0</v>
      </c>
      <c r="I149" s="18">
        <f t="shared" si="23"/>
        <v>0</v>
      </c>
      <c r="J149" s="18">
        <f t="shared" si="23"/>
        <v>0</v>
      </c>
      <c r="K149" s="18">
        <f t="shared" si="23"/>
        <v>0</v>
      </c>
    </row>
    <row r="150" spans="1:11" ht="18" customHeight="1">
      <c r="A150" s="5" t="s">
        <v>185</v>
      </c>
      <c r="B150" s="2" t="s">
        <v>186</v>
      </c>
      <c r="F150" s="42" t="s">
        <v>73</v>
      </c>
      <c r="G150" s="42" t="s">
        <v>73</v>
      </c>
      <c r="H150" s="18">
        <f>H18</f>
        <v>8195226.5778723592</v>
      </c>
      <c r="I150" s="18">
        <f>I18</f>
        <v>0</v>
      </c>
      <c r="J150" s="18">
        <f>J18</f>
        <v>7007943.3980720993</v>
      </c>
      <c r="K150" s="18">
        <f>K18</f>
        <v>1187283.1798002599</v>
      </c>
    </row>
    <row r="151" spans="1:11" ht="18" customHeight="1">
      <c r="B151" s="2"/>
      <c r="F151" s="48"/>
      <c r="G151" s="48"/>
      <c r="H151" s="48"/>
      <c r="I151" s="48"/>
      <c r="J151" s="48"/>
      <c r="K151" s="48"/>
    </row>
    <row r="152" spans="1:11" ht="18" customHeight="1">
      <c r="A152" s="6" t="s">
        <v>165</v>
      </c>
      <c r="B152" s="2" t="s">
        <v>26</v>
      </c>
      <c r="F152" s="49">
        <f t="shared" ref="F152:K152" si="24">SUM(F141:F150)</f>
        <v>139588.89577626152</v>
      </c>
      <c r="G152" s="49">
        <f t="shared" si="24"/>
        <v>29471</v>
      </c>
      <c r="H152" s="49">
        <f t="shared" si="24"/>
        <v>27288365.857872359</v>
      </c>
      <c r="I152" s="49">
        <f t="shared" si="24"/>
        <v>9593443.7418825086</v>
      </c>
      <c r="J152" s="49">
        <f t="shared" si="24"/>
        <v>8589898.6780721005</v>
      </c>
      <c r="K152" s="49">
        <f t="shared" si="24"/>
        <v>35667679.851682767</v>
      </c>
    </row>
    <row r="154" spans="1:11" ht="18" customHeight="1">
      <c r="A154" s="6" t="s">
        <v>168</v>
      </c>
      <c r="B154" s="2" t="s">
        <v>28</v>
      </c>
      <c r="F154" s="64">
        <f>K152/F121</f>
        <v>0.11471178630664088</v>
      </c>
    </row>
    <row r="155" spans="1:11" ht="18" customHeight="1">
      <c r="A155" s="6" t="s">
        <v>169</v>
      </c>
      <c r="B155" s="2" t="s">
        <v>72</v>
      </c>
      <c r="F155" s="64">
        <f>K152/F127</f>
        <v>-2.5240733034946405</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300" verticalDpi="300"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91" zoomScale="70" zoomScaleNormal="50" zoomScaleSheetLayoutView="70" workbookViewId="0">
      <selection activeCell="F108" sqref="F108"/>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893</v>
      </c>
      <c r="D5" s="654"/>
      <c r="E5" s="654"/>
      <c r="F5" s="654"/>
      <c r="G5" s="655"/>
    </row>
    <row r="6" spans="1:11" ht="18" customHeight="1">
      <c r="B6" s="5" t="s">
        <v>3</v>
      </c>
      <c r="C6" s="671">
        <v>210058</v>
      </c>
      <c r="D6" s="657"/>
      <c r="E6" s="657"/>
      <c r="F6" s="657"/>
      <c r="G6" s="658"/>
    </row>
    <row r="7" spans="1:11" ht="18" customHeight="1">
      <c r="B7" s="5" t="s">
        <v>4</v>
      </c>
      <c r="C7" s="659">
        <v>686</v>
      </c>
      <c r="D7" s="660"/>
      <c r="E7" s="660"/>
      <c r="F7" s="660"/>
      <c r="G7" s="661"/>
    </row>
    <row r="9" spans="1:11" ht="18" customHeight="1">
      <c r="B9" s="5" t="s">
        <v>1</v>
      </c>
      <c r="C9" s="670" t="s">
        <v>881</v>
      </c>
      <c r="D9" s="654"/>
      <c r="E9" s="654"/>
      <c r="F9" s="654"/>
      <c r="G9" s="655"/>
    </row>
    <row r="10" spans="1:11" ht="18" customHeight="1">
      <c r="B10" s="5" t="s">
        <v>2</v>
      </c>
      <c r="C10" s="674" t="s">
        <v>882</v>
      </c>
      <c r="D10" s="663"/>
      <c r="E10" s="663"/>
      <c r="F10" s="663"/>
      <c r="G10" s="664"/>
    </row>
    <row r="11" spans="1:11" ht="18" customHeight="1">
      <c r="B11" s="5" t="s">
        <v>32</v>
      </c>
      <c r="C11" s="670" t="s">
        <v>883</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2"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v>3090444</v>
      </c>
      <c r="I18" s="50">
        <v>0</v>
      </c>
      <c r="J18" s="15">
        <v>2642716</v>
      </c>
      <c r="K18" s="16">
        <f>(H18+I18)-J18</f>
        <v>447728</v>
      </c>
    </row>
    <row r="19" spans="1:11" ht="45.2"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105</v>
      </c>
      <c r="G21" s="14">
        <v>625</v>
      </c>
      <c r="H21" s="15">
        <v>7017</v>
      </c>
      <c r="I21" s="50">
        <f t="shared" ref="I21:I34" si="0">H21*F$114</f>
        <v>2171.7615000000001</v>
      </c>
      <c r="J21" s="15"/>
      <c r="K21" s="16">
        <f t="shared" ref="K21:K34" si="1">(H21+I21)-J21</f>
        <v>9188.7615000000005</v>
      </c>
    </row>
    <row r="22" spans="1:11" ht="18" customHeight="1">
      <c r="A22" s="5" t="s">
        <v>76</v>
      </c>
      <c r="B22" t="s">
        <v>6</v>
      </c>
      <c r="F22" s="14">
        <v>1014</v>
      </c>
      <c r="G22" s="14">
        <v>1112</v>
      </c>
      <c r="H22" s="15">
        <v>63934</v>
      </c>
      <c r="I22" s="50">
        <f t="shared" si="0"/>
        <v>19787.573</v>
      </c>
      <c r="J22" s="15"/>
      <c r="K22" s="16">
        <f t="shared" si="1"/>
        <v>83721.573000000004</v>
      </c>
    </row>
    <row r="23" spans="1:11" ht="18" customHeight="1">
      <c r="A23" s="5" t="s">
        <v>77</v>
      </c>
      <c r="B23" t="s">
        <v>43</v>
      </c>
      <c r="F23" s="14"/>
      <c r="G23" s="14"/>
      <c r="H23" s="15"/>
      <c r="I23" s="50">
        <f t="shared" si="0"/>
        <v>0</v>
      </c>
      <c r="J23" s="15"/>
      <c r="K23" s="16">
        <f t="shared" si="1"/>
        <v>0</v>
      </c>
    </row>
    <row r="24" spans="1:11" ht="18" customHeight="1">
      <c r="A24" s="5" t="s">
        <v>78</v>
      </c>
      <c r="B24" t="s">
        <v>44</v>
      </c>
      <c r="F24" s="14"/>
      <c r="G24" s="14"/>
      <c r="H24" s="15"/>
      <c r="I24" s="50">
        <f t="shared" si="0"/>
        <v>0</v>
      </c>
      <c r="J24" s="15"/>
      <c r="K24" s="16">
        <f t="shared" si="1"/>
        <v>0</v>
      </c>
    </row>
    <row r="25" spans="1:11" ht="18" customHeight="1">
      <c r="A25" s="5" t="s">
        <v>79</v>
      </c>
      <c r="B25" t="s">
        <v>5</v>
      </c>
      <c r="F25" s="14"/>
      <c r="G25" s="14"/>
      <c r="H25" s="15"/>
      <c r="I25" s="50">
        <f t="shared" si="0"/>
        <v>0</v>
      </c>
      <c r="J25" s="15"/>
      <c r="K25" s="16">
        <f t="shared" si="1"/>
        <v>0</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c r="G29" s="14"/>
      <c r="H29" s="15"/>
      <c r="I29" s="50">
        <f t="shared" si="0"/>
        <v>0</v>
      </c>
      <c r="J29" s="15"/>
      <c r="K29" s="16">
        <f t="shared" si="1"/>
        <v>0</v>
      </c>
    </row>
    <row r="30" spans="1:11" ht="18" customHeight="1">
      <c r="A30" s="5" t="s">
        <v>84</v>
      </c>
      <c r="B30" s="636" t="s">
        <v>884</v>
      </c>
      <c r="C30" s="637"/>
      <c r="D30" s="638"/>
      <c r="F30" s="14">
        <v>2</v>
      </c>
      <c r="G30" s="14">
        <v>600</v>
      </c>
      <c r="H30" s="15">
        <v>400</v>
      </c>
      <c r="I30" s="50">
        <f t="shared" si="0"/>
        <v>123.8</v>
      </c>
      <c r="J30" s="15"/>
      <c r="K30" s="16">
        <f t="shared" si="1"/>
        <v>523.79999999999995</v>
      </c>
    </row>
    <row r="31" spans="1:11" ht="18" customHeight="1">
      <c r="A31" s="5" t="s">
        <v>133</v>
      </c>
      <c r="B31" s="636" t="s">
        <v>885</v>
      </c>
      <c r="C31" s="637"/>
      <c r="D31" s="638"/>
      <c r="F31" s="14">
        <v>16</v>
      </c>
      <c r="G31" s="14">
        <v>77</v>
      </c>
      <c r="H31" s="15">
        <v>696</v>
      </c>
      <c r="I31" s="50">
        <f t="shared" si="0"/>
        <v>215.41200000000001</v>
      </c>
      <c r="J31" s="15"/>
      <c r="K31" s="16">
        <f t="shared" si="1"/>
        <v>911.41200000000003</v>
      </c>
    </row>
    <row r="32" spans="1:11" ht="18" customHeight="1">
      <c r="A32" s="5" t="s">
        <v>134</v>
      </c>
      <c r="B32" s="363"/>
      <c r="C32" s="364"/>
      <c r="D32" s="365"/>
      <c r="F32" s="14"/>
      <c r="G32" s="342"/>
      <c r="H32" s="15"/>
      <c r="I32" s="50">
        <f t="shared" si="0"/>
        <v>0</v>
      </c>
      <c r="J32" s="15"/>
      <c r="K32" s="16">
        <f t="shared" si="1"/>
        <v>0</v>
      </c>
    </row>
    <row r="33" spans="1:11" ht="18" customHeight="1">
      <c r="A33" s="5" t="s">
        <v>135</v>
      </c>
      <c r="B33" s="363"/>
      <c r="C33" s="364"/>
      <c r="D33" s="365"/>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1137</v>
      </c>
      <c r="G36" s="18">
        <f t="shared" si="2"/>
        <v>2414</v>
      </c>
      <c r="H36" s="18">
        <f t="shared" si="2"/>
        <v>72047</v>
      </c>
      <c r="I36" s="16">
        <f t="shared" si="2"/>
        <v>22298.5465</v>
      </c>
      <c r="J36" s="16">
        <f t="shared" si="2"/>
        <v>0</v>
      </c>
      <c r="K36" s="16">
        <f t="shared" si="2"/>
        <v>94345.546499999997</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50646</v>
      </c>
      <c r="G40" s="14">
        <v>7</v>
      </c>
      <c r="H40" s="15">
        <v>3772349.84</v>
      </c>
      <c r="I40" s="50">
        <f>H40*F$114</f>
        <v>1167542.2754799998</v>
      </c>
      <c r="J40" s="15"/>
      <c r="K40" s="16">
        <f t="shared" ref="K40:K47" si="3">(H40+I40)-J40</f>
        <v>4939892.1154800002</v>
      </c>
    </row>
    <row r="41" spans="1:11" ht="18" customHeight="1">
      <c r="A41" s="5" t="s">
        <v>88</v>
      </c>
      <c r="B41" s="641" t="s">
        <v>50</v>
      </c>
      <c r="C41" s="649"/>
      <c r="F41" s="14">
        <v>16288</v>
      </c>
      <c r="G41" s="14">
        <v>394</v>
      </c>
      <c r="H41" s="15">
        <v>1015795</v>
      </c>
      <c r="I41" s="50">
        <f t="shared" ref="I41:I47" si="4">H41*F$114</f>
        <v>314388.55249999999</v>
      </c>
      <c r="J41" s="15"/>
      <c r="K41" s="16">
        <f t="shared" si="3"/>
        <v>1330183.5525</v>
      </c>
    </row>
    <row r="42" spans="1:11" ht="18" customHeight="1">
      <c r="A42" s="5" t="s">
        <v>89</v>
      </c>
      <c r="B42" s="341" t="s">
        <v>11</v>
      </c>
      <c r="F42" s="14">
        <v>31211</v>
      </c>
      <c r="G42" s="14">
        <v>384</v>
      </c>
      <c r="H42" s="15">
        <v>2218774</v>
      </c>
      <c r="I42" s="50">
        <f t="shared" si="4"/>
        <v>686710.55299999996</v>
      </c>
      <c r="J42" s="15"/>
      <c r="K42" s="16">
        <f t="shared" si="3"/>
        <v>2905484.5529999998</v>
      </c>
    </row>
    <row r="43" spans="1:11" ht="18" customHeight="1">
      <c r="A43" s="5" t="s">
        <v>90</v>
      </c>
      <c r="B43" s="343" t="s">
        <v>10</v>
      </c>
      <c r="C43" s="10"/>
      <c r="D43" s="10"/>
      <c r="F43" s="14"/>
      <c r="G43" s="14"/>
      <c r="H43" s="15"/>
      <c r="I43" s="50">
        <f t="shared" si="4"/>
        <v>0</v>
      </c>
      <c r="J43" s="15"/>
      <c r="K43" s="16">
        <f t="shared" si="3"/>
        <v>0</v>
      </c>
    </row>
    <row r="44" spans="1:11" ht="18" customHeight="1">
      <c r="A44" s="5" t="s">
        <v>91</v>
      </c>
      <c r="B44" s="636" t="s">
        <v>886</v>
      </c>
      <c r="C44" s="637"/>
      <c r="D44" s="638"/>
      <c r="F44" s="54">
        <v>144</v>
      </c>
      <c r="G44" s="54">
        <v>4</v>
      </c>
      <c r="H44" s="54">
        <v>6275</v>
      </c>
      <c r="I44" s="50">
        <f t="shared" si="4"/>
        <v>1942.1125</v>
      </c>
      <c r="J44" s="54"/>
      <c r="K44" s="56">
        <f t="shared" si="3"/>
        <v>8217.1124999999993</v>
      </c>
    </row>
    <row r="45" spans="1:11" ht="18" customHeight="1">
      <c r="A45" s="5" t="s">
        <v>139</v>
      </c>
      <c r="B45" s="636"/>
      <c r="C45" s="637"/>
      <c r="D45" s="638"/>
      <c r="F45" s="14"/>
      <c r="G45" s="14"/>
      <c r="H45" s="15"/>
      <c r="I45" s="50">
        <f t="shared" si="4"/>
        <v>0</v>
      </c>
      <c r="J45" s="15"/>
      <c r="K45" s="16">
        <f t="shared" si="3"/>
        <v>0</v>
      </c>
    </row>
    <row r="46" spans="1:11" ht="18" customHeight="1">
      <c r="A46" s="5" t="s">
        <v>140</v>
      </c>
      <c r="B46" s="636"/>
      <c r="C46" s="637"/>
      <c r="D46" s="638"/>
      <c r="F46" s="14"/>
      <c r="G46" s="14"/>
      <c r="H46" s="15"/>
      <c r="I46" s="50">
        <f t="shared" si="4"/>
        <v>0</v>
      </c>
      <c r="J46" s="15"/>
      <c r="K46" s="16">
        <f t="shared" si="3"/>
        <v>0</v>
      </c>
    </row>
    <row r="47" spans="1:11" ht="18" customHeight="1">
      <c r="A47" s="5" t="s">
        <v>141</v>
      </c>
      <c r="B47" s="636"/>
      <c r="C47" s="637"/>
      <c r="D47" s="638"/>
      <c r="F47" s="14"/>
      <c r="G47" s="14"/>
      <c r="H47" s="15"/>
      <c r="I47" s="50">
        <f t="shared" si="4"/>
        <v>0</v>
      </c>
      <c r="J47" s="15"/>
      <c r="K47" s="16">
        <f t="shared" si="3"/>
        <v>0</v>
      </c>
    </row>
    <row r="49" spans="1:11" ht="18" customHeight="1">
      <c r="A49" s="6" t="s">
        <v>142</v>
      </c>
      <c r="B49" s="2" t="s">
        <v>143</v>
      </c>
      <c r="E49" s="2" t="s">
        <v>7</v>
      </c>
      <c r="F49" s="23">
        <f t="shared" ref="F49:K49" si="5">SUM(F40:F47)</f>
        <v>98289</v>
      </c>
      <c r="G49" s="23">
        <f t="shared" si="5"/>
        <v>789</v>
      </c>
      <c r="H49" s="16">
        <f t="shared" si="5"/>
        <v>7013193.8399999999</v>
      </c>
      <c r="I49" s="16">
        <f t="shared" si="5"/>
        <v>2170583.4934799997</v>
      </c>
      <c r="J49" s="16">
        <f t="shared" si="5"/>
        <v>0</v>
      </c>
      <c r="K49" s="16">
        <f t="shared" si="5"/>
        <v>9183777.3334800005</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887</v>
      </c>
      <c r="C53" s="648"/>
      <c r="D53" s="644"/>
      <c r="F53" s="14">
        <v>78</v>
      </c>
      <c r="G53" s="14">
        <v>210</v>
      </c>
      <c r="H53" s="15">
        <v>2919</v>
      </c>
      <c r="I53" s="50">
        <f>H53*F$114</f>
        <v>903.43049999999994</v>
      </c>
      <c r="J53" s="15"/>
      <c r="K53" s="16">
        <f t="shared" ref="K53:K62" si="6">(H53+I53)-J53</f>
        <v>3822.4304999999999</v>
      </c>
    </row>
    <row r="54" spans="1:11" ht="18" customHeight="1">
      <c r="A54" s="5" t="s">
        <v>93</v>
      </c>
      <c r="B54" s="360" t="s">
        <v>888</v>
      </c>
      <c r="C54" s="361"/>
      <c r="D54" s="362"/>
      <c r="F54" s="14">
        <v>475</v>
      </c>
      <c r="G54" s="14">
        <v>125</v>
      </c>
      <c r="H54" s="15">
        <v>26698</v>
      </c>
      <c r="I54" s="50">
        <f t="shared" ref="I54:I62" si="7">H54*F$114</f>
        <v>8263.030999999999</v>
      </c>
      <c r="J54" s="15">
        <v>5000</v>
      </c>
      <c r="K54" s="16">
        <f t="shared" si="6"/>
        <v>29961.031000000003</v>
      </c>
    </row>
    <row r="55" spans="1:11" ht="18" customHeight="1">
      <c r="A55" s="5" t="s">
        <v>94</v>
      </c>
      <c r="B55" s="360" t="s">
        <v>889</v>
      </c>
      <c r="C55" s="361"/>
      <c r="D55" s="362"/>
      <c r="F55" s="14">
        <v>5482.5</v>
      </c>
      <c r="G55" s="14">
        <v>4648</v>
      </c>
      <c r="H55" s="15">
        <v>128457</v>
      </c>
      <c r="I55" s="50">
        <f>H55</f>
        <v>128457</v>
      </c>
      <c r="J55" s="15">
        <f>116468-5000</f>
        <v>111468</v>
      </c>
      <c r="K55" s="16">
        <f t="shared" si="6"/>
        <v>145446</v>
      </c>
    </row>
    <row r="56" spans="1:11" ht="18" customHeight="1">
      <c r="A56" s="5" t="s">
        <v>95</v>
      </c>
      <c r="B56" s="360" t="s">
        <v>890</v>
      </c>
      <c r="C56" s="361"/>
      <c r="D56" s="362"/>
      <c r="F56" s="14">
        <v>40</v>
      </c>
      <c r="G56" s="14">
        <v>12</v>
      </c>
      <c r="H56" s="15">
        <v>1743</v>
      </c>
      <c r="I56" s="50">
        <f>H56</f>
        <v>1743</v>
      </c>
      <c r="J56" s="15"/>
      <c r="K56" s="16">
        <f t="shared" si="6"/>
        <v>3486</v>
      </c>
    </row>
    <row r="57" spans="1:11" ht="18" customHeight="1">
      <c r="A57" s="5" t="s">
        <v>96</v>
      </c>
      <c r="B57" s="360" t="s">
        <v>891</v>
      </c>
      <c r="C57" s="361"/>
      <c r="D57" s="362"/>
      <c r="F57" s="14">
        <v>168</v>
      </c>
      <c r="G57" s="14">
        <v>10</v>
      </c>
      <c r="H57" s="15">
        <v>32321</v>
      </c>
      <c r="I57" s="50">
        <f t="shared" si="7"/>
        <v>10003.3495</v>
      </c>
      <c r="J57" s="15"/>
      <c r="K57" s="16">
        <f t="shared" si="6"/>
        <v>42324.349499999997</v>
      </c>
    </row>
    <row r="58" spans="1:11" ht="18" customHeight="1">
      <c r="A58" s="5" t="s">
        <v>97</v>
      </c>
      <c r="B58" s="369" t="s">
        <v>892</v>
      </c>
      <c r="C58" s="361"/>
      <c r="D58" s="362"/>
      <c r="F58" s="14">
        <v>858</v>
      </c>
      <c r="G58" s="14">
        <v>12875</v>
      </c>
      <c r="H58" s="15">
        <v>130266</v>
      </c>
      <c r="I58" s="50">
        <f t="shared" si="7"/>
        <v>40317.326999999997</v>
      </c>
      <c r="J58" s="15"/>
      <c r="K58" s="16">
        <f t="shared" si="6"/>
        <v>170583.32699999999</v>
      </c>
    </row>
    <row r="59" spans="1:11" ht="18" customHeight="1">
      <c r="A59" s="5" t="s">
        <v>98</v>
      </c>
      <c r="B59" s="642"/>
      <c r="C59" s="643"/>
      <c r="D59" s="644"/>
      <c r="F59" s="14"/>
      <c r="G59" s="14"/>
      <c r="H59" s="15"/>
      <c r="I59" s="50">
        <f t="shared" si="7"/>
        <v>0</v>
      </c>
      <c r="J59" s="15"/>
      <c r="K59" s="16">
        <f t="shared" si="6"/>
        <v>0</v>
      </c>
    </row>
    <row r="60" spans="1:11" ht="18" customHeight="1">
      <c r="A60" s="5" t="s">
        <v>99</v>
      </c>
      <c r="B60" s="360"/>
      <c r="C60" s="361"/>
      <c r="D60" s="362"/>
      <c r="F60" s="14"/>
      <c r="G60" s="14"/>
      <c r="H60" s="15"/>
      <c r="I60" s="50">
        <f t="shared" si="7"/>
        <v>0</v>
      </c>
      <c r="J60" s="15"/>
      <c r="K60" s="16">
        <f t="shared" si="6"/>
        <v>0</v>
      </c>
    </row>
    <row r="61" spans="1:11" ht="18" customHeight="1">
      <c r="A61" s="5" t="s">
        <v>100</v>
      </c>
      <c r="B61" s="360"/>
      <c r="C61" s="361"/>
      <c r="D61" s="362"/>
      <c r="F61" s="14"/>
      <c r="G61" s="14"/>
      <c r="H61" s="15"/>
      <c r="I61" s="50">
        <f t="shared" si="7"/>
        <v>0</v>
      </c>
      <c r="J61" s="15"/>
      <c r="K61" s="16">
        <f t="shared" si="6"/>
        <v>0</v>
      </c>
    </row>
    <row r="62" spans="1:11" ht="18" customHeight="1">
      <c r="A62" s="5" t="s">
        <v>101</v>
      </c>
      <c r="B62" s="642"/>
      <c r="C62" s="643"/>
      <c r="D62" s="644"/>
      <c r="F62" s="14"/>
      <c r="G62" s="14"/>
      <c r="H62" s="15"/>
      <c r="I62" s="50">
        <f t="shared" si="7"/>
        <v>0</v>
      </c>
      <c r="J62" s="15"/>
      <c r="K62" s="16">
        <f t="shared" si="6"/>
        <v>0</v>
      </c>
    </row>
    <row r="63" spans="1:11" ht="18" customHeight="1">
      <c r="A63" s="5"/>
      <c r="I63" s="46"/>
    </row>
    <row r="64" spans="1:11" ht="18" customHeight="1">
      <c r="A64" s="5" t="s">
        <v>144</v>
      </c>
      <c r="B64" s="2" t="s">
        <v>145</v>
      </c>
      <c r="E64" s="2" t="s">
        <v>7</v>
      </c>
      <c r="F64" s="18">
        <f t="shared" ref="F64:K64" si="8">SUM(F53:F62)</f>
        <v>7101.5</v>
      </c>
      <c r="G64" s="18">
        <f t="shared" si="8"/>
        <v>17880</v>
      </c>
      <c r="H64" s="16">
        <f t="shared" si="8"/>
        <v>322404</v>
      </c>
      <c r="I64" s="16">
        <f t="shared" si="8"/>
        <v>189687.13800000001</v>
      </c>
      <c r="J64" s="16">
        <f t="shared" si="8"/>
        <v>116468</v>
      </c>
      <c r="K64" s="16">
        <f t="shared" si="8"/>
        <v>395623.13799999998</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v>281000</v>
      </c>
      <c r="I68" s="50">
        <f>H68*F$114</f>
        <v>86969.5</v>
      </c>
      <c r="J68" s="51"/>
      <c r="K68" s="16">
        <f>(H68+I68)-J68</f>
        <v>367969.5</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9">SUM(F68:F72)</f>
        <v>0</v>
      </c>
      <c r="G74" s="21">
        <f t="shared" si="9"/>
        <v>0</v>
      </c>
      <c r="H74" s="21">
        <f t="shared" si="9"/>
        <v>281000</v>
      </c>
      <c r="I74" s="53">
        <f t="shared" si="9"/>
        <v>86969.5</v>
      </c>
      <c r="J74" s="21">
        <f t="shared" si="9"/>
        <v>0</v>
      </c>
      <c r="K74" s="17">
        <f t="shared" si="9"/>
        <v>367969.5</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v>10</v>
      </c>
      <c r="G77" s="14"/>
      <c r="H77" s="15">
        <v>8350</v>
      </c>
      <c r="I77" s="50">
        <v>0</v>
      </c>
      <c r="J77" s="15"/>
      <c r="K77" s="16">
        <f>(H77+I77)-J77</f>
        <v>8350</v>
      </c>
    </row>
    <row r="78" spans="1:11" ht="18" customHeight="1">
      <c r="A78" s="5" t="s">
        <v>108</v>
      </c>
      <c r="B78" s="341" t="s">
        <v>55</v>
      </c>
      <c r="F78" s="14"/>
      <c r="G78" s="14"/>
      <c r="H78" s="15"/>
      <c r="I78" s="50">
        <v>0</v>
      </c>
      <c r="J78" s="15"/>
      <c r="K78" s="16">
        <f>(H78+I78)-J78</f>
        <v>0</v>
      </c>
    </row>
    <row r="79" spans="1:11" ht="18" customHeight="1">
      <c r="A79" s="5" t="s">
        <v>109</v>
      </c>
      <c r="B79" s="341" t="s">
        <v>13</v>
      </c>
      <c r="F79" s="14">
        <v>0</v>
      </c>
      <c r="G79" s="14">
        <v>81</v>
      </c>
      <c r="H79" s="15">
        <v>81281</v>
      </c>
      <c r="I79" s="50">
        <f>H79*F$114</f>
        <v>25156.469499999999</v>
      </c>
      <c r="J79" s="15"/>
      <c r="K79" s="16">
        <f>(H79+I79)-J79</f>
        <v>106437.46950000001</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10">SUM(F77:F80)</f>
        <v>10</v>
      </c>
      <c r="G82" s="21">
        <f t="shared" si="10"/>
        <v>81</v>
      </c>
      <c r="H82" s="17">
        <f t="shared" si="10"/>
        <v>89631</v>
      </c>
      <c r="I82" s="17">
        <f t="shared" si="10"/>
        <v>25156.469499999999</v>
      </c>
      <c r="J82" s="17">
        <f t="shared" si="10"/>
        <v>0</v>
      </c>
      <c r="K82" s="17">
        <f t="shared" si="10"/>
        <v>114787.46950000001</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1">H86*F$114</f>
        <v>0</v>
      </c>
      <c r="J86" s="15"/>
      <c r="K86" s="16">
        <f t="shared" ref="K86:K96" si="12">(H86+I86)-J86</f>
        <v>0</v>
      </c>
    </row>
    <row r="87" spans="1:11" ht="18" customHeight="1">
      <c r="A87" s="5" t="s">
        <v>114</v>
      </c>
      <c r="B87" s="341" t="s">
        <v>14</v>
      </c>
      <c r="F87" s="14"/>
      <c r="G87" s="14"/>
      <c r="H87" s="15"/>
      <c r="I87" s="50">
        <f t="shared" si="11"/>
        <v>0</v>
      </c>
      <c r="J87" s="15"/>
      <c r="K87" s="16">
        <f t="shared" si="12"/>
        <v>0</v>
      </c>
    </row>
    <row r="88" spans="1:11" ht="18" customHeight="1">
      <c r="A88" s="5" t="s">
        <v>115</v>
      </c>
      <c r="B88" s="341" t="s">
        <v>116</v>
      </c>
      <c r="F88" s="14"/>
      <c r="G88" s="14"/>
      <c r="H88" s="15"/>
      <c r="I88" s="50">
        <f t="shared" si="11"/>
        <v>0</v>
      </c>
      <c r="J88" s="15"/>
      <c r="K88" s="16">
        <f t="shared" si="12"/>
        <v>0</v>
      </c>
    </row>
    <row r="89" spans="1:11" ht="18" customHeight="1">
      <c r="A89" s="5" t="s">
        <v>117</v>
      </c>
      <c r="B89" s="341" t="s">
        <v>58</v>
      </c>
      <c r="F89" s="14"/>
      <c r="G89" s="14"/>
      <c r="H89" s="15"/>
      <c r="I89" s="50">
        <f t="shared" si="11"/>
        <v>0</v>
      </c>
      <c r="J89" s="15"/>
      <c r="K89" s="16">
        <f t="shared" si="12"/>
        <v>0</v>
      </c>
    </row>
    <row r="90" spans="1:11" ht="18" customHeight="1">
      <c r="A90" s="5" t="s">
        <v>118</v>
      </c>
      <c r="B90" s="641" t="s">
        <v>59</v>
      </c>
      <c r="C90" s="649"/>
      <c r="F90" s="14"/>
      <c r="G90" s="14"/>
      <c r="H90" s="15"/>
      <c r="I90" s="50">
        <f t="shared" si="11"/>
        <v>0</v>
      </c>
      <c r="J90" s="15"/>
      <c r="K90" s="16">
        <f t="shared" si="12"/>
        <v>0</v>
      </c>
    </row>
    <row r="91" spans="1:11" ht="18" customHeight="1">
      <c r="A91" s="5" t="s">
        <v>119</v>
      </c>
      <c r="B91" s="341" t="s">
        <v>60</v>
      </c>
      <c r="F91" s="14"/>
      <c r="G91" s="14"/>
      <c r="H91" s="15"/>
      <c r="I91" s="50">
        <f t="shared" si="11"/>
        <v>0</v>
      </c>
      <c r="J91" s="15"/>
      <c r="K91" s="16">
        <f t="shared" si="12"/>
        <v>0</v>
      </c>
    </row>
    <row r="92" spans="1:11" ht="18" customHeight="1">
      <c r="A92" s="5" t="s">
        <v>120</v>
      </c>
      <c r="B92" s="341" t="s">
        <v>121</v>
      </c>
      <c r="F92" s="38"/>
      <c r="G92" s="38"/>
      <c r="H92" s="39"/>
      <c r="I92" s="50">
        <f t="shared" si="11"/>
        <v>0</v>
      </c>
      <c r="J92" s="39"/>
      <c r="K92" s="16">
        <f t="shared" si="12"/>
        <v>0</v>
      </c>
    </row>
    <row r="93" spans="1:11" ht="18" customHeight="1">
      <c r="A93" s="5" t="s">
        <v>122</v>
      </c>
      <c r="B93" s="341" t="s">
        <v>123</v>
      </c>
      <c r="F93" s="14"/>
      <c r="G93" s="14"/>
      <c r="H93" s="15"/>
      <c r="I93" s="50">
        <f t="shared" si="11"/>
        <v>0</v>
      </c>
      <c r="J93" s="15"/>
      <c r="K93" s="16">
        <f t="shared" si="12"/>
        <v>0</v>
      </c>
    </row>
    <row r="94" spans="1:11" ht="18" customHeight="1">
      <c r="A94" s="5" t="s">
        <v>124</v>
      </c>
      <c r="B94" s="642"/>
      <c r="C94" s="643"/>
      <c r="D94" s="644"/>
      <c r="F94" s="14"/>
      <c r="G94" s="14"/>
      <c r="H94" s="15"/>
      <c r="I94" s="50">
        <f t="shared" si="11"/>
        <v>0</v>
      </c>
      <c r="J94" s="15"/>
      <c r="K94" s="16">
        <f t="shared" si="12"/>
        <v>0</v>
      </c>
    </row>
    <row r="95" spans="1:11" ht="18" customHeight="1">
      <c r="A95" s="5" t="s">
        <v>125</v>
      </c>
      <c r="B95" s="642"/>
      <c r="C95" s="643"/>
      <c r="D95" s="644"/>
      <c r="F95" s="14"/>
      <c r="G95" s="14"/>
      <c r="H95" s="15"/>
      <c r="I95" s="50">
        <f t="shared" si="11"/>
        <v>0</v>
      </c>
      <c r="J95" s="15"/>
      <c r="K95" s="16">
        <f t="shared" si="12"/>
        <v>0</v>
      </c>
    </row>
    <row r="96" spans="1:11" ht="18" customHeight="1">
      <c r="A96" s="5" t="s">
        <v>126</v>
      </c>
      <c r="B96" s="642"/>
      <c r="C96" s="643"/>
      <c r="D96" s="644"/>
      <c r="F96" s="14"/>
      <c r="G96" s="14"/>
      <c r="H96" s="15"/>
      <c r="I96" s="50">
        <f t="shared" si="11"/>
        <v>0</v>
      </c>
      <c r="J96" s="15"/>
      <c r="K96" s="16">
        <f t="shared" si="12"/>
        <v>0</v>
      </c>
    </row>
    <row r="97" spans="1:11" ht="18" customHeight="1">
      <c r="A97" s="5"/>
      <c r="B97" s="341"/>
    </row>
    <row r="98" spans="1:11" ht="18" customHeight="1">
      <c r="A98" s="6" t="s">
        <v>150</v>
      </c>
      <c r="B98" s="2" t="s">
        <v>151</v>
      </c>
      <c r="E98" s="2" t="s">
        <v>7</v>
      </c>
      <c r="F98" s="18">
        <f t="shared" ref="F98:K98" si="13">SUM(F86:F96)</f>
        <v>0</v>
      </c>
      <c r="G98" s="18">
        <f t="shared" si="13"/>
        <v>0</v>
      </c>
      <c r="H98" s="18">
        <f t="shared" si="13"/>
        <v>0</v>
      </c>
      <c r="I98" s="18">
        <f t="shared" si="13"/>
        <v>0</v>
      </c>
      <c r="J98" s="18">
        <f t="shared" si="13"/>
        <v>0</v>
      </c>
      <c r="K98" s="18">
        <f t="shared" si="13"/>
        <v>0</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728</v>
      </c>
      <c r="G102" s="14"/>
      <c r="H102" s="15">
        <v>52294</v>
      </c>
      <c r="I102" s="50">
        <f>H102*F$114</f>
        <v>16184.993</v>
      </c>
      <c r="J102" s="15"/>
      <c r="K102" s="16">
        <f>(H102+I102)-J102</f>
        <v>68478.993000000002</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4">SUM(F102:F106)</f>
        <v>728</v>
      </c>
      <c r="G108" s="18">
        <f t="shared" si="14"/>
        <v>0</v>
      </c>
      <c r="H108" s="16">
        <f t="shared" si="14"/>
        <v>52294</v>
      </c>
      <c r="I108" s="16">
        <f t="shared" si="14"/>
        <v>16184.993</v>
      </c>
      <c r="J108" s="16">
        <f t="shared" si="14"/>
        <v>0</v>
      </c>
      <c r="K108" s="16">
        <f t="shared" si="14"/>
        <v>68478.993000000002</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841000</v>
      </c>
    </row>
    <row r="112" spans="1:11" ht="18" customHeight="1">
      <c r="B112" s="2"/>
      <c r="E112" s="2"/>
      <c r="F112" s="22"/>
    </row>
    <row r="113" spans="1:6" ht="18" customHeight="1">
      <c r="A113" s="6"/>
      <c r="B113" s="2" t="s">
        <v>15</v>
      </c>
    </row>
    <row r="114" spans="1:6" ht="18" customHeight="1">
      <c r="A114" s="5" t="s">
        <v>171</v>
      </c>
      <c r="B114" s="341" t="s">
        <v>35</v>
      </c>
      <c r="F114" s="25">
        <v>0.3095</v>
      </c>
    </row>
    <row r="115" spans="1:6" ht="18" customHeight="1">
      <c r="A115" s="5"/>
      <c r="B115" s="2"/>
    </row>
    <row r="116" spans="1:6" ht="18" customHeight="1">
      <c r="A116" s="5" t="s">
        <v>170</v>
      </c>
      <c r="B116" s="2" t="s">
        <v>16</v>
      </c>
    </row>
    <row r="117" spans="1:6" ht="18" customHeight="1">
      <c r="A117" s="5" t="s">
        <v>172</v>
      </c>
      <c r="B117" s="341" t="s">
        <v>17</v>
      </c>
      <c r="F117" s="15">
        <v>99299179.310000002</v>
      </c>
    </row>
    <row r="118" spans="1:6" ht="18" customHeight="1">
      <c r="A118" s="5" t="s">
        <v>173</v>
      </c>
      <c r="B118" t="s">
        <v>18</v>
      </c>
      <c r="F118" s="15">
        <v>3970422.69</v>
      </c>
    </row>
    <row r="119" spans="1:6" ht="18" customHeight="1">
      <c r="A119" s="5" t="s">
        <v>174</v>
      </c>
      <c r="B119" s="2" t="s">
        <v>19</v>
      </c>
      <c r="F119" s="17">
        <f>SUM(F117:F118)</f>
        <v>103269602</v>
      </c>
    </row>
    <row r="120" spans="1:6" ht="18" customHeight="1">
      <c r="A120" s="5"/>
      <c r="B120" s="2"/>
    </row>
    <row r="121" spans="1:6" ht="18" customHeight="1">
      <c r="A121" s="5" t="s">
        <v>167</v>
      </c>
      <c r="B121" s="2" t="s">
        <v>36</v>
      </c>
      <c r="F121" s="15">
        <v>102736500</v>
      </c>
    </row>
    <row r="122" spans="1:6" ht="18" customHeight="1">
      <c r="A122" s="5"/>
    </row>
    <row r="123" spans="1:6" ht="18" customHeight="1">
      <c r="A123" s="5" t="s">
        <v>175</v>
      </c>
      <c r="B123" s="2" t="s">
        <v>20</v>
      </c>
      <c r="F123" s="15">
        <v>533102</v>
      </c>
    </row>
    <row r="124" spans="1:6" ht="18" customHeight="1">
      <c r="A124" s="5"/>
    </row>
    <row r="125" spans="1:6" ht="18" customHeight="1">
      <c r="A125" s="5" t="s">
        <v>176</v>
      </c>
      <c r="B125" s="2" t="s">
        <v>21</v>
      </c>
      <c r="F125" s="15">
        <v>1269000</v>
      </c>
    </row>
    <row r="126" spans="1:6" ht="18" customHeight="1">
      <c r="A126" s="5"/>
    </row>
    <row r="127" spans="1:6" ht="18" customHeight="1">
      <c r="A127" s="5" t="s">
        <v>177</v>
      </c>
      <c r="B127" s="2" t="s">
        <v>22</v>
      </c>
      <c r="F127" s="15">
        <v>1802102</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5">SUM(F131:F135)</f>
        <v>0</v>
      </c>
      <c r="G137" s="18">
        <f t="shared" si="15"/>
        <v>0</v>
      </c>
      <c r="H137" s="16">
        <f t="shared" si="15"/>
        <v>0</v>
      </c>
      <c r="I137" s="16">
        <f t="shared" si="15"/>
        <v>0</v>
      </c>
      <c r="J137" s="16">
        <f t="shared" si="15"/>
        <v>0</v>
      </c>
      <c r="K137" s="16">
        <f t="shared" si="15"/>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6">F36</f>
        <v>1137</v>
      </c>
      <c r="G141" s="41">
        <f t="shared" si="16"/>
        <v>2414</v>
      </c>
      <c r="H141" s="41">
        <f t="shared" si="16"/>
        <v>72047</v>
      </c>
      <c r="I141" s="41">
        <f t="shared" si="16"/>
        <v>22298.5465</v>
      </c>
      <c r="J141" s="41">
        <f t="shared" si="16"/>
        <v>0</v>
      </c>
      <c r="K141" s="41">
        <f t="shared" si="16"/>
        <v>94345.546499999997</v>
      </c>
    </row>
    <row r="142" spans="1:11" ht="18" customHeight="1">
      <c r="A142" s="5" t="s">
        <v>142</v>
      </c>
      <c r="B142" s="2" t="s">
        <v>65</v>
      </c>
      <c r="F142" s="41">
        <f t="shared" ref="F142:K142" si="17">F49</f>
        <v>98289</v>
      </c>
      <c r="G142" s="41">
        <f t="shared" si="17"/>
        <v>789</v>
      </c>
      <c r="H142" s="41">
        <f t="shared" si="17"/>
        <v>7013193.8399999999</v>
      </c>
      <c r="I142" s="41">
        <f t="shared" si="17"/>
        <v>2170583.4934799997</v>
      </c>
      <c r="J142" s="41">
        <f t="shared" si="17"/>
        <v>0</v>
      </c>
      <c r="K142" s="41">
        <f t="shared" si="17"/>
        <v>9183777.3334800005</v>
      </c>
    </row>
    <row r="143" spans="1:11" ht="18" customHeight="1">
      <c r="A143" s="5" t="s">
        <v>144</v>
      </c>
      <c r="B143" s="2" t="s">
        <v>66</v>
      </c>
      <c r="F143" s="41">
        <f t="shared" ref="F143:K143" si="18">F64</f>
        <v>7101.5</v>
      </c>
      <c r="G143" s="41">
        <f t="shared" si="18"/>
        <v>17880</v>
      </c>
      <c r="H143" s="41">
        <f t="shared" si="18"/>
        <v>322404</v>
      </c>
      <c r="I143" s="41">
        <f t="shared" si="18"/>
        <v>189687.13800000001</v>
      </c>
      <c r="J143" s="41">
        <f t="shared" si="18"/>
        <v>116468</v>
      </c>
      <c r="K143" s="41">
        <f t="shared" si="18"/>
        <v>395623.13799999998</v>
      </c>
    </row>
    <row r="144" spans="1:11" ht="18" customHeight="1">
      <c r="A144" s="5" t="s">
        <v>146</v>
      </c>
      <c r="B144" s="2" t="s">
        <v>67</v>
      </c>
      <c r="F144" s="41">
        <f t="shared" ref="F144:K144" si="19">F74</f>
        <v>0</v>
      </c>
      <c r="G144" s="41">
        <f t="shared" si="19"/>
        <v>0</v>
      </c>
      <c r="H144" s="41">
        <f t="shared" si="19"/>
        <v>281000</v>
      </c>
      <c r="I144" s="41">
        <f t="shared" si="19"/>
        <v>86969.5</v>
      </c>
      <c r="J144" s="41">
        <f t="shared" si="19"/>
        <v>0</v>
      </c>
      <c r="K144" s="41">
        <f t="shared" si="19"/>
        <v>367969.5</v>
      </c>
    </row>
    <row r="145" spans="1:11" ht="18" customHeight="1">
      <c r="A145" s="5" t="s">
        <v>148</v>
      </c>
      <c r="B145" s="2" t="s">
        <v>68</v>
      </c>
      <c r="F145" s="41">
        <f t="shared" ref="F145:K145" si="20">F82</f>
        <v>10</v>
      </c>
      <c r="G145" s="41">
        <f t="shared" si="20"/>
        <v>81</v>
      </c>
      <c r="H145" s="41">
        <f t="shared" si="20"/>
        <v>89631</v>
      </c>
      <c r="I145" s="41">
        <f t="shared" si="20"/>
        <v>25156.469499999999</v>
      </c>
      <c r="J145" s="41">
        <f t="shared" si="20"/>
        <v>0</v>
      </c>
      <c r="K145" s="41">
        <f t="shared" si="20"/>
        <v>114787.46950000001</v>
      </c>
    </row>
    <row r="146" spans="1:11" ht="18" customHeight="1">
      <c r="A146" s="5" t="s">
        <v>150</v>
      </c>
      <c r="B146" s="2" t="s">
        <v>69</v>
      </c>
      <c r="F146" s="41">
        <f t="shared" ref="F146:K146" si="21">F98</f>
        <v>0</v>
      </c>
      <c r="G146" s="41">
        <f t="shared" si="21"/>
        <v>0</v>
      </c>
      <c r="H146" s="41">
        <f t="shared" si="21"/>
        <v>0</v>
      </c>
      <c r="I146" s="41">
        <f t="shared" si="21"/>
        <v>0</v>
      </c>
      <c r="J146" s="41">
        <f t="shared" si="21"/>
        <v>0</v>
      </c>
      <c r="K146" s="41">
        <f t="shared" si="21"/>
        <v>0</v>
      </c>
    </row>
    <row r="147" spans="1:11" ht="18" customHeight="1">
      <c r="A147" s="5" t="s">
        <v>153</v>
      </c>
      <c r="B147" s="2" t="s">
        <v>61</v>
      </c>
      <c r="F147" s="18">
        <f t="shared" ref="F147:K147" si="22">F108</f>
        <v>728</v>
      </c>
      <c r="G147" s="18">
        <f t="shared" si="22"/>
        <v>0</v>
      </c>
      <c r="H147" s="18">
        <f t="shared" si="22"/>
        <v>52294</v>
      </c>
      <c r="I147" s="18">
        <f t="shared" si="22"/>
        <v>16184.993</v>
      </c>
      <c r="J147" s="18">
        <f t="shared" si="22"/>
        <v>0</v>
      </c>
      <c r="K147" s="18">
        <f t="shared" si="22"/>
        <v>68478.993000000002</v>
      </c>
    </row>
    <row r="148" spans="1:11" ht="18" customHeight="1">
      <c r="A148" s="5" t="s">
        <v>155</v>
      </c>
      <c r="B148" s="2" t="s">
        <v>70</v>
      </c>
      <c r="F148" s="42" t="s">
        <v>73</v>
      </c>
      <c r="G148" s="42" t="s">
        <v>73</v>
      </c>
      <c r="H148" s="43" t="s">
        <v>73</v>
      </c>
      <c r="I148" s="43" t="s">
        <v>73</v>
      </c>
      <c r="J148" s="43" t="s">
        <v>73</v>
      </c>
      <c r="K148" s="37">
        <f>F111</f>
        <v>841000</v>
      </c>
    </row>
    <row r="149" spans="1:11" ht="18" customHeight="1">
      <c r="A149" s="5" t="s">
        <v>163</v>
      </c>
      <c r="B149" s="2" t="s">
        <v>71</v>
      </c>
      <c r="F149" s="18">
        <f t="shared" ref="F149:K149" si="23">F137</f>
        <v>0</v>
      </c>
      <c r="G149" s="18">
        <f t="shared" si="23"/>
        <v>0</v>
      </c>
      <c r="H149" s="18">
        <f t="shared" si="23"/>
        <v>0</v>
      </c>
      <c r="I149" s="18">
        <f t="shared" si="23"/>
        <v>0</v>
      </c>
      <c r="J149" s="18">
        <f t="shared" si="23"/>
        <v>0</v>
      </c>
      <c r="K149" s="18">
        <f t="shared" si="23"/>
        <v>0</v>
      </c>
    </row>
    <row r="150" spans="1:11" ht="18" customHeight="1">
      <c r="A150" s="5" t="s">
        <v>185</v>
      </c>
      <c r="B150" s="2" t="s">
        <v>186</v>
      </c>
      <c r="F150" s="42" t="s">
        <v>73</v>
      </c>
      <c r="G150" s="42" t="s">
        <v>73</v>
      </c>
      <c r="H150" s="18">
        <f>H18</f>
        <v>3090444</v>
      </c>
      <c r="I150" s="18">
        <f>I18</f>
        <v>0</v>
      </c>
      <c r="J150" s="18">
        <f>J18</f>
        <v>2642716</v>
      </c>
      <c r="K150" s="18">
        <f>K18</f>
        <v>447728</v>
      </c>
    </row>
    <row r="151" spans="1:11" ht="18" customHeight="1">
      <c r="B151" s="2"/>
      <c r="F151" s="48"/>
      <c r="G151" s="48"/>
      <c r="H151" s="48"/>
      <c r="I151" s="48"/>
      <c r="J151" s="48"/>
      <c r="K151" s="48"/>
    </row>
    <row r="152" spans="1:11" ht="18" customHeight="1">
      <c r="A152" s="6" t="s">
        <v>165</v>
      </c>
      <c r="B152" s="2" t="s">
        <v>26</v>
      </c>
      <c r="F152" s="49">
        <f t="shared" ref="F152:K152" si="24">SUM(F141:F150)</f>
        <v>107265.5</v>
      </c>
      <c r="G152" s="49">
        <f t="shared" si="24"/>
        <v>21164</v>
      </c>
      <c r="H152" s="49">
        <f t="shared" si="24"/>
        <v>10921013.84</v>
      </c>
      <c r="I152" s="49">
        <f t="shared" si="24"/>
        <v>2510880.1404799996</v>
      </c>
      <c r="J152" s="49">
        <f t="shared" si="24"/>
        <v>2759184</v>
      </c>
      <c r="K152" s="49">
        <f t="shared" si="24"/>
        <v>11513709.98048</v>
      </c>
    </row>
    <row r="154" spans="1:11" ht="18" customHeight="1">
      <c r="A154" s="6" t="s">
        <v>168</v>
      </c>
      <c r="B154" s="2" t="s">
        <v>28</v>
      </c>
      <c r="F154" s="348">
        <f>K152/F121</f>
        <v>0.11207029615063779</v>
      </c>
    </row>
    <row r="155" spans="1:11" ht="18" customHeight="1">
      <c r="A155" s="6" t="s">
        <v>169</v>
      </c>
      <c r="B155" s="2" t="s">
        <v>72</v>
      </c>
      <c r="F155" s="348">
        <f>K152/F127</f>
        <v>6.3890445604521835</v>
      </c>
      <c r="G155" s="2"/>
    </row>
    <row r="156" spans="1:11" ht="18" customHeight="1">
      <c r="G156" s="2"/>
    </row>
  </sheetData>
  <sheetProtection password="EF72" sheet="1" objects="1" scenarios="1"/>
  <mergeCells count="31">
    <mergeCell ref="B41:C41"/>
    <mergeCell ref="D2:H2"/>
    <mergeCell ref="C5:G5"/>
    <mergeCell ref="C6:G6"/>
    <mergeCell ref="C7:G7"/>
    <mergeCell ref="C9:G9"/>
    <mergeCell ref="C10:G10"/>
    <mergeCell ref="C11:G11"/>
    <mergeCell ref="B13:H13"/>
    <mergeCell ref="B30:D30"/>
    <mergeCell ref="B31:D31"/>
    <mergeCell ref="B34:D34"/>
    <mergeCell ref="B96:D96"/>
    <mergeCell ref="B44:D44"/>
    <mergeCell ref="B45:D45"/>
    <mergeCell ref="B46:D46"/>
    <mergeCell ref="B47:D47"/>
    <mergeCell ref="B52:C52"/>
    <mergeCell ref="B53:D53"/>
    <mergeCell ref="B59:D59"/>
    <mergeCell ref="B62:D62"/>
    <mergeCell ref="B90:C90"/>
    <mergeCell ref="B94:D94"/>
    <mergeCell ref="B95:D95"/>
    <mergeCell ref="B135:D135"/>
    <mergeCell ref="B103:C103"/>
    <mergeCell ref="B104:D104"/>
    <mergeCell ref="B105:D105"/>
    <mergeCell ref="B106:D106"/>
    <mergeCell ref="B133:D133"/>
    <mergeCell ref="B134:D134"/>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topLeftCell="A127" workbookViewId="0">
      <selection activeCell="P146" sqref="P146"/>
    </sheetView>
  </sheetViews>
  <sheetFormatPr defaultRowHeight="15"/>
  <cols>
    <col min="1" max="1" width="7.5703125" style="401" bestFit="1" customWidth="1"/>
    <col min="2" max="2" width="55.5703125" style="401" bestFit="1" customWidth="1"/>
    <col min="3" max="5" width="9.140625" style="401"/>
    <col min="6" max="7" width="17.5703125" style="401" bestFit="1" customWidth="1"/>
    <col min="8" max="8" width="15" style="401" bestFit="1" customWidth="1"/>
    <col min="9" max="9" width="16.7109375" style="401" bestFit="1" customWidth="1"/>
    <col min="10" max="10" width="23.42578125" style="401" bestFit="1" customWidth="1"/>
    <col min="11" max="11" width="24.7109375" style="401" bestFit="1" customWidth="1"/>
    <col min="12" max="16384" width="9.140625" style="401"/>
  </cols>
  <sheetData>
    <row r="1" spans="1:11">
      <c r="A1" s="399"/>
    </row>
    <row r="2" spans="1:11" ht="15.75">
      <c r="D2" s="723" t="s">
        <v>371</v>
      </c>
      <c r="E2" s="723"/>
      <c r="F2" s="723"/>
      <c r="G2" s="723"/>
      <c r="H2" s="723"/>
    </row>
    <row r="3" spans="1:11">
      <c r="B3" s="409" t="s">
        <v>0</v>
      </c>
    </row>
    <row r="5" spans="1:11">
      <c r="B5" s="402" t="s">
        <v>40</v>
      </c>
      <c r="C5" s="722" t="s">
        <v>631</v>
      </c>
      <c r="D5" s="722"/>
      <c r="E5" s="722"/>
      <c r="F5" s="722"/>
      <c r="G5" s="722"/>
    </row>
    <row r="6" spans="1:11">
      <c r="B6" s="402" t="s">
        <v>3</v>
      </c>
      <c r="C6" s="722">
        <v>2004</v>
      </c>
      <c r="D6" s="722"/>
      <c r="E6" s="722"/>
      <c r="F6" s="722"/>
      <c r="G6" s="722"/>
    </row>
    <row r="7" spans="1:11">
      <c r="B7" s="402" t="s">
        <v>4</v>
      </c>
      <c r="C7" s="722"/>
      <c r="D7" s="722"/>
      <c r="E7" s="722"/>
      <c r="F7" s="722"/>
      <c r="G7" s="722"/>
    </row>
    <row r="8" spans="1:11">
      <c r="B8" s="402"/>
    </row>
    <row r="9" spans="1:11">
      <c r="B9" s="402" t="s">
        <v>1</v>
      </c>
      <c r="C9" s="722" t="s">
        <v>632</v>
      </c>
      <c r="D9" s="722"/>
      <c r="E9" s="722"/>
      <c r="F9" s="722"/>
      <c r="G9" s="722"/>
    </row>
    <row r="10" spans="1:11">
      <c r="B10" s="402" t="s">
        <v>2</v>
      </c>
      <c r="C10" s="722" t="s">
        <v>623</v>
      </c>
      <c r="D10" s="722"/>
      <c r="E10" s="722"/>
      <c r="F10" s="722"/>
      <c r="G10" s="722"/>
    </row>
    <row r="11" spans="1:11">
      <c r="B11" s="402" t="s">
        <v>32</v>
      </c>
      <c r="C11" s="722" t="s">
        <v>633</v>
      </c>
      <c r="D11" s="722"/>
      <c r="E11" s="722"/>
      <c r="F11" s="722"/>
      <c r="G11" s="722"/>
    </row>
    <row r="16" spans="1:11">
      <c r="B16" s="409" t="s">
        <v>181</v>
      </c>
      <c r="F16" s="404" t="s">
        <v>9</v>
      </c>
      <c r="G16" s="404" t="s">
        <v>37</v>
      </c>
      <c r="H16" s="404" t="s">
        <v>29</v>
      </c>
      <c r="I16" s="404" t="s">
        <v>30</v>
      </c>
      <c r="J16" s="404" t="s">
        <v>33</v>
      </c>
      <c r="K16" s="404" t="s">
        <v>34</v>
      </c>
    </row>
    <row r="17" spans="1:11">
      <c r="A17" s="405" t="s">
        <v>184</v>
      </c>
      <c r="B17" s="404" t="s">
        <v>182</v>
      </c>
    </row>
    <row r="18" spans="1:11">
      <c r="A18" s="402" t="s">
        <v>408</v>
      </c>
      <c r="B18" s="402" t="s">
        <v>183</v>
      </c>
      <c r="F18" s="406" t="s">
        <v>73</v>
      </c>
      <c r="G18" s="406" t="s">
        <v>73</v>
      </c>
      <c r="H18" s="407">
        <v>7767517</v>
      </c>
      <c r="I18" s="407">
        <v>0</v>
      </c>
      <c r="J18" s="407">
        <v>6642198.4100000001</v>
      </c>
      <c r="K18" s="407">
        <v>1125318.5900000001</v>
      </c>
    </row>
    <row r="19" spans="1:11">
      <c r="B19" s="409" t="s">
        <v>8</v>
      </c>
      <c r="F19" s="404" t="s">
        <v>9</v>
      </c>
      <c r="G19" s="404" t="s">
        <v>37</v>
      </c>
      <c r="H19" s="404" t="s">
        <v>29</v>
      </c>
      <c r="I19" s="404" t="s">
        <v>30</v>
      </c>
      <c r="J19" s="404" t="s">
        <v>33</v>
      </c>
      <c r="K19" s="404" t="s">
        <v>34</v>
      </c>
    </row>
    <row r="20" spans="1:11">
      <c r="A20" s="405" t="s">
        <v>409</v>
      </c>
      <c r="B20" s="404" t="s">
        <v>41</v>
      </c>
    </row>
    <row r="21" spans="1:11">
      <c r="A21" s="402" t="s">
        <v>410</v>
      </c>
      <c r="B21" s="402" t="s">
        <v>42</v>
      </c>
      <c r="F21" s="406">
        <v>2095</v>
      </c>
      <c r="G21" s="406">
        <v>4449</v>
      </c>
      <c r="H21" s="407">
        <v>129412</v>
      </c>
      <c r="I21" s="407">
        <v>72024</v>
      </c>
      <c r="J21" s="407">
        <v>12249</v>
      </c>
      <c r="K21" s="407">
        <v>189187</v>
      </c>
    </row>
    <row r="22" spans="1:11">
      <c r="A22" s="402" t="s">
        <v>411</v>
      </c>
      <c r="B22" s="402" t="s">
        <v>6</v>
      </c>
      <c r="F22" s="406">
        <v>0</v>
      </c>
      <c r="G22" s="406">
        <v>0</v>
      </c>
      <c r="H22" s="407">
        <v>0</v>
      </c>
      <c r="I22" s="407">
        <v>0</v>
      </c>
      <c r="J22" s="407">
        <v>0</v>
      </c>
      <c r="K22" s="407">
        <v>0</v>
      </c>
    </row>
    <row r="23" spans="1:11">
      <c r="A23" s="402" t="s">
        <v>412</v>
      </c>
      <c r="B23" s="402" t="s">
        <v>43</v>
      </c>
      <c r="F23" s="406">
        <v>2113</v>
      </c>
      <c r="G23" s="406">
        <v>1550</v>
      </c>
      <c r="H23" s="407">
        <v>61308</v>
      </c>
      <c r="I23" s="407">
        <v>40463</v>
      </c>
      <c r="J23" s="407">
        <v>28350</v>
      </c>
      <c r="K23" s="407">
        <v>73421</v>
      </c>
    </row>
    <row r="24" spans="1:11">
      <c r="A24" s="402" t="s">
        <v>413</v>
      </c>
      <c r="B24" s="402" t="s">
        <v>44</v>
      </c>
      <c r="F24" s="406">
        <v>2276</v>
      </c>
      <c r="G24" s="406">
        <v>3104</v>
      </c>
      <c r="H24" s="407">
        <v>123429</v>
      </c>
      <c r="I24" s="407">
        <v>81464</v>
      </c>
      <c r="J24" s="407">
        <v>1490</v>
      </c>
      <c r="K24" s="407">
        <v>203403</v>
      </c>
    </row>
    <row r="25" spans="1:11">
      <c r="A25" s="402" t="s">
        <v>414</v>
      </c>
      <c r="B25" s="402" t="s">
        <v>5</v>
      </c>
      <c r="F25" s="406">
        <v>290</v>
      </c>
      <c r="G25" s="406">
        <v>116</v>
      </c>
      <c r="H25" s="407">
        <v>28258</v>
      </c>
      <c r="I25" s="407">
        <v>18650</v>
      </c>
      <c r="J25" s="407">
        <v>5800</v>
      </c>
      <c r="K25" s="407">
        <v>41108</v>
      </c>
    </row>
    <row r="26" spans="1:11">
      <c r="A26" s="402" t="s">
        <v>415</v>
      </c>
      <c r="B26" s="402" t="s">
        <v>45</v>
      </c>
      <c r="F26" s="406">
        <v>0</v>
      </c>
      <c r="G26" s="406">
        <v>0</v>
      </c>
      <c r="H26" s="407">
        <v>0</v>
      </c>
      <c r="I26" s="407">
        <v>0</v>
      </c>
      <c r="J26" s="407">
        <v>0</v>
      </c>
      <c r="K26" s="407">
        <v>0</v>
      </c>
    </row>
    <row r="27" spans="1:11">
      <c r="A27" s="402" t="s">
        <v>416</v>
      </c>
      <c r="B27" s="402" t="s">
        <v>46</v>
      </c>
      <c r="F27" s="406">
        <v>0</v>
      </c>
      <c r="G27" s="406">
        <v>0</v>
      </c>
      <c r="H27" s="407">
        <v>0</v>
      </c>
      <c r="I27" s="407">
        <v>0</v>
      </c>
      <c r="J27" s="407">
        <v>0</v>
      </c>
      <c r="K27" s="407">
        <v>0</v>
      </c>
    </row>
    <row r="28" spans="1:11">
      <c r="A28" s="402" t="s">
        <v>417</v>
      </c>
      <c r="B28" s="402" t="s">
        <v>47</v>
      </c>
      <c r="F28" s="406">
        <v>0</v>
      </c>
      <c r="G28" s="406">
        <v>0</v>
      </c>
      <c r="H28" s="407">
        <v>0</v>
      </c>
      <c r="I28" s="407">
        <v>0</v>
      </c>
      <c r="J28" s="407">
        <v>0</v>
      </c>
      <c r="K28" s="407">
        <v>0</v>
      </c>
    </row>
    <row r="29" spans="1:11">
      <c r="A29" s="402" t="s">
        <v>75</v>
      </c>
      <c r="B29" s="402" t="s">
        <v>48</v>
      </c>
      <c r="F29" s="406">
        <v>7223</v>
      </c>
      <c r="G29" s="406">
        <v>14900</v>
      </c>
      <c r="H29" s="407">
        <v>288957</v>
      </c>
      <c r="I29" s="407">
        <v>109145</v>
      </c>
      <c r="J29" s="407">
        <v>0</v>
      </c>
      <c r="K29" s="407">
        <v>398102</v>
      </c>
    </row>
    <row r="30" spans="1:11">
      <c r="A30" s="402"/>
      <c r="B30" s="402"/>
      <c r="F30" s="406"/>
      <c r="G30" s="406"/>
      <c r="H30" s="407"/>
      <c r="I30" s="407"/>
      <c r="J30" s="407"/>
      <c r="K30" s="407"/>
    </row>
    <row r="31" spans="1:11">
      <c r="A31" s="402"/>
      <c r="B31" s="402"/>
      <c r="F31" s="406"/>
      <c r="G31" s="406"/>
      <c r="H31" s="407"/>
      <c r="I31" s="407"/>
      <c r="J31" s="407"/>
      <c r="K31" s="407"/>
    </row>
    <row r="32" spans="1:11">
      <c r="A32" s="402"/>
      <c r="B32" s="402"/>
      <c r="F32" s="406"/>
      <c r="G32" s="406"/>
      <c r="H32" s="407"/>
      <c r="I32" s="407"/>
      <c r="J32" s="407"/>
      <c r="K32" s="407"/>
    </row>
    <row r="33" spans="1:11">
      <c r="A33" s="402"/>
      <c r="B33" s="402"/>
      <c r="F33" s="406"/>
      <c r="G33" s="406"/>
      <c r="H33" s="407"/>
      <c r="I33" s="407"/>
      <c r="J33" s="407"/>
      <c r="K33" s="407"/>
    </row>
    <row r="34" spans="1:11">
      <c r="A34" s="402"/>
      <c r="B34" s="402"/>
      <c r="F34" s="406"/>
      <c r="G34" s="406"/>
      <c r="H34" s="407"/>
      <c r="I34" s="407"/>
      <c r="J34" s="407"/>
      <c r="K34" s="407"/>
    </row>
    <row r="35" spans="1:11">
      <c r="A35" s="402"/>
      <c r="B35" s="402"/>
      <c r="F35" s="406"/>
      <c r="G35" s="406"/>
      <c r="H35" s="407"/>
      <c r="I35" s="407"/>
      <c r="J35" s="407"/>
      <c r="K35" s="407"/>
    </row>
    <row r="36" spans="1:11">
      <c r="A36" s="405" t="s">
        <v>420</v>
      </c>
      <c r="B36" s="402" t="s">
        <v>138</v>
      </c>
      <c r="F36" s="406">
        <v>13997</v>
      </c>
      <c r="G36" s="406">
        <v>24119</v>
      </c>
      <c r="H36" s="407">
        <v>631364</v>
      </c>
      <c r="I36" s="407">
        <v>321746</v>
      </c>
      <c r="J36" s="407">
        <v>47889</v>
      </c>
      <c r="K36" s="407">
        <v>905221</v>
      </c>
    </row>
    <row r="39" spans="1:11">
      <c r="A39" s="405" t="s">
        <v>86</v>
      </c>
      <c r="B39" s="404" t="s">
        <v>49</v>
      </c>
    </row>
    <row r="40" spans="1:11">
      <c r="A40" s="402" t="s">
        <v>421</v>
      </c>
      <c r="B40" s="402" t="s">
        <v>31</v>
      </c>
      <c r="F40" s="406">
        <v>96516</v>
      </c>
      <c r="G40" s="406">
        <v>0</v>
      </c>
      <c r="H40" s="407">
        <v>4847464</v>
      </c>
      <c r="I40" s="407">
        <v>3199326</v>
      </c>
      <c r="J40" s="407">
        <v>0</v>
      </c>
      <c r="K40" s="407">
        <v>8046790</v>
      </c>
    </row>
    <row r="41" spans="1:11">
      <c r="A41" s="402" t="s">
        <v>422</v>
      </c>
      <c r="B41" s="402" t="s">
        <v>50</v>
      </c>
      <c r="F41" s="406">
        <v>1512</v>
      </c>
      <c r="G41" s="406">
        <v>704</v>
      </c>
      <c r="H41" s="407">
        <v>81032</v>
      </c>
      <c r="I41" s="407">
        <v>14855</v>
      </c>
      <c r="J41" s="407">
        <v>0</v>
      </c>
      <c r="K41" s="407">
        <v>95887</v>
      </c>
    </row>
    <row r="42" spans="1:11">
      <c r="A42" s="402" t="s">
        <v>423</v>
      </c>
      <c r="B42" s="402" t="s">
        <v>11</v>
      </c>
      <c r="F42" s="406">
        <v>430</v>
      </c>
      <c r="G42" s="406">
        <v>10</v>
      </c>
      <c r="H42" s="407">
        <v>23044</v>
      </c>
      <c r="I42" s="407">
        <v>6367</v>
      </c>
      <c r="J42" s="407">
        <v>0</v>
      </c>
      <c r="K42" s="407">
        <v>29411</v>
      </c>
    </row>
    <row r="43" spans="1:11">
      <c r="A43" s="402" t="s">
        <v>424</v>
      </c>
      <c r="B43" s="402" t="s">
        <v>10</v>
      </c>
      <c r="F43" s="406">
        <v>0</v>
      </c>
      <c r="G43" s="406">
        <v>0</v>
      </c>
      <c r="H43" s="407">
        <v>0</v>
      </c>
      <c r="I43" s="407">
        <v>0</v>
      </c>
      <c r="J43" s="407">
        <v>0</v>
      </c>
      <c r="K43" s="407">
        <v>0</v>
      </c>
    </row>
    <row r="44" spans="1:11">
      <c r="A44" s="402"/>
      <c r="B44" s="402"/>
      <c r="F44" s="406"/>
      <c r="G44" s="406"/>
      <c r="H44" s="407"/>
      <c r="I44" s="407"/>
      <c r="J44" s="407"/>
      <c r="K44" s="407"/>
    </row>
    <row r="45" spans="1:11">
      <c r="A45" s="402"/>
      <c r="B45" s="402"/>
      <c r="F45" s="406"/>
      <c r="G45" s="406"/>
      <c r="H45" s="407"/>
      <c r="I45" s="407"/>
      <c r="J45" s="407"/>
      <c r="K45" s="407"/>
    </row>
    <row r="46" spans="1:11">
      <c r="A46" s="402"/>
      <c r="B46" s="402"/>
      <c r="F46" s="406"/>
      <c r="G46" s="406"/>
      <c r="H46" s="407"/>
      <c r="I46" s="407"/>
      <c r="J46" s="407"/>
      <c r="K46" s="407"/>
    </row>
    <row r="47" spans="1:11">
      <c r="A47" s="402"/>
      <c r="B47" s="402"/>
      <c r="F47" s="406"/>
      <c r="G47" s="406"/>
      <c r="H47" s="407"/>
      <c r="I47" s="407"/>
      <c r="J47" s="407"/>
      <c r="K47" s="407"/>
    </row>
    <row r="48" spans="1:11">
      <c r="A48" s="402"/>
      <c r="B48" s="402"/>
      <c r="F48" s="406"/>
      <c r="G48" s="406"/>
      <c r="H48" s="407"/>
      <c r="I48" s="407"/>
      <c r="J48" s="407"/>
      <c r="K48" s="407"/>
    </row>
    <row r="49" spans="1:11">
      <c r="A49" s="405" t="s">
        <v>425</v>
      </c>
      <c r="B49" s="402" t="s">
        <v>143</v>
      </c>
      <c r="F49" s="406">
        <v>98458</v>
      </c>
      <c r="G49" s="406">
        <v>714</v>
      </c>
      <c r="H49" s="407">
        <v>4951540</v>
      </c>
      <c r="I49" s="407">
        <v>3220548</v>
      </c>
      <c r="J49" s="407">
        <v>0</v>
      </c>
      <c r="K49" s="407">
        <v>8172088</v>
      </c>
    </row>
    <row r="52" spans="1:11">
      <c r="A52" s="405" t="s">
        <v>92</v>
      </c>
      <c r="B52" s="404" t="s">
        <v>38</v>
      </c>
    </row>
    <row r="53" spans="1:11">
      <c r="A53" s="402" t="s">
        <v>426</v>
      </c>
      <c r="B53" s="402" t="s">
        <v>634</v>
      </c>
      <c r="F53" s="406">
        <v>0</v>
      </c>
      <c r="G53" s="406">
        <v>0</v>
      </c>
      <c r="H53" s="407">
        <v>280142</v>
      </c>
      <c r="I53" s="407">
        <v>0</v>
      </c>
      <c r="J53" s="407">
        <v>0</v>
      </c>
      <c r="K53" s="407">
        <v>280142</v>
      </c>
    </row>
    <row r="54" spans="1:11">
      <c r="A54" s="402" t="s">
        <v>635</v>
      </c>
      <c r="B54" s="402" t="s">
        <v>367</v>
      </c>
      <c r="F54" s="406">
        <v>42802</v>
      </c>
      <c r="G54" s="406">
        <v>5666</v>
      </c>
      <c r="H54" s="407">
        <v>4321255</v>
      </c>
      <c r="I54" s="407">
        <v>0</v>
      </c>
      <c r="J54" s="407">
        <v>2772543</v>
      </c>
      <c r="K54" s="407">
        <v>1548712</v>
      </c>
    </row>
    <row r="55" spans="1:11">
      <c r="A55" s="402" t="s">
        <v>636</v>
      </c>
      <c r="B55" s="402" t="s">
        <v>637</v>
      </c>
      <c r="F55" s="406">
        <v>209000</v>
      </c>
      <c r="G55" s="406">
        <v>665</v>
      </c>
      <c r="H55" s="407">
        <v>14022400</v>
      </c>
      <c r="I55" s="407">
        <v>3406502</v>
      </c>
      <c r="J55" s="407">
        <v>15444601</v>
      </c>
      <c r="K55" s="407">
        <v>1984301</v>
      </c>
    </row>
    <row r="56" spans="1:11">
      <c r="A56" s="402" t="s">
        <v>638</v>
      </c>
      <c r="B56" s="402" t="s">
        <v>639</v>
      </c>
      <c r="F56" s="406">
        <v>0</v>
      </c>
      <c r="G56" s="406">
        <v>0</v>
      </c>
      <c r="H56" s="407">
        <v>4865000</v>
      </c>
      <c r="I56" s="407">
        <v>2165548</v>
      </c>
      <c r="J56" s="407">
        <v>5275728</v>
      </c>
      <c r="K56" s="407">
        <v>1754820</v>
      </c>
    </row>
    <row r="57" spans="1:11">
      <c r="A57" s="402" t="s">
        <v>640</v>
      </c>
      <c r="B57" s="402" t="s">
        <v>641</v>
      </c>
      <c r="F57" s="406">
        <v>0</v>
      </c>
      <c r="G57" s="406">
        <v>0</v>
      </c>
      <c r="H57" s="407">
        <v>61837</v>
      </c>
      <c r="I57" s="407">
        <v>0</v>
      </c>
      <c r="J57" s="407">
        <v>0</v>
      </c>
      <c r="K57" s="407">
        <v>61837</v>
      </c>
    </row>
    <row r="58" spans="1:11">
      <c r="A58" s="402"/>
      <c r="B58" s="402"/>
      <c r="F58" s="406"/>
      <c r="G58" s="406"/>
      <c r="H58" s="407"/>
      <c r="I58" s="407"/>
      <c r="J58" s="407"/>
      <c r="K58" s="407"/>
    </row>
    <row r="59" spans="1:11">
      <c r="A59" s="402"/>
      <c r="B59" s="402"/>
      <c r="F59" s="406"/>
      <c r="G59" s="406"/>
      <c r="H59" s="407"/>
      <c r="I59" s="407"/>
      <c r="J59" s="407"/>
      <c r="K59" s="407"/>
    </row>
    <row r="60" spans="1:11">
      <c r="A60" s="402"/>
      <c r="B60" s="402"/>
      <c r="F60" s="406"/>
      <c r="G60" s="406"/>
      <c r="H60" s="407"/>
      <c r="I60" s="407"/>
      <c r="J60" s="407"/>
      <c r="K60" s="407"/>
    </row>
    <row r="61" spans="1:11">
      <c r="A61" s="402"/>
      <c r="B61" s="402"/>
      <c r="F61" s="406"/>
      <c r="G61" s="406"/>
      <c r="H61" s="407"/>
      <c r="I61" s="407"/>
      <c r="J61" s="407"/>
      <c r="K61" s="407"/>
    </row>
    <row r="62" spans="1:11">
      <c r="A62" s="402"/>
      <c r="B62" s="402"/>
      <c r="F62" s="406"/>
      <c r="G62" s="406"/>
      <c r="H62" s="407"/>
      <c r="I62" s="407"/>
      <c r="J62" s="407"/>
      <c r="K62" s="407"/>
    </row>
    <row r="63" spans="1:11">
      <c r="A63" s="402"/>
      <c r="B63" s="402"/>
      <c r="F63" s="406"/>
      <c r="G63" s="406"/>
      <c r="H63" s="407"/>
      <c r="I63" s="407"/>
      <c r="J63" s="407"/>
      <c r="K63" s="407"/>
    </row>
    <row r="64" spans="1:11">
      <c r="A64" s="405" t="s">
        <v>428</v>
      </c>
      <c r="B64" s="402" t="s">
        <v>145</v>
      </c>
      <c r="F64" s="406">
        <v>251802</v>
      </c>
      <c r="G64" s="406">
        <v>6331</v>
      </c>
      <c r="H64" s="407">
        <v>23550634</v>
      </c>
      <c r="I64" s="407">
        <v>5572050</v>
      </c>
      <c r="J64" s="407">
        <v>23492872</v>
      </c>
      <c r="K64" s="407">
        <v>5629812</v>
      </c>
    </row>
    <row r="67" spans="1:11">
      <c r="A67" s="405" t="s">
        <v>102</v>
      </c>
      <c r="B67" s="404" t="s">
        <v>12</v>
      </c>
    </row>
    <row r="68" spans="1:11">
      <c r="A68" s="402" t="s">
        <v>429</v>
      </c>
      <c r="B68" s="402" t="s">
        <v>52</v>
      </c>
      <c r="F68" s="406">
        <v>0</v>
      </c>
      <c r="G68" s="406">
        <v>0</v>
      </c>
      <c r="H68" s="407">
        <v>0</v>
      </c>
      <c r="I68" s="407">
        <v>0</v>
      </c>
      <c r="J68" s="407">
        <v>0</v>
      </c>
      <c r="K68" s="407">
        <v>0</v>
      </c>
    </row>
    <row r="69" spans="1:11">
      <c r="A69" s="402" t="s">
        <v>430</v>
      </c>
      <c r="B69" s="402" t="s">
        <v>53</v>
      </c>
      <c r="F69" s="406">
        <v>0</v>
      </c>
      <c r="G69" s="406">
        <v>0</v>
      </c>
      <c r="H69" s="407">
        <v>0</v>
      </c>
      <c r="I69" s="407">
        <v>0</v>
      </c>
      <c r="J69" s="407">
        <v>0</v>
      </c>
      <c r="K69" s="407">
        <v>0</v>
      </c>
    </row>
    <row r="70" spans="1:11">
      <c r="A70" s="402"/>
      <c r="B70" s="402"/>
      <c r="F70" s="406"/>
      <c r="G70" s="406"/>
      <c r="H70" s="407"/>
      <c r="I70" s="407"/>
      <c r="J70" s="407"/>
      <c r="K70" s="407"/>
    </row>
    <row r="71" spans="1:11">
      <c r="A71" s="402"/>
      <c r="B71" s="402"/>
      <c r="F71" s="406"/>
      <c r="G71" s="406"/>
      <c r="H71" s="407"/>
      <c r="I71" s="407"/>
      <c r="J71" s="407"/>
      <c r="K71" s="407"/>
    </row>
    <row r="72" spans="1:11">
      <c r="A72" s="402"/>
      <c r="B72" s="402"/>
      <c r="F72" s="406"/>
      <c r="G72" s="406"/>
      <c r="H72" s="407"/>
      <c r="I72" s="407"/>
      <c r="J72" s="407"/>
      <c r="K72" s="407"/>
    </row>
    <row r="73" spans="1:11">
      <c r="A73" s="402"/>
      <c r="B73" s="402"/>
      <c r="F73" s="406"/>
      <c r="G73" s="406"/>
      <c r="H73" s="407"/>
      <c r="I73" s="407"/>
      <c r="J73" s="407"/>
      <c r="K73" s="407"/>
    </row>
    <row r="74" spans="1:11">
      <c r="A74" s="405" t="s">
        <v>431</v>
      </c>
      <c r="B74" s="402" t="s">
        <v>147</v>
      </c>
      <c r="F74" s="406">
        <v>0</v>
      </c>
      <c r="G74" s="406">
        <v>0</v>
      </c>
      <c r="H74" s="407">
        <v>0</v>
      </c>
      <c r="I74" s="407">
        <v>0</v>
      </c>
      <c r="J74" s="407">
        <v>0</v>
      </c>
      <c r="K74" s="407">
        <v>0</v>
      </c>
    </row>
    <row r="76" spans="1:11">
      <c r="A76" s="405" t="s">
        <v>105</v>
      </c>
      <c r="B76" s="404" t="s">
        <v>106</v>
      </c>
    </row>
    <row r="77" spans="1:11">
      <c r="A77" s="402" t="s">
        <v>432</v>
      </c>
      <c r="B77" s="402" t="s">
        <v>54</v>
      </c>
      <c r="F77" s="406">
        <v>0</v>
      </c>
      <c r="G77" s="406">
        <v>0</v>
      </c>
      <c r="H77" s="407">
        <v>29607</v>
      </c>
      <c r="I77" s="407">
        <v>0</v>
      </c>
      <c r="J77" s="407">
        <v>2000</v>
      </c>
      <c r="K77" s="407">
        <v>27607</v>
      </c>
    </row>
    <row r="78" spans="1:11">
      <c r="A78" s="402" t="s">
        <v>433</v>
      </c>
      <c r="B78" s="402" t="s">
        <v>55</v>
      </c>
      <c r="F78" s="406">
        <v>0</v>
      </c>
      <c r="G78" s="406">
        <v>0</v>
      </c>
      <c r="H78" s="407">
        <v>0</v>
      </c>
      <c r="I78" s="407">
        <v>0</v>
      </c>
      <c r="J78" s="407">
        <v>0</v>
      </c>
      <c r="K78" s="407">
        <v>0</v>
      </c>
    </row>
    <row r="79" spans="1:11">
      <c r="A79" s="402" t="s">
        <v>434</v>
      </c>
      <c r="B79" s="402" t="s">
        <v>13</v>
      </c>
      <c r="F79" s="406">
        <v>12</v>
      </c>
      <c r="G79" s="406">
        <v>1100</v>
      </c>
      <c r="H79" s="407">
        <v>3662</v>
      </c>
      <c r="I79" s="407">
        <v>2417</v>
      </c>
      <c r="J79" s="407">
        <v>0</v>
      </c>
      <c r="K79" s="407">
        <v>6079</v>
      </c>
    </row>
    <row r="80" spans="1:11">
      <c r="A80" s="402" t="s">
        <v>435</v>
      </c>
      <c r="B80" s="402" t="s">
        <v>436</v>
      </c>
      <c r="F80" s="406">
        <v>0</v>
      </c>
      <c r="G80" s="406">
        <v>0</v>
      </c>
      <c r="H80" s="407">
        <v>0</v>
      </c>
      <c r="I80" s="407">
        <v>0</v>
      </c>
      <c r="J80" s="407">
        <v>0</v>
      </c>
      <c r="K80" s="407">
        <v>0</v>
      </c>
    </row>
    <row r="81" spans="1:11">
      <c r="A81" s="402"/>
      <c r="B81" s="402"/>
      <c r="F81" s="406"/>
      <c r="G81" s="406"/>
      <c r="H81" s="407"/>
      <c r="I81" s="407"/>
      <c r="J81" s="407"/>
      <c r="K81" s="407"/>
    </row>
    <row r="82" spans="1:11">
      <c r="A82" s="405" t="s">
        <v>437</v>
      </c>
      <c r="B82" s="402" t="s">
        <v>54</v>
      </c>
      <c r="F82" s="406">
        <v>12</v>
      </c>
      <c r="G82" s="406">
        <v>1100</v>
      </c>
      <c r="H82" s="407">
        <v>33269</v>
      </c>
      <c r="I82" s="407">
        <v>2417</v>
      </c>
      <c r="J82" s="407">
        <v>2000</v>
      </c>
      <c r="K82" s="407">
        <v>33686</v>
      </c>
    </row>
    <row r="85" spans="1:11">
      <c r="A85" s="405" t="s">
        <v>111</v>
      </c>
      <c r="B85" s="404" t="s">
        <v>57</v>
      </c>
    </row>
    <row r="86" spans="1:11">
      <c r="A86" s="402" t="s">
        <v>438</v>
      </c>
      <c r="B86" s="402" t="s">
        <v>113</v>
      </c>
      <c r="F86" s="406">
        <v>0</v>
      </c>
      <c r="G86" s="406">
        <v>0</v>
      </c>
      <c r="H86" s="407">
        <v>0</v>
      </c>
      <c r="I86" s="407">
        <v>0</v>
      </c>
      <c r="J86" s="407">
        <v>0</v>
      </c>
      <c r="K86" s="407">
        <v>0</v>
      </c>
    </row>
    <row r="87" spans="1:11">
      <c r="A87" s="402" t="s">
        <v>439</v>
      </c>
      <c r="B87" s="402" t="s">
        <v>14</v>
      </c>
      <c r="F87" s="406">
        <v>0</v>
      </c>
      <c r="G87" s="406">
        <v>0</v>
      </c>
      <c r="H87" s="407">
        <v>0</v>
      </c>
      <c r="I87" s="407">
        <v>0</v>
      </c>
      <c r="J87" s="407">
        <v>0</v>
      </c>
      <c r="K87" s="407">
        <v>0</v>
      </c>
    </row>
    <row r="88" spans="1:11">
      <c r="A88" s="402" t="s">
        <v>440</v>
      </c>
      <c r="B88" s="402" t="s">
        <v>116</v>
      </c>
      <c r="F88" s="406">
        <v>28900</v>
      </c>
      <c r="G88" s="406">
        <v>26</v>
      </c>
      <c r="H88" s="407">
        <v>532785</v>
      </c>
      <c r="I88" s="407">
        <v>176151</v>
      </c>
      <c r="J88" s="407">
        <v>358944</v>
      </c>
      <c r="K88" s="407">
        <v>349992</v>
      </c>
    </row>
    <row r="89" spans="1:11">
      <c r="A89" s="402" t="s">
        <v>441</v>
      </c>
      <c r="B89" s="402" t="s">
        <v>58</v>
      </c>
      <c r="F89" s="406">
        <v>0</v>
      </c>
      <c r="G89" s="406">
        <v>0</v>
      </c>
      <c r="H89" s="407">
        <v>0</v>
      </c>
      <c r="I89" s="407">
        <v>0</v>
      </c>
      <c r="J89" s="407">
        <v>0</v>
      </c>
      <c r="K89" s="407">
        <v>0</v>
      </c>
    </row>
    <row r="90" spans="1:11">
      <c r="A90" s="402" t="s">
        <v>442</v>
      </c>
      <c r="B90" s="402" t="s">
        <v>59</v>
      </c>
      <c r="F90" s="406">
        <v>0</v>
      </c>
      <c r="G90" s="406">
        <v>0</v>
      </c>
      <c r="H90" s="407">
        <v>0</v>
      </c>
      <c r="I90" s="407">
        <v>0</v>
      </c>
      <c r="J90" s="407">
        <v>0</v>
      </c>
      <c r="K90" s="407">
        <v>0</v>
      </c>
    </row>
    <row r="91" spans="1:11">
      <c r="A91" s="402" t="s">
        <v>443</v>
      </c>
      <c r="B91" s="402" t="s">
        <v>60</v>
      </c>
      <c r="F91" s="406">
        <v>0</v>
      </c>
      <c r="G91" s="406">
        <v>0</v>
      </c>
      <c r="H91" s="407">
        <v>26385</v>
      </c>
      <c r="I91" s="407">
        <v>0</v>
      </c>
      <c r="J91" s="407">
        <v>0</v>
      </c>
      <c r="K91" s="407">
        <v>26385</v>
      </c>
    </row>
    <row r="92" spans="1:11">
      <c r="A92" s="402" t="s">
        <v>444</v>
      </c>
      <c r="B92" s="402" t="s">
        <v>121</v>
      </c>
      <c r="F92" s="406">
        <v>20</v>
      </c>
      <c r="G92" s="406">
        <v>2</v>
      </c>
      <c r="H92" s="407">
        <v>8712</v>
      </c>
      <c r="I92" s="407">
        <v>5750</v>
      </c>
      <c r="J92" s="407">
        <v>0</v>
      </c>
      <c r="K92" s="407">
        <v>14462</v>
      </c>
    </row>
    <row r="93" spans="1:11">
      <c r="A93" s="402" t="s">
        <v>445</v>
      </c>
      <c r="B93" s="402" t="s">
        <v>123</v>
      </c>
      <c r="F93" s="406">
        <v>0</v>
      </c>
      <c r="G93" s="406">
        <v>0</v>
      </c>
      <c r="H93" s="407">
        <v>0</v>
      </c>
      <c r="I93" s="407">
        <v>0</v>
      </c>
      <c r="J93" s="407">
        <v>0</v>
      </c>
      <c r="K93" s="407">
        <v>0</v>
      </c>
    </row>
    <row r="94" spans="1:11">
      <c r="A94" s="402"/>
      <c r="B94" s="402"/>
      <c r="F94" s="406"/>
      <c r="G94" s="406"/>
      <c r="H94" s="407"/>
      <c r="I94" s="407"/>
      <c r="J94" s="407"/>
      <c r="K94" s="407"/>
    </row>
    <row r="95" spans="1:11">
      <c r="A95" s="402"/>
      <c r="B95" s="402"/>
      <c r="F95" s="406"/>
      <c r="G95" s="406"/>
      <c r="H95" s="407"/>
      <c r="I95" s="407"/>
      <c r="J95" s="407"/>
      <c r="K95" s="407"/>
    </row>
    <row r="96" spans="1:11">
      <c r="A96" s="402"/>
      <c r="B96" s="402"/>
      <c r="F96" s="406"/>
      <c r="G96" s="406"/>
      <c r="H96" s="407"/>
      <c r="I96" s="407"/>
      <c r="J96" s="407"/>
      <c r="K96" s="407"/>
    </row>
    <row r="97" spans="1:11">
      <c r="A97" s="402"/>
      <c r="B97" s="402"/>
      <c r="F97" s="406"/>
      <c r="G97" s="406"/>
      <c r="H97" s="407"/>
      <c r="I97" s="407"/>
      <c r="J97" s="407"/>
      <c r="K97" s="407"/>
    </row>
    <row r="98" spans="1:11">
      <c r="A98" s="405" t="s">
        <v>446</v>
      </c>
      <c r="B98" s="402" t="s">
        <v>151</v>
      </c>
      <c r="F98" s="406">
        <v>28920</v>
      </c>
      <c r="G98" s="406">
        <v>28</v>
      </c>
      <c r="H98" s="407">
        <v>567882</v>
      </c>
      <c r="I98" s="407">
        <v>181901</v>
      </c>
      <c r="J98" s="407">
        <v>358944</v>
      </c>
      <c r="K98" s="407">
        <v>390839</v>
      </c>
    </row>
    <row r="101" spans="1:11">
      <c r="A101" s="405" t="s">
        <v>130</v>
      </c>
      <c r="B101" s="404" t="s">
        <v>63</v>
      </c>
    </row>
    <row r="102" spans="1:11">
      <c r="A102" s="402" t="s">
        <v>447</v>
      </c>
      <c r="B102" s="402" t="s">
        <v>152</v>
      </c>
      <c r="F102" s="406">
        <v>1788</v>
      </c>
      <c r="G102" s="406">
        <v>0</v>
      </c>
      <c r="H102" s="407">
        <v>120054</v>
      </c>
      <c r="I102" s="407">
        <v>54262</v>
      </c>
      <c r="J102" s="407">
        <v>0</v>
      </c>
      <c r="K102" s="407">
        <v>174316</v>
      </c>
    </row>
    <row r="103" spans="1:11">
      <c r="A103" s="402" t="s">
        <v>448</v>
      </c>
      <c r="B103" s="402" t="s">
        <v>62</v>
      </c>
      <c r="F103" s="406">
        <v>0</v>
      </c>
      <c r="G103" s="406">
        <v>0</v>
      </c>
      <c r="H103" s="407">
        <v>0</v>
      </c>
      <c r="I103" s="407">
        <v>0</v>
      </c>
      <c r="J103" s="407">
        <v>0</v>
      </c>
      <c r="K103" s="407">
        <v>0</v>
      </c>
    </row>
    <row r="104" spans="1:11">
      <c r="A104" s="402" t="s">
        <v>642</v>
      </c>
      <c r="B104" s="402" t="s">
        <v>643</v>
      </c>
      <c r="F104" s="406">
        <v>0</v>
      </c>
      <c r="G104" s="406">
        <v>0</v>
      </c>
      <c r="H104" s="407">
        <v>30034</v>
      </c>
      <c r="I104" s="407">
        <v>0</v>
      </c>
      <c r="J104" s="407">
        <v>0</v>
      </c>
      <c r="K104" s="407">
        <v>30034</v>
      </c>
    </row>
    <row r="105" spans="1:11">
      <c r="A105" s="402"/>
      <c r="B105" s="402"/>
      <c r="F105" s="406"/>
      <c r="G105" s="406"/>
      <c r="H105" s="407"/>
      <c r="I105" s="407"/>
      <c r="J105" s="407"/>
      <c r="K105" s="407"/>
    </row>
    <row r="106" spans="1:11">
      <c r="A106" s="402"/>
      <c r="B106" s="402"/>
      <c r="F106" s="406"/>
      <c r="G106" s="406"/>
      <c r="H106" s="407"/>
      <c r="I106" s="407"/>
      <c r="J106" s="407"/>
      <c r="K106" s="407"/>
    </row>
    <row r="107" spans="1:11">
      <c r="A107" s="402"/>
      <c r="B107" s="402"/>
      <c r="F107" s="406"/>
      <c r="G107" s="406"/>
      <c r="H107" s="407"/>
      <c r="I107" s="407"/>
      <c r="J107" s="407"/>
      <c r="K107" s="407"/>
    </row>
    <row r="108" spans="1:11">
      <c r="A108" s="405" t="s">
        <v>449</v>
      </c>
      <c r="B108" s="402" t="s">
        <v>154</v>
      </c>
      <c r="F108" s="406">
        <v>1788</v>
      </c>
      <c r="G108" s="406">
        <v>0</v>
      </c>
      <c r="H108" s="407">
        <v>150088</v>
      </c>
      <c r="I108" s="407">
        <v>54262</v>
      </c>
      <c r="J108" s="407">
        <v>0</v>
      </c>
      <c r="K108" s="407">
        <v>204350</v>
      </c>
    </row>
    <row r="110" spans="1:11">
      <c r="A110" s="404" t="s">
        <v>156</v>
      </c>
      <c r="B110" s="404" t="s">
        <v>39</v>
      </c>
    </row>
    <row r="111" spans="1:11">
      <c r="A111" s="402" t="s">
        <v>450</v>
      </c>
      <c r="B111" s="401" t="s">
        <v>164</v>
      </c>
      <c r="F111" s="407">
        <v>7581945</v>
      </c>
    </row>
    <row r="113" spans="1:6">
      <c r="A113" s="404"/>
      <c r="B113" s="404" t="s">
        <v>15</v>
      </c>
    </row>
    <row r="114" spans="1:6">
      <c r="A114" s="402" t="s">
        <v>451</v>
      </c>
      <c r="B114" s="401" t="s">
        <v>452</v>
      </c>
      <c r="F114" s="408">
        <v>0.66</v>
      </c>
    </row>
    <row r="116" spans="1:6">
      <c r="A116" s="404" t="s">
        <v>170</v>
      </c>
      <c r="B116" s="404" t="s">
        <v>16</v>
      </c>
    </row>
    <row r="117" spans="1:6">
      <c r="A117" s="402" t="s">
        <v>453</v>
      </c>
      <c r="B117" s="401" t="s">
        <v>17</v>
      </c>
      <c r="F117" s="407">
        <v>292653760</v>
      </c>
    </row>
    <row r="118" spans="1:6">
      <c r="A118" s="402" t="s">
        <v>454</v>
      </c>
      <c r="B118" s="401" t="s">
        <v>18</v>
      </c>
      <c r="F118" s="407">
        <v>14622284</v>
      </c>
    </row>
    <row r="119" spans="1:6">
      <c r="A119" s="402" t="s">
        <v>455</v>
      </c>
      <c r="B119" s="404" t="s">
        <v>19</v>
      </c>
      <c r="F119" s="406">
        <v>307276044</v>
      </c>
    </row>
    <row r="121" spans="1:6">
      <c r="A121" s="402" t="s">
        <v>456</v>
      </c>
      <c r="B121" s="401" t="s">
        <v>282</v>
      </c>
      <c r="F121" s="407">
        <v>303307419</v>
      </c>
    </row>
    <row r="123" spans="1:6">
      <c r="A123" s="402" t="s">
        <v>457</v>
      </c>
      <c r="B123" s="401" t="s">
        <v>458</v>
      </c>
      <c r="F123" s="407">
        <v>3968625</v>
      </c>
    </row>
    <row r="125" spans="1:6">
      <c r="A125" s="402" t="s">
        <v>459</v>
      </c>
      <c r="B125" s="401" t="s">
        <v>460</v>
      </c>
      <c r="F125" s="407">
        <v>3219</v>
      </c>
    </row>
    <row r="127" spans="1:6">
      <c r="A127" s="402" t="s">
        <v>461</v>
      </c>
      <c r="B127" s="401" t="s">
        <v>462</v>
      </c>
      <c r="F127" s="407">
        <v>3971844</v>
      </c>
    </row>
    <row r="130" spans="1:11">
      <c r="A130" s="405" t="s">
        <v>157</v>
      </c>
      <c r="B130" s="404" t="s">
        <v>23</v>
      </c>
    </row>
    <row r="131" spans="1:11">
      <c r="A131" s="402" t="s">
        <v>463</v>
      </c>
      <c r="B131" s="402" t="s">
        <v>24</v>
      </c>
      <c r="F131" s="406">
        <v>0</v>
      </c>
      <c r="G131" s="406">
        <v>0</v>
      </c>
      <c r="H131" s="407">
        <v>0</v>
      </c>
      <c r="I131" s="407">
        <v>0</v>
      </c>
      <c r="J131" s="407">
        <v>0</v>
      </c>
      <c r="K131" s="407">
        <v>0</v>
      </c>
    </row>
    <row r="132" spans="1:11">
      <c r="A132" s="402" t="s">
        <v>464</v>
      </c>
      <c r="B132" s="402" t="s">
        <v>25</v>
      </c>
      <c r="F132" s="406">
        <v>0</v>
      </c>
      <c r="G132" s="406">
        <v>0</v>
      </c>
      <c r="H132" s="407">
        <v>0</v>
      </c>
      <c r="I132" s="407">
        <v>0</v>
      </c>
      <c r="J132" s="407">
        <v>0</v>
      </c>
      <c r="K132" s="407">
        <v>0</v>
      </c>
    </row>
    <row r="133" spans="1:11">
      <c r="A133" s="402"/>
      <c r="B133" s="402"/>
      <c r="F133" s="406"/>
      <c r="G133" s="406"/>
      <c r="H133" s="407"/>
      <c r="I133" s="407"/>
      <c r="J133" s="407"/>
      <c r="K133" s="407"/>
    </row>
    <row r="134" spans="1:11">
      <c r="A134" s="402"/>
      <c r="B134" s="402"/>
      <c r="F134" s="406"/>
      <c r="G134" s="406"/>
      <c r="H134" s="407"/>
      <c r="I134" s="407"/>
      <c r="J134" s="407"/>
      <c r="K134" s="407"/>
    </row>
    <row r="135" spans="1:11">
      <c r="A135" s="402"/>
      <c r="B135" s="402"/>
      <c r="F135" s="406"/>
      <c r="G135" s="406"/>
      <c r="H135" s="407"/>
      <c r="I135" s="407"/>
      <c r="J135" s="407"/>
      <c r="K135" s="407"/>
    </row>
    <row r="136" spans="1:11">
      <c r="A136" s="402"/>
      <c r="B136" s="402"/>
      <c r="F136" s="406"/>
      <c r="G136" s="406"/>
      <c r="H136" s="407"/>
      <c r="I136" s="407"/>
      <c r="J136" s="407"/>
      <c r="K136" s="407"/>
    </row>
    <row r="137" spans="1:11">
      <c r="A137" s="405" t="s">
        <v>465</v>
      </c>
      <c r="B137" s="402" t="s">
        <v>466</v>
      </c>
      <c r="F137" s="406">
        <v>0</v>
      </c>
      <c r="G137" s="406">
        <v>0</v>
      </c>
      <c r="H137" s="407">
        <v>0</v>
      </c>
      <c r="I137" s="407">
        <v>0</v>
      </c>
      <c r="J137" s="407">
        <v>0</v>
      </c>
      <c r="K137" s="407">
        <v>0</v>
      </c>
    </row>
    <row r="140" spans="1:11">
      <c r="A140" s="405" t="s">
        <v>166</v>
      </c>
      <c r="B140" s="404" t="s">
        <v>26</v>
      </c>
    </row>
    <row r="141" spans="1:11">
      <c r="A141" s="402" t="s">
        <v>420</v>
      </c>
      <c r="B141" s="402" t="s">
        <v>64</v>
      </c>
      <c r="F141" s="406">
        <v>13997</v>
      </c>
      <c r="G141" s="406">
        <v>24119</v>
      </c>
      <c r="H141" s="407">
        <v>631364</v>
      </c>
      <c r="I141" s="407">
        <v>321746</v>
      </c>
      <c r="J141" s="407">
        <v>47889</v>
      </c>
      <c r="K141" s="407">
        <v>905221</v>
      </c>
    </row>
    <row r="142" spans="1:11">
      <c r="A142" s="402" t="s">
        <v>425</v>
      </c>
      <c r="B142" s="402" t="s">
        <v>65</v>
      </c>
      <c r="F142" s="406">
        <v>98458</v>
      </c>
      <c r="G142" s="406">
        <v>714</v>
      </c>
      <c r="H142" s="407">
        <v>4951540</v>
      </c>
      <c r="I142" s="407">
        <v>3220548</v>
      </c>
      <c r="J142" s="407">
        <v>0</v>
      </c>
      <c r="K142" s="407">
        <v>8172088</v>
      </c>
    </row>
    <row r="143" spans="1:11">
      <c r="A143" s="402" t="s">
        <v>428</v>
      </c>
      <c r="B143" s="402" t="s">
        <v>66</v>
      </c>
      <c r="F143" s="406">
        <v>251802</v>
      </c>
      <c r="G143" s="406">
        <v>6331</v>
      </c>
      <c r="H143" s="407">
        <v>23550634</v>
      </c>
      <c r="I143" s="407">
        <v>5572050</v>
      </c>
      <c r="J143" s="407">
        <v>23492872</v>
      </c>
      <c r="K143" s="407">
        <v>5629812</v>
      </c>
    </row>
    <row r="144" spans="1:11">
      <c r="A144" s="402" t="s">
        <v>431</v>
      </c>
      <c r="B144" s="402" t="s">
        <v>67</v>
      </c>
      <c r="F144" s="406">
        <v>0</v>
      </c>
      <c r="G144" s="406">
        <v>0</v>
      </c>
      <c r="H144" s="407">
        <v>0</v>
      </c>
      <c r="I144" s="407">
        <v>0</v>
      </c>
      <c r="J144" s="407">
        <v>0</v>
      </c>
      <c r="K144" s="407">
        <v>0</v>
      </c>
    </row>
    <row r="145" spans="1:11">
      <c r="A145" s="402" t="s">
        <v>437</v>
      </c>
      <c r="B145" s="402" t="s">
        <v>68</v>
      </c>
      <c r="F145" s="406">
        <v>12</v>
      </c>
      <c r="G145" s="406">
        <v>1100</v>
      </c>
      <c r="H145" s="407">
        <v>33269</v>
      </c>
      <c r="I145" s="407">
        <v>2417</v>
      </c>
      <c r="J145" s="407">
        <v>2000</v>
      </c>
      <c r="K145" s="407">
        <v>33686</v>
      </c>
    </row>
    <row r="146" spans="1:11">
      <c r="A146" s="402" t="s">
        <v>446</v>
      </c>
      <c r="B146" s="402" t="s">
        <v>69</v>
      </c>
      <c r="F146" s="406">
        <v>28920</v>
      </c>
      <c r="G146" s="406">
        <v>28</v>
      </c>
      <c r="H146" s="407">
        <v>567882</v>
      </c>
      <c r="I146" s="407">
        <v>181901</v>
      </c>
      <c r="J146" s="407">
        <v>358944</v>
      </c>
      <c r="K146" s="407">
        <v>390839</v>
      </c>
    </row>
    <row r="147" spans="1:11">
      <c r="A147" s="402" t="s">
        <v>449</v>
      </c>
      <c r="B147" s="402" t="s">
        <v>61</v>
      </c>
      <c r="F147" s="406">
        <v>1788</v>
      </c>
      <c r="G147" s="406">
        <v>0</v>
      </c>
      <c r="H147" s="407">
        <v>150088</v>
      </c>
      <c r="I147" s="407">
        <v>54262</v>
      </c>
      <c r="J147" s="407">
        <v>0</v>
      </c>
      <c r="K147" s="407">
        <v>204350</v>
      </c>
    </row>
    <row r="148" spans="1:11">
      <c r="A148" s="402" t="s">
        <v>450</v>
      </c>
      <c r="B148" s="402" t="s">
        <v>70</v>
      </c>
      <c r="F148" s="401" t="s">
        <v>73</v>
      </c>
      <c r="G148" s="401" t="s">
        <v>73</v>
      </c>
      <c r="H148" s="401" t="s">
        <v>73</v>
      </c>
      <c r="I148" s="401" t="s">
        <v>73</v>
      </c>
      <c r="J148" s="401" t="s">
        <v>73</v>
      </c>
      <c r="K148" s="407">
        <v>7581945</v>
      </c>
    </row>
    <row r="149" spans="1:11">
      <c r="A149" s="402" t="s">
        <v>465</v>
      </c>
      <c r="B149" s="402" t="s">
        <v>71</v>
      </c>
      <c r="F149" s="406">
        <v>0</v>
      </c>
      <c r="G149" s="406">
        <v>0</v>
      </c>
      <c r="H149" s="407">
        <v>0</v>
      </c>
      <c r="I149" s="407">
        <v>0</v>
      </c>
      <c r="J149" s="407">
        <v>0</v>
      </c>
      <c r="K149" s="407">
        <v>0</v>
      </c>
    </row>
    <row r="150" spans="1:11">
      <c r="A150" s="402" t="s">
        <v>408</v>
      </c>
      <c r="B150" s="402" t="s">
        <v>186</v>
      </c>
      <c r="F150" s="401" t="s">
        <v>73</v>
      </c>
      <c r="G150" s="401" t="s">
        <v>73</v>
      </c>
      <c r="H150" s="407">
        <v>7767517</v>
      </c>
      <c r="I150" s="407">
        <v>0</v>
      </c>
      <c r="J150" s="407">
        <v>6642198.4100000001</v>
      </c>
      <c r="K150" s="407">
        <v>1125318.5900000001</v>
      </c>
    </row>
    <row r="151" spans="1:11">
      <c r="A151" s="402"/>
      <c r="B151" s="402"/>
      <c r="H151" s="407"/>
      <c r="I151" s="407"/>
      <c r="J151" s="407"/>
      <c r="K151" s="407"/>
    </row>
    <row r="152" spans="1:11">
      <c r="A152" s="405" t="s">
        <v>467</v>
      </c>
      <c r="B152" s="402" t="s">
        <v>26</v>
      </c>
      <c r="F152" s="406">
        <v>394977</v>
      </c>
      <c r="G152" s="406">
        <v>32292</v>
      </c>
      <c r="H152" s="407">
        <v>37652294</v>
      </c>
      <c r="I152" s="407">
        <v>9352924</v>
      </c>
      <c r="J152" s="407">
        <v>30543903.41</v>
      </c>
      <c r="K152" s="407">
        <v>24043259.59</v>
      </c>
    </row>
    <row r="154" spans="1:11">
      <c r="A154" s="402" t="s">
        <v>468</v>
      </c>
      <c r="B154" s="404" t="s">
        <v>28</v>
      </c>
      <c r="F154" s="406">
        <v>7.93</v>
      </c>
    </row>
    <row r="155" spans="1:11">
      <c r="A155" s="402" t="s">
        <v>469</v>
      </c>
      <c r="B155" s="404" t="s">
        <v>72</v>
      </c>
      <c r="F155" s="406">
        <v>605.34</v>
      </c>
    </row>
  </sheetData>
  <mergeCells count="7">
    <mergeCell ref="C11:G11"/>
    <mergeCell ref="D2:H2"/>
    <mergeCell ref="C5:G5"/>
    <mergeCell ref="C6:G6"/>
    <mergeCell ref="C7:G7"/>
    <mergeCell ref="C9:G9"/>
    <mergeCell ref="C10:G10"/>
  </mergeCells>
  <pageMargins left="0.7" right="0.7" top="0.75" bottom="0.75" header="0.3" footer="0.3"/>
  <pageSetup paperSize="0" orientation="portrait" horizontalDpi="0" verticalDpi="0" copie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zoomScale="70" zoomScaleNormal="70" zoomScaleSheetLayoutView="70" workbookViewId="0">
      <selection activeCell="F152" sqref="F152"/>
    </sheetView>
  </sheetViews>
  <sheetFormatPr defaultRowHeight="18" customHeight="1"/>
  <cols>
    <col min="1" max="1" width="8.28515625" style="177" customWidth="1"/>
    <col min="2" max="2" width="55.42578125" style="178" bestFit="1" customWidth="1"/>
    <col min="3" max="3" width="9.5703125" style="178" customWidth="1"/>
    <col min="4" max="4" width="9.140625" style="178"/>
    <col min="5" max="5" width="12.42578125" style="178" customWidth="1"/>
    <col min="6" max="6" width="18.5703125" style="178" customWidth="1"/>
    <col min="7" max="7" width="23.5703125" style="178" customWidth="1"/>
    <col min="8" max="8" width="17.140625" style="178" customWidth="1"/>
    <col min="9" max="9" width="21.140625" style="178" customWidth="1"/>
    <col min="10" max="10" width="19.85546875" style="178" customWidth="1"/>
    <col min="11" max="11" width="17.5703125" style="178" customWidth="1"/>
    <col min="12" max="16384" width="9.140625" style="178"/>
  </cols>
  <sheetData>
    <row r="1" spans="1:11" ht="18" customHeight="1">
      <c r="C1" s="179"/>
      <c r="D1" s="180"/>
      <c r="E1" s="179"/>
      <c r="F1" s="179"/>
      <c r="G1" s="179"/>
      <c r="H1" s="179"/>
      <c r="I1" s="179"/>
      <c r="J1" s="179"/>
      <c r="K1" s="179"/>
    </row>
    <row r="2" spans="1:11" ht="18" customHeight="1">
      <c r="D2" s="680" t="s">
        <v>187</v>
      </c>
      <c r="E2" s="681"/>
      <c r="F2" s="681"/>
      <c r="G2" s="681"/>
      <c r="H2" s="681"/>
    </row>
    <row r="3" spans="1:11" ht="18" customHeight="1">
      <c r="B3" s="181" t="s">
        <v>0</v>
      </c>
    </row>
    <row r="5" spans="1:11" ht="18" customHeight="1">
      <c r="B5" s="182" t="s">
        <v>40</v>
      </c>
      <c r="C5" s="682" t="s">
        <v>364</v>
      </c>
      <c r="D5" s="683"/>
      <c r="E5" s="683"/>
      <c r="F5" s="683"/>
      <c r="G5" s="684"/>
    </row>
    <row r="6" spans="1:11" ht="18" customHeight="1">
      <c r="B6" s="182" t="s">
        <v>3</v>
      </c>
      <c r="C6" s="685" t="s">
        <v>365</v>
      </c>
      <c r="D6" s="724"/>
      <c r="E6" s="724"/>
      <c r="F6" s="724"/>
      <c r="G6" s="725"/>
    </row>
    <row r="7" spans="1:11" ht="18" customHeight="1">
      <c r="B7" s="182" t="s">
        <v>4</v>
      </c>
      <c r="C7" s="726" t="s">
        <v>366</v>
      </c>
      <c r="D7" s="689"/>
      <c r="E7" s="689"/>
      <c r="F7" s="689"/>
      <c r="G7" s="690"/>
    </row>
    <row r="9" spans="1:11" ht="18" customHeight="1">
      <c r="B9" s="182" t="s">
        <v>1</v>
      </c>
      <c r="C9" s="727" t="s">
        <v>188</v>
      </c>
      <c r="D9" s="683"/>
      <c r="E9" s="683"/>
      <c r="F9" s="683"/>
      <c r="G9" s="684"/>
    </row>
    <row r="10" spans="1:11" ht="18" customHeight="1">
      <c r="B10" s="182" t="s">
        <v>2</v>
      </c>
      <c r="C10" s="728" t="s">
        <v>189</v>
      </c>
      <c r="D10" s="678"/>
      <c r="E10" s="678"/>
      <c r="F10" s="678"/>
      <c r="G10" s="679"/>
    </row>
    <row r="11" spans="1:11" ht="18" customHeight="1">
      <c r="B11" s="182" t="s">
        <v>32</v>
      </c>
      <c r="C11" s="728" t="s">
        <v>190</v>
      </c>
      <c r="D11" s="678"/>
      <c r="E11" s="678"/>
      <c r="F11" s="678"/>
      <c r="G11" s="679"/>
    </row>
    <row r="12" spans="1:11" ht="18" customHeight="1">
      <c r="B12" s="182"/>
      <c r="C12" s="182"/>
      <c r="D12" s="182"/>
      <c r="E12" s="182"/>
      <c r="F12" s="182"/>
      <c r="G12" s="182"/>
    </row>
    <row r="13" spans="1:11" ht="24.6" customHeight="1">
      <c r="B13" s="696"/>
      <c r="C13" s="697"/>
      <c r="D13" s="697"/>
      <c r="E13" s="697"/>
      <c r="F13" s="697"/>
      <c r="G13" s="697"/>
      <c r="H13" s="698"/>
      <c r="I13" s="179"/>
    </row>
    <row r="14" spans="1:11" ht="18" customHeight="1">
      <c r="B14" s="183"/>
    </row>
    <row r="15" spans="1:11" ht="18" customHeight="1">
      <c r="B15" s="183"/>
    </row>
    <row r="16" spans="1:11" ht="45" customHeight="1">
      <c r="A16" s="180" t="s">
        <v>181</v>
      </c>
      <c r="B16" s="179"/>
      <c r="C16" s="179"/>
      <c r="D16" s="179"/>
      <c r="E16" s="179"/>
      <c r="F16" s="184" t="s">
        <v>9</v>
      </c>
      <c r="G16" s="184" t="s">
        <v>37</v>
      </c>
      <c r="H16" s="184" t="s">
        <v>29</v>
      </c>
      <c r="I16" s="184" t="s">
        <v>30</v>
      </c>
      <c r="J16" s="184" t="s">
        <v>33</v>
      </c>
      <c r="K16" s="184" t="s">
        <v>34</v>
      </c>
    </row>
    <row r="17" spans="1:11" ht="18" customHeight="1">
      <c r="A17" s="185" t="s">
        <v>184</v>
      </c>
      <c r="B17" s="181" t="s">
        <v>182</v>
      </c>
    </row>
    <row r="18" spans="1:11" ht="18" customHeight="1">
      <c r="A18" s="182" t="s">
        <v>185</v>
      </c>
      <c r="B18" s="186" t="s">
        <v>183</v>
      </c>
      <c r="F18" s="187" t="s">
        <v>73</v>
      </c>
      <c r="G18" s="187" t="s">
        <v>73</v>
      </c>
      <c r="H18" s="188">
        <f>+'[12]CB List'!$N$161</f>
        <v>9262500</v>
      </c>
      <c r="I18" s="189">
        <f>+'[12]CB List'!$O$161</f>
        <v>0</v>
      </c>
      <c r="J18" s="188">
        <f>-'[12]CB List'!$P$161</f>
        <v>7920591.5</v>
      </c>
      <c r="K18" s="190">
        <f>(H18+I18)-J18</f>
        <v>1341908.5</v>
      </c>
    </row>
    <row r="19" spans="1:11" ht="45" customHeight="1">
      <c r="A19" s="180" t="s">
        <v>8</v>
      </c>
      <c r="B19" s="179"/>
      <c r="C19" s="179"/>
      <c r="D19" s="179"/>
      <c r="E19" s="179"/>
      <c r="F19" s="184" t="s">
        <v>9</v>
      </c>
      <c r="G19" s="184" t="s">
        <v>37</v>
      </c>
      <c r="H19" s="184" t="s">
        <v>29</v>
      </c>
      <c r="I19" s="184" t="s">
        <v>30</v>
      </c>
      <c r="J19" s="184" t="s">
        <v>33</v>
      </c>
      <c r="K19" s="184" t="s">
        <v>34</v>
      </c>
    </row>
    <row r="20" spans="1:11" ht="18" customHeight="1">
      <c r="A20" s="185" t="s">
        <v>74</v>
      </c>
      <c r="B20" s="181" t="s">
        <v>41</v>
      </c>
    </row>
    <row r="21" spans="1:11" ht="18" customHeight="1">
      <c r="A21" s="182" t="s">
        <v>75</v>
      </c>
      <c r="B21" s="186" t="s">
        <v>42</v>
      </c>
      <c r="F21" s="187">
        <f>+'[12]CB List'!$L$162</f>
        <v>16576.059500000003</v>
      </c>
      <c r="G21" s="187">
        <f>+'[12]CB List'!$M$162</f>
        <v>26232.999999999996</v>
      </c>
      <c r="H21" s="188">
        <f>+'[12]CB List'!$N$162</f>
        <v>701202.23575000011</v>
      </c>
      <c r="I21" s="189">
        <f>+'[12]CB List'!$O$162</f>
        <v>454192.61681061517</v>
      </c>
      <c r="J21" s="188">
        <f>-'[12]CB List'!$P$162</f>
        <v>48715.420749999997</v>
      </c>
      <c r="K21" s="190">
        <f t="shared" ref="K21:K34" si="0">(H21+I21)-J21</f>
        <v>1106679.4318106151</v>
      </c>
    </row>
    <row r="22" spans="1:11" ht="18" customHeight="1">
      <c r="A22" s="182" t="s">
        <v>76</v>
      </c>
      <c r="B22" s="178" t="s">
        <v>6</v>
      </c>
      <c r="F22" s="187">
        <f>+'[12]CB List'!$L$163</f>
        <v>1026.5070000000001</v>
      </c>
      <c r="G22" s="187">
        <f>+'[12]CB List'!$M$163</f>
        <v>1078</v>
      </c>
      <c r="H22" s="188">
        <f>+'[12]CB List'!$N$163</f>
        <v>34037.989249999999</v>
      </c>
      <c r="I22" s="189">
        <f>H22*F$114</f>
        <v>22047.567192784853</v>
      </c>
      <c r="J22" s="188">
        <f>-'[12]CB List'!$P$163</f>
        <v>4798.5322500000002</v>
      </c>
      <c r="K22" s="190">
        <f t="shared" si="0"/>
        <v>51287.024192784855</v>
      </c>
    </row>
    <row r="23" spans="1:11" ht="18" customHeight="1">
      <c r="A23" s="182" t="s">
        <v>77</v>
      </c>
      <c r="B23" s="178" t="s">
        <v>43</v>
      </c>
      <c r="F23" s="187">
        <f>+'[12]CB List'!$L$164</f>
        <v>0</v>
      </c>
      <c r="G23" s="187">
        <f>+'[12]CB List'!$M$164</f>
        <v>0</v>
      </c>
      <c r="H23" s="188">
        <f>+'[12]CB List'!$N$164</f>
        <v>0</v>
      </c>
      <c r="I23" s="189">
        <f t="shared" ref="I23:I28" si="1">H23*F$114</f>
        <v>0</v>
      </c>
      <c r="J23" s="188">
        <f>-'[12]CB List'!$P$164</f>
        <v>0</v>
      </c>
      <c r="K23" s="190">
        <f t="shared" si="0"/>
        <v>0</v>
      </c>
    </row>
    <row r="24" spans="1:11" ht="18" customHeight="1">
      <c r="A24" s="182" t="s">
        <v>78</v>
      </c>
      <c r="B24" s="178" t="s">
        <v>44</v>
      </c>
      <c r="F24" s="187">
        <f>+'[12]CB List'!$L$165</f>
        <v>5165.3799999999992</v>
      </c>
      <c r="G24" s="187">
        <f>+'[12]CB List'!$M$165</f>
        <v>478.99999999999994</v>
      </c>
      <c r="H24" s="188">
        <f>+'[12]CB List'!$N$165</f>
        <v>383346.71999999991</v>
      </c>
      <c r="I24" s="189">
        <f t="shared" si="1"/>
        <v>248306.75235417084</v>
      </c>
      <c r="J24" s="188">
        <f>-'[12]CB List'!$P$165</f>
        <v>437.64</v>
      </c>
      <c r="K24" s="190">
        <f t="shared" si="0"/>
        <v>631215.83235417074</v>
      </c>
    </row>
    <row r="25" spans="1:11" ht="18" customHeight="1">
      <c r="A25" s="182" t="s">
        <v>79</v>
      </c>
      <c r="B25" s="178" t="s">
        <v>5</v>
      </c>
      <c r="F25" s="187">
        <f>+'[12]CB List'!$L$166</f>
        <v>4902.9139999999998</v>
      </c>
      <c r="G25" s="187">
        <f>+'[12]CB List'!$M$166</f>
        <v>6200</v>
      </c>
      <c r="H25" s="188">
        <f>+'[12]CB List'!$N$166</f>
        <v>161225.08974999998</v>
      </c>
      <c r="I25" s="189">
        <f t="shared" si="1"/>
        <v>104430.99248072926</v>
      </c>
      <c r="J25" s="188">
        <f>-'[12]CB List'!$P$166</f>
        <v>17232.5645</v>
      </c>
      <c r="K25" s="190">
        <f t="shared" si="0"/>
        <v>248423.51773072922</v>
      </c>
    </row>
    <row r="26" spans="1:11" ht="18" customHeight="1">
      <c r="A26" s="182" t="s">
        <v>80</v>
      </c>
      <c r="B26" s="178" t="s">
        <v>45</v>
      </c>
      <c r="F26" s="187">
        <f>+'[12]CB List'!$L$167</f>
        <v>0</v>
      </c>
      <c r="G26" s="187">
        <f>+'[12]CB List'!$M$167</f>
        <v>0</v>
      </c>
      <c r="H26" s="188">
        <f>+'[12]CB List'!$N$167</f>
        <v>0</v>
      </c>
      <c r="I26" s="189">
        <f t="shared" si="1"/>
        <v>0</v>
      </c>
      <c r="J26" s="188">
        <f>-'[12]CB List'!$P$167</f>
        <v>0</v>
      </c>
      <c r="K26" s="190">
        <f t="shared" si="0"/>
        <v>0</v>
      </c>
    </row>
    <row r="27" spans="1:11" ht="18" customHeight="1">
      <c r="A27" s="182" t="s">
        <v>81</v>
      </c>
      <c r="B27" s="178" t="s">
        <v>46</v>
      </c>
      <c r="F27" s="187">
        <f>+'[12]CB List'!$L$168</f>
        <v>0</v>
      </c>
      <c r="G27" s="187">
        <f>+'[12]CB List'!$M$168</f>
        <v>0</v>
      </c>
      <c r="H27" s="188">
        <f>+'[12]CB List'!$N$168</f>
        <v>0</v>
      </c>
      <c r="I27" s="189">
        <f t="shared" si="1"/>
        <v>0</v>
      </c>
      <c r="J27" s="188">
        <f>-'[12]CB List'!$P$168</f>
        <v>0</v>
      </c>
      <c r="K27" s="190">
        <f t="shared" si="0"/>
        <v>0</v>
      </c>
    </row>
    <row r="28" spans="1:11" ht="18" customHeight="1">
      <c r="A28" s="182" t="s">
        <v>82</v>
      </c>
      <c r="B28" s="178" t="s">
        <v>47</v>
      </c>
      <c r="F28" s="187">
        <f>+'[12]CB List'!$L$169</f>
        <v>0</v>
      </c>
      <c r="G28" s="187">
        <f>+'[12]CB List'!$M$169</f>
        <v>0</v>
      </c>
      <c r="H28" s="188">
        <f>+'[12]CB List'!$N$169</f>
        <v>0</v>
      </c>
      <c r="I28" s="189">
        <f t="shared" si="1"/>
        <v>0</v>
      </c>
      <c r="J28" s="188">
        <f>-'[12]CB List'!$P$169</f>
        <v>0</v>
      </c>
      <c r="K28" s="190">
        <f t="shared" si="0"/>
        <v>0</v>
      </c>
    </row>
    <row r="29" spans="1:11" ht="18" customHeight="1">
      <c r="A29" s="182" t="s">
        <v>83</v>
      </c>
      <c r="B29" s="178" t="s">
        <v>48</v>
      </c>
      <c r="F29" s="187">
        <f>+'[12]CB List'!$L$170</f>
        <v>6187.9674999999997</v>
      </c>
      <c r="G29" s="187">
        <f>+'[12]CB List'!$M$170</f>
        <v>1171</v>
      </c>
      <c r="H29" s="188">
        <f>+'[12]CB List'!$N$170</f>
        <v>1283698.5150000001</v>
      </c>
      <c r="I29" s="189">
        <f>+'[12]CB List'!$O$170</f>
        <v>785925.28285363677</v>
      </c>
      <c r="J29" s="188">
        <f>-'[12]CB List'!$P$170</f>
        <v>65149.601249999992</v>
      </c>
      <c r="K29" s="190">
        <f t="shared" si="0"/>
        <v>2004474.196603637</v>
      </c>
    </row>
    <row r="30" spans="1:11" ht="18" customHeight="1">
      <c r="A30" s="182" t="s">
        <v>84</v>
      </c>
      <c r="B30" s="699" t="s">
        <v>199</v>
      </c>
      <c r="C30" s="700"/>
      <c r="D30" s="701"/>
      <c r="F30" s="187">
        <f>+'[12]CB List'!$L$171</f>
        <v>1458.7069999999999</v>
      </c>
      <c r="G30" s="187">
        <f>+'[12]CB List'!$M$171</f>
        <v>3672.5</v>
      </c>
      <c r="H30" s="188">
        <f>+'[12]CB List'!$N$171</f>
        <v>31079.206750000001</v>
      </c>
      <c r="I30" s="189">
        <f>H30*F$114</f>
        <v>20131.062798284347</v>
      </c>
      <c r="J30" s="188">
        <f>-'[12]CB List'!$P$171</f>
        <v>4237.2485000000006</v>
      </c>
      <c r="K30" s="190">
        <f t="shared" si="0"/>
        <v>46973.021048284347</v>
      </c>
    </row>
    <row r="31" spans="1:11" ht="18" customHeight="1">
      <c r="A31" s="182" t="s">
        <v>133</v>
      </c>
      <c r="B31" s="699"/>
      <c r="C31" s="700"/>
      <c r="D31" s="701"/>
      <c r="F31" s="187">
        <f>+'[12]CB List'!$L$172</f>
        <v>0</v>
      </c>
      <c r="G31" s="187">
        <f>+'[12]CB List'!$M$172</f>
        <v>0</v>
      </c>
      <c r="H31" s="188">
        <f>+'[12]CB List'!$N$172</f>
        <v>0</v>
      </c>
      <c r="I31" s="189">
        <f>H31*F$114</f>
        <v>0</v>
      </c>
      <c r="J31" s="188">
        <f>-'[12]CB List'!$P$172</f>
        <v>0</v>
      </c>
      <c r="K31" s="190">
        <f t="shared" si="0"/>
        <v>0</v>
      </c>
    </row>
    <row r="32" spans="1:11" ht="18" customHeight="1">
      <c r="A32" s="182" t="s">
        <v>134</v>
      </c>
      <c r="B32" s="192"/>
      <c r="C32" s="193"/>
      <c r="D32" s="194"/>
      <c r="F32" s="187"/>
      <c r="G32" s="191" t="s">
        <v>85</v>
      </c>
      <c r="H32" s="188"/>
      <c r="I32" s="189">
        <f t="shared" ref="I32:I34" si="2">H32*F$114</f>
        <v>0</v>
      </c>
      <c r="J32" s="188"/>
      <c r="K32" s="190">
        <f t="shared" si="0"/>
        <v>0</v>
      </c>
    </row>
    <row r="33" spans="1:11" ht="18" customHeight="1">
      <c r="A33" s="182" t="s">
        <v>135</v>
      </c>
      <c r="B33" s="192"/>
      <c r="C33" s="193"/>
      <c r="D33" s="194"/>
      <c r="F33" s="187"/>
      <c r="G33" s="191" t="s">
        <v>85</v>
      </c>
      <c r="H33" s="188"/>
      <c r="I33" s="189">
        <f t="shared" si="2"/>
        <v>0</v>
      </c>
      <c r="J33" s="188"/>
      <c r="K33" s="190">
        <f t="shared" si="0"/>
        <v>0</v>
      </c>
    </row>
    <row r="34" spans="1:11" ht="18" customHeight="1">
      <c r="A34" s="182" t="s">
        <v>136</v>
      </c>
      <c r="B34" s="699"/>
      <c r="C34" s="700"/>
      <c r="D34" s="701"/>
      <c r="F34" s="187"/>
      <c r="G34" s="191" t="s">
        <v>85</v>
      </c>
      <c r="H34" s="188"/>
      <c r="I34" s="189">
        <f t="shared" si="2"/>
        <v>0</v>
      </c>
      <c r="J34" s="188"/>
      <c r="K34" s="190">
        <f t="shared" si="0"/>
        <v>0</v>
      </c>
    </row>
    <row r="35" spans="1:11" ht="18" customHeight="1">
      <c r="K35" s="195"/>
    </row>
    <row r="36" spans="1:11" ht="18" customHeight="1">
      <c r="A36" s="185" t="s">
        <v>137</v>
      </c>
      <c r="B36" s="181" t="s">
        <v>138</v>
      </c>
      <c r="E36" s="181" t="s">
        <v>7</v>
      </c>
      <c r="F36" s="196">
        <f t="shared" ref="F36:K36" si="3">SUM(F21:F34)</f>
        <v>35317.535000000011</v>
      </c>
      <c r="G36" s="196">
        <f t="shared" si="3"/>
        <v>38833.5</v>
      </c>
      <c r="H36" s="196">
        <f t="shared" si="3"/>
        <v>2594589.7565000001</v>
      </c>
      <c r="I36" s="190">
        <f t="shared" si="3"/>
        <v>1635034.2744902214</v>
      </c>
      <c r="J36" s="190">
        <f t="shared" si="3"/>
        <v>140571.00724999997</v>
      </c>
      <c r="K36" s="190">
        <f t="shared" si="3"/>
        <v>4089053.0237402208</v>
      </c>
    </row>
    <row r="37" spans="1:11" ht="18" customHeight="1" thickBot="1">
      <c r="B37" s="181"/>
      <c r="F37" s="197"/>
      <c r="G37" s="197"/>
      <c r="H37" s="198"/>
      <c r="I37" s="198"/>
      <c r="J37" s="198"/>
      <c r="K37" s="199"/>
    </row>
    <row r="38" spans="1:11" ht="42.75" customHeight="1">
      <c r="F38" s="184" t="s">
        <v>9</v>
      </c>
      <c r="G38" s="184" t="s">
        <v>37</v>
      </c>
      <c r="H38" s="184" t="s">
        <v>29</v>
      </c>
      <c r="I38" s="184" t="s">
        <v>30</v>
      </c>
      <c r="J38" s="184" t="s">
        <v>33</v>
      </c>
      <c r="K38" s="184" t="s">
        <v>34</v>
      </c>
    </row>
    <row r="39" spans="1:11" ht="18.75" customHeight="1">
      <c r="A39" s="185" t="s">
        <v>86</v>
      </c>
      <c r="B39" s="181" t="s">
        <v>49</v>
      </c>
    </row>
    <row r="40" spans="1:11" ht="18" customHeight="1">
      <c r="A40" s="182" t="s">
        <v>87</v>
      </c>
      <c r="B40" s="178" t="s">
        <v>31</v>
      </c>
      <c r="F40" s="187">
        <f>+VLOOKUP(A40,'[12]CB List'!$H$161:$Q$210,5,FALSE)</f>
        <v>2080</v>
      </c>
      <c r="G40" s="187">
        <f>+VLOOKUP(A40,'[12]CB List'!$H$161:$Q$210,6,FALSE)</f>
        <v>7280</v>
      </c>
      <c r="H40" s="187">
        <f>+VLOOKUP(A40,'[12]CB List'!$H$161:$Q$210,7,FALSE)</f>
        <v>209509.489</v>
      </c>
      <c r="I40" s="187">
        <f>+VLOOKUP(A40,'[12]CB List  _IRS_Vrsn'!$H$161:$Q$210,8,FALSE)</f>
        <v>0</v>
      </c>
      <c r="J40" s="187">
        <f>-VLOOKUP(A40,'[12]CB List  _IRS_Vrsn'!$H$161:$Q$210,9,FALSE)</f>
        <v>0</v>
      </c>
      <c r="K40" s="190">
        <f t="shared" ref="K40:K47" si="4">(H40+I40)-J40</f>
        <v>209509.489</v>
      </c>
    </row>
    <row r="41" spans="1:11" ht="18" customHeight="1">
      <c r="A41" s="182" t="s">
        <v>88</v>
      </c>
      <c r="B41" s="702" t="s">
        <v>50</v>
      </c>
      <c r="C41" s="703"/>
      <c r="F41" s="187">
        <f>+VLOOKUP(A41,'[12]CB List'!$H$161:$Q$210,5,FALSE)</f>
        <v>12151</v>
      </c>
      <c r="G41" s="187">
        <f>+VLOOKUP(A41,'[12]CB List'!$H$161:$Q$210,6,FALSE)</f>
        <v>7908.5</v>
      </c>
      <c r="H41" s="187">
        <f>+VLOOKUP(A41,'[12]CB List'!$H$161:$Q$210,7,FALSE)</f>
        <v>510342</v>
      </c>
      <c r="I41" s="187">
        <f>+VLOOKUP(A41,'[12]CB List  _IRS_Vrsn'!$H$161:$Q$210,8,FALSE)</f>
        <v>0</v>
      </c>
      <c r="J41" s="187">
        <f>-VLOOKUP(A41,'[12]CB List  _IRS_Vrsn'!$H$161:$Q$210,9,FALSE)</f>
        <v>0</v>
      </c>
      <c r="K41" s="190">
        <f t="shared" si="4"/>
        <v>510342</v>
      </c>
    </row>
    <row r="42" spans="1:11" ht="18" customHeight="1">
      <c r="A42" s="182" t="s">
        <v>89</v>
      </c>
      <c r="B42" s="186" t="s">
        <v>11</v>
      </c>
      <c r="F42" s="187">
        <f>+VLOOKUP(A42,'[12]CB List'!$H$161:$Q$210,5,FALSE)</f>
        <v>3158.6974999999993</v>
      </c>
      <c r="G42" s="187">
        <f>+VLOOKUP(A42,'[12]CB List'!$H$161:$Q$210,6,FALSE)</f>
        <v>904.99999999999977</v>
      </c>
      <c r="H42" s="187">
        <f>+VLOOKUP(A42,'[12]CB List'!$H$161:$Q$210,7,FALSE)</f>
        <v>143600.37</v>
      </c>
      <c r="I42" s="187">
        <f>+VLOOKUP(A42,'[12]CB List  _IRS_Vrsn'!$H$161:$Q$210,8,FALSE)</f>
        <v>0</v>
      </c>
      <c r="J42" s="187">
        <f>-VLOOKUP(A42,'[12]CB List'!$H$161:$Q$211,9,FALSE)</f>
        <v>21896.533749999999</v>
      </c>
      <c r="K42" s="190">
        <f t="shared" si="4"/>
        <v>121703.83624999999</v>
      </c>
    </row>
    <row r="43" spans="1:11" ht="18" customHeight="1">
      <c r="A43" s="182" t="s">
        <v>90</v>
      </c>
      <c r="B43" s="200" t="s">
        <v>10</v>
      </c>
      <c r="C43" s="201"/>
      <c r="D43" s="201"/>
      <c r="F43" s="187">
        <f>+VLOOKUP(A43,'[12]CB List  _IRS_Vrsn'!$H$161:$Q$210,5,FALSE)</f>
        <v>0</v>
      </c>
      <c r="G43" s="187">
        <f>+VLOOKUP(A43,'[12]CB List  _IRS_Vrsn'!$H$161:$Q$210,6,FALSE)</f>
        <v>0</v>
      </c>
      <c r="H43" s="187">
        <f>+VLOOKUP(A43,'[12]CB List  _IRS_Vrsn'!$H$161:$Q$210,7,FALSE)</f>
        <v>0</v>
      </c>
      <c r="I43" s="187">
        <f>+VLOOKUP(A43,'[12]CB List  _IRS_Vrsn'!$H$161:$Q$210,8,FALSE)</f>
        <v>0</v>
      </c>
      <c r="J43" s="187">
        <f>-VLOOKUP(A43,'[12]CB List  _IRS_Vrsn'!$H$161:$Q$210,9,FALSE)</f>
        <v>0</v>
      </c>
      <c r="K43" s="190">
        <f t="shared" si="4"/>
        <v>0</v>
      </c>
    </row>
    <row r="44" spans="1:11" ht="18" customHeight="1">
      <c r="A44" s="182" t="s">
        <v>91</v>
      </c>
      <c r="B44" s="699" t="s">
        <v>11</v>
      </c>
      <c r="C44" s="700"/>
      <c r="D44" s="701"/>
      <c r="F44" s="187">
        <f>+VLOOKUP(A44,'[12]CB List  _IRS_Vrsn'!$H$161:$Q$210,5,FALSE)</f>
        <v>0</v>
      </c>
      <c r="G44" s="187">
        <f>+VLOOKUP(A44,'[12]CB List  _IRS_Vrsn'!$H$161:$Q$210,6,FALSE)</f>
        <v>0</v>
      </c>
      <c r="H44" s="187">
        <f>+VLOOKUP(A44,'[12]CB List  _IRS_Vrsn'!$H$161:$Q$210,7,FALSE)</f>
        <v>0</v>
      </c>
      <c r="I44" s="187">
        <f>+VLOOKUP(A44,'[12]CB List  _IRS_Vrsn'!$H$161:$Q$210,8,FALSE)</f>
        <v>0</v>
      </c>
      <c r="J44" s="187">
        <f>-VLOOKUP(A44,'[12]CB List  _IRS_Vrsn'!$H$161:$Q$210,9,FALSE)</f>
        <v>0</v>
      </c>
      <c r="K44" s="204">
        <f t="shared" si="4"/>
        <v>0</v>
      </c>
    </row>
    <row r="45" spans="1:11" ht="18" customHeight="1">
      <c r="A45" s="182" t="s">
        <v>139</v>
      </c>
      <c r="B45" s="699" t="s">
        <v>367</v>
      </c>
      <c r="C45" s="700"/>
      <c r="D45" s="701"/>
      <c r="F45" s="187">
        <f>+VLOOKUP(A45,'[12]CB List  _IRS_Vrsn'!$H$161:$Q$210,5,FALSE)</f>
        <v>0</v>
      </c>
      <c r="G45" s="187">
        <f>+VLOOKUP(A45,'[12]CB List  _IRS_Vrsn'!$H$161:$Q$210,6,FALSE)</f>
        <v>0</v>
      </c>
      <c r="H45" s="187">
        <f>+VLOOKUP(A45,'[12]CB List  _IRS_Vrsn'!$H$161:$Q$210,7,FALSE)</f>
        <v>0</v>
      </c>
      <c r="I45" s="187">
        <f>+VLOOKUP(A45,'[12]CB List  _IRS_Vrsn'!$H$161:$Q$210,8,FALSE)</f>
        <v>0</v>
      </c>
      <c r="J45" s="187">
        <f>-VLOOKUP(A45,'[12]CB List  _IRS_Vrsn'!$H$161:$Q$210,9,FALSE)</f>
        <v>0</v>
      </c>
      <c r="K45" s="190">
        <f t="shared" si="4"/>
        <v>0</v>
      </c>
    </row>
    <row r="46" spans="1:11" ht="18" customHeight="1">
      <c r="A46" s="182" t="s">
        <v>140</v>
      </c>
      <c r="B46" s="699"/>
      <c r="C46" s="700"/>
      <c r="D46" s="701"/>
      <c r="F46" s="187"/>
      <c r="G46" s="187"/>
      <c r="H46" s="188"/>
      <c r="I46" s="189">
        <v>0</v>
      </c>
      <c r="J46" s="188"/>
      <c r="K46" s="190">
        <f t="shared" si="4"/>
        <v>0</v>
      </c>
    </row>
    <row r="47" spans="1:11" ht="18" customHeight="1">
      <c r="A47" s="182" t="s">
        <v>141</v>
      </c>
      <c r="B47" s="699"/>
      <c r="C47" s="700"/>
      <c r="D47" s="701"/>
      <c r="F47" s="187"/>
      <c r="G47" s="187"/>
      <c r="H47" s="188"/>
      <c r="I47" s="189">
        <v>0</v>
      </c>
      <c r="J47" s="188"/>
      <c r="K47" s="190">
        <f t="shared" si="4"/>
        <v>0</v>
      </c>
    </row>
    <row r="49" spans="1:11" ht="18" customHeight="1">
      <c r="A49" s="185" t="s">
        <v>142</v>
      </c>
      <c r="B49" s="181" t="s">
        <v>143</v>
      </c>
      <c r="E49" s="181" t="s">
        <v>7</v>
      </c>
      <c r="F49" s="205">
        <f t="shared" ref="F49:K49" si="5">SUM(F40:F47)</f>
        <v>17389.697499999998</v>
      </c>
      <c r="G49" s="205">
        <f t="shared" si="5"/>
        <v>16093.5</v>
      </c>
      <c r="H49" s="190">
        <f t="shared" si="5"/>
        <v>863451.85900000005</v>
      </c>
      <c r="I49" s="190">
        <f t="shared" si="5"/>
        <v>0</v>
      </c>
      <c r="J49" s="190">
        <f t="shared" si="5"/>
        <v>21896.533749999999</v>
      </c>
      <c r="K49" s="190">
        <f t="shared" si="5"/>
        <v>841555.32524999999</v>
      </c>
    </row>
    <row r="50" spans="1:11" ht="18" customHeight="1" thickBot="1">
      <c r="G50" s="206"/>
      <c r="H50" s="206"/>
      <c r="I50" s="206"/>
      <c r="J50" s="206"/>
      <c r="K50" s="206"/>
    </row>
    <row r="51" spans="1:11" ht="42.75" customHeight="1">
      <c r="F51" s="184" t="s">
        <v>9</v>
      </c>
      <c r="G51" s="184" t="s">
        <v>37</v>
      </c>
      <c r="H51" s="184" t="s">
        <v>29</v>
      </c>
      <c r="I51" s="184" t="s">
        <v>30</v>
      </c>
      <c r="J51" s="184" t="s">
        <v>33</v>
      </c>
      <c r="K51" s="184" t="s">
        <v>34</v>
      </c>
    </row>
    <row r="52" spans="1:11" ht="18" customHeight="1">
      <c r="A52" s="185" t="s">
        <v>92</v>
      </c>
      <c r="B52" s="704" t="s">
        <v>38</v>
      </c>
      <c r="C52" s="705"/>
    </row>
    <row r="53" spans="1:11" ht="18" customHeight="1">
      <c r="A53" s="182" t="s">
        <v>51</v>
      </c>
      <c r="B53" s="691" t="s">
        <v>192</v>
      </c>
      <c r="C53" s="692"/>
      <c r="D53" s="693"/>
      <c r="F53" s="187">
        <f>+VLOOKUP(A53,'[12]CB List'!$H$161:$Q$210,5,FALSE)</f>
        <v>0</v>
      </c>
      <c r="G53" s="187">
        <f>+VLOOKUP(A53,'[12]CB List'!$H$161:$Q$210,6,FALSE)</f>
        <v>0</v>
      </c>
      <c r="H53" s="187">
        <f>+VLOOKUP(A53,'[12]CB List'!$H$161:$Q$210,7,FALSE)</f>
        <v>0</v>
      </c>
      <c r="I53" s="187">
        <f>+VLOOKUP(A53,'[12]CB List  _IRS_Vrsn'!$H$161:$Q$210,8,FALSE)</f>
        <v>0</v>
      </c>
      <c r="J53" s="187">
        <f>-VLOOKUP(A53,'[12]CB List  _IRS_Vrsn'!$H$161:$Q$210,9,FALSE)</f>
        <v>0</v>
      </c>
      <c r="K53" s="190">
        <f t="shared" ref="K53:K62" si="6">(H53+I53)-J53</f>
        <v>0</v>
      </c>
    </row>
    <row r="54" spans="1:11" ht="18" customHeight="1">
      <c r="A54" s="182" t="s">
        <v>93</v>
      </c>
      <c r="B54" s="207" t="s">
        <v>193</v>
      </c>
      <c r="C54" s="208"/>
      <c r="D54" s="209"/>
      <c r="F54" s="187">
        <f>+VLOOKUP(A54,'[12]CB List'!$H$161:$Q$210,5,FALSE)</f>
        <v>77906.729999999981</v>
      </c>
      <c r="G54" s="187">
        <f>+VLOOKUP(A54,'[12]CB List'!$H$161:$Q$210,6,FALSE)</f>
        <v>8701.7067000000025</v>
      </c>
      <c r="H54" s="187">
        <f>+VLOOKUP(A54,'[12]CB List'!$H$161:$Q$210,7,FALSE)</f>
        <v>7686199.427666666</v>
      </c>
      <c r="I54" s="187">
        <f>+VLOOKUP(A54,'[12]CB List  _IRS_Vrsn'!$H$161:$Q$210,8,FALSE)</f>
        <v>0</v>
      </c>
      <c r="J54" s="187">
        <f>-VLOOKUP(A54,'[12]CB List  _IRS_Vrsn'!$H$161:$Q$210,9,FALSE)</f>
        <v>350</v>
      </c>
      <c r="K54" s="190">
        <f t="shared" si="6"/>
        <v>7685849.427666666</v>
      </c>
    </row>
    <row r="55" spans="1:11" ht="18" customHeight="1">
      <c r="A55" s="182" t="s">
        <v>94</v>
      </c>
      <c r="B55" s="706" t="s">
        <v>194</v>
      </c>
      <c r="C55" s="707"/>
      <c r="D55" s="693"/>
      <c r="F55" s="187">
        <f>+VLOOKUP(A55,'[12]CB List'!$H$161:$Q$210,5,FALSE)</f>
        <v>8796.5</v>
      </c>
      <c r="G55" s="187">
        <f>+VLOOKUP(A55,'[12]CB List'!$H$161:$Q$210,6,FALSE)</f>
        <v>0</v>
      </c>
      <c r="H55" s="187">
        <f>+VLOOKUP(A55,'[12]CB List'!$H$161:$Q$210,7,FALSE)</f>
        <v>317616.99999999994</v>
      </c>
      <c r="I55" s="187">
        <f>+VLOOKUP(A55,'[12]CB List  _IRS_Vrsn'!$H$161:$Q$210,8,FALSE)</f>
        <v>0</v>
      </c>
      <c r="J55" s="187">
        <f>-VLOOKUP(A55,'[12]CB List  _IRS_Vrsn'!$H$161:$Q$210,9,FALSE)</f>
        <v>0</v>
      </c>
      <c r="K55" s="190">
        <f t="shared" si="6"/>
        <v>317616.99999999994</v>
      </c>
    </row>
    <row r="56" spans="1:11" ht="18" customHeight="1">
      <c r="A56" s="182" t="s">
        <v>95</v>
      </c>
      <c r="B56" s="706" t="s">
        <v>195</v>
      </c>
      <c r="C56" s="707"/>
      <c r="D56" s="693"/>
      <c r="F56" s="187">
        <f>+VLOOKUP(A56,'[12]CB List'!$H$161:$Q$210,5,FALSE)</f>
        <v>0</v>
      </c>
      <c r="G56" s="187">
        <f>+VLOOKUP(A56,'[12]CB List'!$H$161:$Q$210,6,FALSE)</f>
        <v>0</v>
      </c>
      <c r="H56" s="187">
        <f>+VLOOKUP(A56,'[12]CB List'!$H$161:$Q$210,7,FALSE)</f>
        <v>0</v>
      </c>
      <c r="I56" s="187">
        <f>+VLOOKUP(A56,'[12]CB List  _IRS_Vrsn'!$H$161:$Q$210,8,FALSE)</f>
        <v>0</v>
      </c>
      <c r="J56" s="187">
        <f>-VLOOKUP(A56,'[12]CB List  _IRS_Vrsn'!$H$161:$Q$210,9,FALSE)</f>
        <v>0</v>
      </c>
      <c r="K56" s="190">
        <f t="shared" si="6"/>
        <v>0</v>
      </c>
    </row>
    <row r="57" spans="1:11" ht="18" customHeight="1">
      <c r="A57" s="182" t="s">
        <v>96</v>
      </c>
      <c r="B57" s="706" t="s">
        <v>196</v>
      </c>
      <c r="C57" s="707"/>
      <c r="D57" s="693"/>
      <c r="F57" s="187">
        <f>+VLOOKUP(A57,'[12]CB List'!$H$161:$Q$210,5,FALSE)</f>
        <v>0</v>
      </c>
      <c r="G57" s="187">
        <f>+VLOOKUP(A57,'[12]CB List'!$H$161:$Q$210,6,FALSE)</f>
        <v>0</v>
      </c>
      <c r="H57" s="187">
        <f>+VLOOKUP(A57,'[12]CB List'!$H$161:$Q$210,7,FALSE)</f>
        <v>2582152.814999999</v>
      </c>
      <c r="I57" s="187">
        <f>+VLOOKUP(A57,'[12]CB List  _IRS_Vrsn'!$H$161:$Q$210,8,FALSE)</f>
        <v>0</v>
      </c>
      <c r="J57" s="187">
        <f>-VLOOKUP(A57,'[12]CB List  _IRS_Vrsn'!$H$161:$Q$210,9,FALSE)</f>
        <v>0</v>
      </c>
      <c r="K57" s="190">
        <f t="shared" si="6"/>
        <v>2582152.814999999</v>
      </c>
    </row>
    <row r="58" spans="1:11" ht="18" customHeight="1">
      <c r="A58" s="182" t="s">
        <v>97</v>
      </c>
      <c r="B58" s="207"/>
      <c r="C58" s="208"/>
      <c r="D58" s="209"/>
      <c r="F58" s="187">
        <f>+VLOOKUP(A58,'[12]CB List'!$H$161:$Q$210,5,FALSE)</f>
        <v>0</v>
      </c>
      <c r="G58" s="187">
        <f>+VLOOKUP(A58,'[12]CB List'!$H$161:$Q$210,6,FALSE)</f>
        <v>0</v>
      </c>
      <c r="H58" s="187">
        <f>+VLOOKUP(A58,'[12]CB List'!$H$161:$Q$210,7,FALSE)</f>
        <v>0</v>
      </c>
      <c r="I58" s="187">
        <f>+VLOOKUP(A58,'[12]CB List  _IRS_Vrsn'!$H$161:$Q$210,8,FALSE)</f>
        <v>0</v>
      </c>
      <c r="J58" s="187">
        <f>-VLOOKUP(A58,'[12]CB List  _IRS_Vrsn'!$H$161:$Q$210,9,FALSE)</f>
        <v>0</v>
      </c>
      <c r="K58" s="190">
        <f t="shared" si="6"/>
        <v>0</v>
      </c>
    </row>
    <row r="59" spans="1:11" ht="18" customHeight="1">
      <c r="A59" s="182" t="s">
        <v>98</v>
      </c>
      <c r="B59" s="706"/>
      <c r="C59" s="707"/>
      <c r="D59" s="693"/>
      <c r="F59" s="187"/>
      <c r="G59" s="187"/>
      <c r="H59" s="188"/>
      <c r="I59" s="189">
        <v>0</v>
      </c>
      <c r="J59" s="188"/>
      <c r="K59" s="190">
        <f t="shared" si="6"/>
        <v>0</v>
      </c>
    </row>
    <row r="60" spans="1:11" ht="18" customHeight="1">
      <c r="A60" s="182" t="s">
        <v>99</v>
      </c>
      <c r="B60" s="207"/>
      <c r="C60" s="208"/>
      <c r="D60" s="209"/>
      <c r="F60" s="187"/>
      <c r="G60" s="187"/>
      <c r="H60" s="188"/>
      <c r="I60" s="189">
        <v>0</v>
      </c>
      <c r="J60" s="188"/>
      <c r="K60" s="190">
        <f t="shared" si="6"/>
        <v>0</v>
      </c>
    </row>
    <row r="61" spans="1:11" ht="18" customHeight="1">
      <c r="A61" s="182" t="s">
        <v>100</v>
      </c>
      <c r="B61" s="207"/>
      <c r="C61" s="208"/>
      <c r="D61" s="209"/>
      <c r="F61" s="187"/>
      <c r="G61" s="187"/>
      <c r="H61" s="188"/>
      <c r="I61" s="189">
        <v>0</v>
      </c>
      <c r="J61" s="188"/>
      <c r="K61" s="190">
        <f t="shared" si="6"/>
        <v>0</v>
      </c>
    </row>
    <row r="62" spans="1:11" ht="18" customHeight="1">
      <c r="A62" s="182" t="s">
        <v>101</v>
      </c>
      <c r="B62" s="706"/>
      <c r="C62" s="707"/>
      <c r="D62" s="693"/>
      <c r="F62" s="187"/>
      <c r="G62" s="187"/>
      <c r="H62" s="188"/>
      <c r="I62" s="189">
        <v>0</v>
      </c>
      <c r="J62" s="188"/>
      <c r="K62" s="190">
        <f t="shared" si="6"/>
        <v>0</v>
      </c>
    </row>
    <row r="63" spans="1:11" ht="18" customHeight="1">
      <c r="A63" s="182"/>
      <c r="I63" s="212"/>
    </row>
    <row r="64" spans="1:11" ht="18" customHeight="1">
      <c r="A64" s="182" t="s">
        <v>144</v>
      </c>
      <c r="B64" s="181" t="s">
        <v>145</v>
      </c>
      <c r="E64" s="181" t="s">
        <v>7</v>
      </c>
      <c r="F64" s="196">
        <f t="shared" ref="F64:K64" si="7">SUM(F53:F62)</f>
        <v>86703.229999999981</v>
      </c>
      <c r="G64" s="196">
        <f t="shared" si="7"/>
        <v>8701.7067000000025</v>
      </c>
      <c r="H64" s="190">
        <f t="shared" si="7"/>
        <v>10585969.242666665</v>
      </c>
      <c r="I64" s="190">
        <f t="shared" si="7"/>
        <v>0</v>
      </c>
      <c r="J64" s="190">
        <f t="shared" si="7"/>
        <v>350</v>
      </c>
      <c r="K64" s="190">
        <f t="shared" si="7"/>
        <v>10585619.242666665</v>
      </c>
    </row>
    <row r="65" spans="1:11" ht="18" customHeight="1">
      <c r="F65" s="213"/>
      <c r="G65" s="213"/>
      <c r="H65" s="213"/>
      <c r="I65" s="213"/>
      <c r="J65" s="213"/>
      <c r="K65" s="213"/>
    </row>
    <row r="66" spans="1:11" ht="42.75" customHeight="1">
      <c r="F66" s="214" t="s">
        <v>9</v>
      </c>
      <c r="G66" s="214" t="s">
        <v>37</v>
      </c>
      <c r="H66" s="214" t="s">
        <v>29</v>
      </c>
      <c r="I66" s="214" t="s">
        <v>30</v>
      </c>
      <c r="J66" s="214" t="s">
        <v>33</v>
      </c>
      <c r="K66" s="214" t="s">
        <v>34</v>
      </c>
    </row>
    <row r="67" spans="1:11" ht="18" customHeight="1">
      <c r="A67" s="185" t="s">
        <v>102</v>
      </c>
      <c r="B67" s="181" t="s">
        <v>12</v>
      </c>
      <c r="F67" s="215"/>
      <c r="G67" s="215"/>
      <c r="H67" s="215"/>
      <c r="I67" s="216"/>
      <c r="J67" s="215"/>
      <c r="K67" s="217"/>
    </row>
    <row r="68" spans="1:11" ht="18" customHeight="1">
      <c r="A68" s="182" t="s">
        <v>103</v>
      </c>
      <c r="B68" s="178" t="s">
        <v>52</v>
      </c>
      <c r="F68" s="187">
        <f>+VLOOKUP(A68,'[12]CB List'!$H$161:$Q$210,5,FALSE)</f>
        <v>7384.4299999999994</v>
      </c>
      <c r="G68" s="187">
        <f>+VLOOKUP(A68,'[12]CB List'!$H$161:$Q$210,6,FALSE)</f>
        <v>975</v>
      </c>
      <c r="H68" s="187">
        <f>+VLOOKUP(A68,'[12]CB List'!$H$161:$Q$210,7,FALSE)</f>
        <v>309408.53000000003</v>
      </c>
      <c r="I68" s="187">
        <f>+VLOOKUP(A68,'[12]CB List  _IRS_Vrsn'!$H$161:$Q$210,8,FALSE)</f>
        <v>0</v>
      </c>
      <c r="J68" s="187">
        <f>-VLOOKUP(A68,'[12]CB List  _IRS_Vrsn'!$H$161:$Q$210,9,FALSE)</f>
        <v>83523</v>
      </c>
      <c r="K68" s="190">
        <f>(H68+I68)-J68</f>
        <v>225885.53000000003</v>
      </c>
    </row>
    <row r="69" spans="1:11" ht="18" customHeight="1">
      <c r="A69" s="182" t="s">
        <v>104</v>
      </c>
      <c r="B69" s="186" t="s">
        <v>53</v>
      </c>
      <c r="F69" s="187">
        <f>+VLOOKUP(A69,'[12]CB List'!$H$161:$Q$210,5,FALSE)</f>
        <v>0</v>
      </c>
      <c r="G69" s="187">
        <f>+VLOOKUP(A69,'[12]CB List'!$H$161:$Q$210,6,FALSE)</f>
        <v>0</v>
      </c>
      <c r="H69" s="187">
        <f>+VLOOKUP(A69,'[12]CB List'!$H$161:$Q$210,7,FALSE)</f>
        <v>22097.59</v>
      </c>
      <c r="I69" s="187">
        <f>+VLOOKUP(A69,'[12]CB List  _IRS_Vrsn'!$H$161:$Q$210,8,FALSE)</f>
        <v>0</v>
      </c>
      <c r="J69" s="187">
        <f>-VLOOKUP(A69,'[12]CB List  _IRS_Vrsn'!$H$161:$Q$210,9,FALSE)</f>
        <v>0</v>
      </c>
      <c r="K69" s="190">
        <f>(H69+I69)-J69</f>
        <v>22097.59</v>
      </c>
    </row>
    <row r="70" spans="1:11" ht="18" customHeight="1">
      <c r="A70" s="182" t="s">
        <v>178</v>
      </c>
      <c r="B70" s="207"/>
      <c r="C70" s="208"/>
      <c r="D70" s="209"/>
      <c r="E70" s="181"/>
      <c r="F70" s="220"/>
      <c r="G70" s="220"/>
      <c r="H70" s="221"/>
      <c r="I70" s="189"/>
      <c r="J70" s="221"/>
      <c r="K70" s="190">
        <f>(H70+I70)-J70</f>
        <v>0</v>
      </c>
    </row>
    <row r="71" spans="1:11" ht="18" customHeight="1">
      <c r="A71" s="182" t="s">
        <v>179</v>
      </c>
      <c r="B71" s="207"/>
      <c r="C71" s="208"/>
      <c r="D71" s="209"/>
      <c r="E71" s="181"/>
      <c r="F71" s="220"/>
      <c r="G71" s="220"/>
      <c r="H71" s="221"/>
      <c r="I71" s="189">
        <v>0</v>
      </c>
      <c r="J71" s="221"/>
      <c r="K71" s="190">
        <f>(H71+I71)-J71</f>
        <v>0</v>
      </c>
    </row>
    <row r="72" spans="1:11" ht="18" customHeight="1">
      <c r="A72" s="182" t="s">
        <v>180</v>
      </c>
      <c r="B72" s="222"/>
      <c r="C72" s="223"/>
      <c r="D72" s="224"/>
      <c r="E72" s="181"/>
      <c r="F72" s="187"/>
      <c r="G72" s="187"/>
      <c r="H72" s="188"/>
      <c r="I72" s="189">
        <v>0</v>
      </c>
      <c r="J72" s="188"/>
      <c r="K72" s="190">
        <f>(H72+I72)-J72</f>
        <v>0</v>
      </c>
    </row>
    <row r="73" spans="1:11" ht="18" customHeight="1">
      <c r="A73" s="182"/>
      <c r="B73" s="186"/>
      <c r="E73" s="181"/>
      <c r="F73" s="225"/>
      <c r="G73" s="225"/>
      <c r="H73" s="226"/>
      <c r="I73" s="216"/>
      <c r="J73" s="226"/>
      <c r="K73" s="217"/>
    </row>
    <row r="74" spans="1:11" ht="18" customHeight="1">
      <c r="A74" s="185" t="s">
        <v>146</v>
      </c>
      <c r="B74" s="181" t="s">
        <v>147</v>
      </c>
      <c r="E74" s="181" t="s">
        <v>7</v>
      </c>
      <c r="F74" s="227">
        <f t="shared" ref="F74:K74" si="8">SUM(F68:F72)</f>
        <v>7384.4299999999994</v>
      </c>
      <c r="G74" s="227">
        <f t="shared" si="8"/>
        <v>975</v>
      </c>
      <c r="H74" s="227">
        <f t="shared" si="8"/>
        <v>331506.12000000005</v>
      </c>
      <c r="I74" s="228">
        <f t="shared" si="8"/>
        <v>0</v>
      </c>
      <c r="J74" s="227">
        <f t="shared" si="8"/>
        <v>83523</v>
      </c>
      <c r="K74" s="229">
        <f t="shared" si="8"/>
        <v>247983.12000000002</v>
      </c>
    </row>
    <row r="75" spans="1:11" ht="42.75" customHeight="1">
      <c r="F75" s="184" t="s">
        <v>9</v>
      </c>
      <c r="G75" s="184" t="s">
        <v>37</v>
      </c>
      <c r="H75" s="184" t="s">
        <v>29</v>
      </c>
      <c r="I75" s="184" t="s">
        <v>30</v>
      </c>
      <c r="J75" s="184" t="s">
        <v>33</v>
      </c>
      <c r="K75" s="184" t="s">
        <v>34</v>
      </c>
    </row>
    <row r="76" spans="1:11" ht="18" customHeight="1">
      <c r="A76" s="185" t="s">
        <v>105</v>
      </c>
      <c r="B76" s="181" t="s">
        <v>106</v>
      </c>
    </row>
    <row r="77" spans="1:11" ht="18" customHeight="1">
      <c r="A77" s="182" t="s">
        <v>107</v>
      </c>
      <c r="B77" s="186" t="s">
        <v>54</v>
      </c>
      <c r="F77" s="187">
        <f>+VLOOKUP(A77,'[12]CB List'!$H$161:$Q$210,5,FALSE)</f>
        <v>121.24999999999997</v>
      </c>
      <c r="G77" s="187">
        <f>+VLOOKUP(A77,'[12]CB List'!$H$161:$Q$210,6,FALSE)</f>
        <v>192.49999999999994</v>
      </c>
      <c r="H77" s="187">
        <f>+VLOOKUP(A77,'[12]CB List'!$H$161:$Q$210,7,FALSE)</f>
        <v>784564.94608785491</v>
      </c>
      <c r="I77" s="187">
        <f>+VLOOKUP(A77,'[12]CB List  _IRS_Vrsn'!$H$161:$Q$210,8,FALSE)</f>
        <v>0</v>
      </c>
      <c r="J77" s="187">
        <f>-VLOOKUP(A77,'[12]CB List  _IRS_Vrsn'!$H$161:$Q$210,9,FALSE)</f>
        <v>0</v>
      </c>
      <c r="K77" s="190">
        <f>(H77+I77)-J77</f>
        <v>784564.94608785491</v>
      </c>
    </row>
    <row r="78" spans="1:11" ht="18" customHeight="1">
      <c r="A78" s="182" t="s">
        <v>108</v>
      </c>
      <c r="B78" s="186" t="s">
        <v>55</v>
      </c>
      <c r="F78" s="187">
        <f>+VLOOKUP(A78,'[12]CB List'!$H$161:$Q$210,5,FALSE)</f>
        <v>0</v>
      </c>
      <c r="G78" s="187">
        <f>+VLOOKUP(A78,'[12]CB List'!$H$161:$Q$210,6,FALSE)</f>
        <v>0</v>
      </c>
      <c r="H78" s="187">
        <f>+VLOOKUP(A78,'[12]CB List'!$H$161:$Q$210,7,FALSE)</f>
        <v>1678.9999999999989</v>
      </c>
      <c r="I78" s="187">
        <f>+VLOOKUP(A78,'[12]CB List  _IRS_Vrsn'!$H$161:$Q$210,8,FALSE)</f>
        <v>0</v>
      </c>
      <c r="J78" s="187">
        <f>-VLOOKUP(A78,'[12]CB List  _IRS_Vrsn'!$H$161:$Q$210,9,FALSE)</f>
        <v>0</v>
      </c>
      <c r="K78" s="190">
        <f>(H78+I78)-J78</f>
        <v>1678.9999999999989</v>
      </c>
    </row>
    <row r="79" spans="1:11" ht="18" customHeight="1">
      <c r="A79" s="182" t="s">
        <v>109</v>
      </c>
      <c r="B79" s="186" t="s">
        <v>13</v>
      </c>
      <c r="F79" s="187">
        <f>+VLOOKUP(A79,'[12]CB List'!$H$161:$Q$210,5,FALSE)</f>
        <v>0</v>
      </c>
      <c r="G79" s="187">
        <f>+VLOOKUP(A79,'[12]CB List'!$H$161:$Q$210,6,FALSE)</f>
        <v>0</v>
      </c>
      <c r="H79" s="187">
        <f>+VLOOKUP(A79,'[12]CB List'!$H$161:$Q$210,7,FALSE)</f>
        <v>0</v>
      </c>
      <c r="I79" s="187">
        <f>+VLOOKUP(A79,'[12]CB List  _IRS_Vrsn'!$H$161:$Q$210,8,FALSE)</f>
        <v>0</v>
      </c>
      <c r="J79" s="187">
        <f>-VLOOKUP(A79,'[12]CB List  _IRS_Vrsn'!$H$161:$Q$210,9,FALSE)</f>
        <v>0</v>
      </c>
      <c r="K79" s="190">
        <f>(H79+I79)-J79</f>
        <v>0</v>
      </c>
    </row>
    <row r="80" spans="1:11" ht="18" customHeight="1">
      <c r="A80" s="182" t="s">
        <v>110</v>
      </c>
      <c r="B80" s="186" t="s">
        <v>56</v>
      </c>
      <c r="F80" s="187">
        <f>+VLOOKUP(A80,'[12]CB List'!$H$161:$Q$210,5,FALSE)</f>
        <v>0</v>
      </c>
      <c r="G80" s="187">
        <f>+VLOOKUP(A80,'[12]CB List'!$H$161:$Q$210,6,FALSE)</f>
        <v>0</v>
      </c>
      <c r="H80" s="187">
        <f>+VLOOKUP(A80,'[12]CB List'!$H$161:$Q$210,7,FALSE)</f>
        <v>0</v>
      </c>
      <c r="I80" s="187">
        <f>+VLOOKUP(A80,'[12]CB List  _IRS_Vrsn'!$H$161:$Q$210,8,FALSE)</f>
        <v>0</v>
      </c>
      <c r="J80" s="187">
        <f>-VLOOKUP(A80,'[12]CB List  _IRS_Vrsn'!$H$161:$Q$210,9,FALSE)</f>
        <v>0</v>
      </c>
      <c r="K80" s="190">
        <f>(H80+I80)-J80</f>
        <v>0</v>
      </c>
    </row>
    <row r="81" spans="1:11" ht="18" customHeight="1">
      <c r="A81" s="182"/>
      <c r="K81" s="230"/>
    </row>
    <row r="82" spans="1:11" ht="18" customHeight="1">
      <c r="A82" s="182" t="s">
        <v>148</v>
      </c>
      <c r="B82" s="181" t="s">
        <v>149</v>
      </c>
      <c r="E82" s="181" t="s">
        <v>7</v>
      </c>
      <c r="F82" s="227">
        <f t="shared" ref="F82:K82" si="9">SUM(F77:F80)</f>
        <v>121.24999999999997</v>
      </c>
      <c r="G82" s="227">
        <f t="shared" si="9"/>
        <v>192.49999999999994</v>
      </c>
      <c r="H82" s="229">
        <f t="shared" si="9"/>
        <v>786243.94608785491</v>
      </c>
      <c r="I82" s="229">
        <f t="shared" si="9"/>
        <v>0</v>
      </c>
      <c r="J82" s="229">
        <f t="shared" si="9"/>
        <v>0</v>
      </c>
      <c r="K82" s="229">
        <f t="shared" si="9"/>
        <v>786243.94608785491</v>
      </c>
    </row>
    <row r="83" spans="1:11" ht="18" customHeight="1" thickBot="1">
      <c r="A83" s="182"/>
      <c r="F83" s="206"/>
      <c r="G83" s="206"/>
      <c r="H83" s="206"/>
      <c r="I83" s="206"/>
      <c r="J83" s="206"/>
      <c r="K83" s="206"/>
    </row>
    <row r="84" spans="1:11" ht="42.75" customHeight="1">
      <c r="F84" s="184" t="s">
        <v>9</v>
      </c>
      <c r="G84" s="184" t="s">
        <v>37</v>
      </c>
      <c r="H84" s="184" t="s">
        <v>29</v>
      </c>
      <c r="I84" s="184" t="s">
        <v>30</v>
      </c>
      <c r="J84" s="184" t="s">
        <v>33</v>
      </c>
      <c r="K84" s="184" t="s">
        <v>34</v>
      </c>
    </row>
    <row r="85" spans="1:11" ht="18" customHeight="1">
      <c r="A85" s="185" t="s">
        <v>111</v>
      </c>
      <c r="B85" s="181" t="s">
        <v>57</v>
      </c>
    </row>
    <row r="86" spans="1:11" ht="18" customHeight="1">
      <c r="A86" s="182" t="s">
        <v>112</v>
      </c>
      <c r="B86" s="186" t="s">
        <v>113</v>
      </c>
      <c r="F86" s="187">
        <f>+'[12]CB List'!$L$192</f>
        <v>0</v>
      </c>
      <c r="G86" s="187">
        <f>+'[12]CB List'!$M$192</f>
        <v>0</v>
      </c>
      <c r="H86" s="188">
        <f>+'[12]CB List'!$N$192</f>
        <v>5235</v>
      </c>
      <c r="I86" s="189">
        <f>H86*F$114</f>
        <v>3390.8881457863645</v>
      </c>
      <c r="J86" s="188">
        <f>-'[12]CB List'!$P$192</f>
        <v>4905</v>
      </c>
      <c r="K86" s="190">
        <f t="shared" ref="K86:K96" si="10">(H86+I86)-J86</f>
        <v>3720.8881457863645</v>
      </c>
    </row>
    <row r="87" spans="1:11" ht="18" customHeight="1">
      <c r="A87" s="182" t="s">
        <v>114</v>
      </c>
      <c r="B87" s="186" t="s">
        <v>14</v>
      </c>
      <c r="F87" s="187">
        <f>+'[12]CB List'!$L$193</f>
        <v>1.9999999999999984</v>
      </c>
      <c r="G87" s="187">
        <f>+'[12]CB List'!$M$193</f>
        <v>109.99999999999991</v>
      </c>
      <c r="H87" s="188">
        <f>+'[12]CB List'!$N$193</f>
        <v>294.99999999999977</v>
      </c>
      <c r="I87" s="189">
        <f t="shared" ref="I87:I96" si="11">H87*F$114</f>
        <v>191.08156695453232</v>
      </c>
      <c r="J87" s="188">
        <f>-'[12]CB List'!$P$193</f>
        <v>0</v>
      </c>
      <c r="K87" s="190">
        <f t="shared" si="10"/>
        <v>486.08156695453209</v>
      </c>
    </row>
    <row r="88" spans="1:11" ht="18" customHeight="1">
      <c r="A88" s="182" t="s">
        <v>115</v>
      </c>
      <c r="B88" s="186" t="s">
        <v>116</v>
      </c>
      <c r="F88" s="187">
        <f>+'[12]CB List'!$L$194</f>
        <v>380.74999999999994</v>
      </c>
      <c r="G88" s="187">
        <f>+'[12]CB List'!$M$194</f>
        <v>728.99999999999977</v>
      </c>
      <c r="H88" s="188">
        <f>+'[12]CB List'!$N$194</f>
        <v>41059.999999999993</v>
      </c>
      <c r="I88" s="189">
        <f t="shared" si="11"/>
        <v>26595.963183569838</v>
      </c>
      <c r="J88" s="188">
        <f>-'[12]CB List'!$P$194</f>
        <v>0</v>
      </c>
      <c r="K88" s="190">
        <f t="shared" si="10"/>
        <v>67655.963183569838</v>
      </c>
    </row>
    <row r="89" spans="1:11" ht="18" customHeight="1">
      <c r="A89" s="182" t="s">
        <v>117</v>
      </c>
      <c r="B89" s="186" t="s">
        <v>58</v>
      </c>
      <c r="F89" s="187">
        <f>+'[12]CB List'!$L$195</f>
        <v>0.74999999999999944</v>
      </c>
      <c r="G89" s="187">
        <f>+'[12]CB List'!$M$195</f>
        <v>5.4999999999999956</v>
      </c>
      <c r="H89" s="188">
        <f>+'[12]CB List'!$N$195</f>
        <v>167.99999999999986</v>
      </c>
      <c r="I89" s="189">
        <f t="shared" si="11"/>
        <v>108.81933304529298</v>
      </c>
      <c r="J89" s="188">
        <f>-'[12]CB List'!$P$195</f>
        <v>0</v>
      </c>
      <c r="K89" s="190">
        <f t="shared" si="10"/>
        <v>276.81933304529286</v>
      </c>
    </row>
    <row r="90" spans="1:11" ht="18" customHeight="1">
      <c r="A90" s="182" t="s">
        <v>118</v>
      </c>
      <c r="B90" s="702" t="s">
        <v>59</v>
      </c>
      <c r="C90" s="703"/>
      <c r="F90" s="187">
        <f>+'[12]CB List'!$L$196</f>
        <v>18.249999999999986</v>
      </c>
      <c r="G90" s="187">
        <f>+'[12]CB List'!$M$196</f>
        <v>54.499999999999957</v>
      </c>
      <c r="H90" s="188">
        <f>+'[12]CB List'!$N$196</f>
        <v>141.99999999999989</v>
      </c>
      <c r="I90" s="189">
        <f t="shared" si="11"/>
        <v>91.97824578828336</v>
      </c>
      <c r="J90" s="188">
        <f>-'[12]CB List'!$P$196</f>
        <v>0</v>
      </c>
      <c r="K90" s="190">
        <f t="shared" si="10"/>
        <v>233.97824578828323</v>
      </c>
    </row>
    <row r="91" spans="1:11" ht="18" customHeight="1">
      <c r="A91" s="182" t="s">
        <v>119</v>
      </c>
      <c r="B91" s="186" t="s">
        <v>60</v>
      </c>
      <c r="F91" s="187">
        <f>+'[12]CB List'!$L$197</f>
        <v>481.99999999999966</v>
      </c>
      <c r="G91" s="187">
        <f>+'[12]CB List'!$M$197</f>
        <v>2325.4999999999982</v>
      </c>
      <c r="H91" s="188">
        <f>+'[12]CB List'!$N$197</f>
        <v>35235.999999999971</v>
      </c>
      <c r="I91" s="189">
        <f t="shared" si="11"/>
        <v>22823.559637999664</v>
      </c>
      <c r="J91" s="188">
        <f>-'[12]CB List'!$P$197</f>
        <v>0</v>
      </c>
      <c r="K91" s="190">
        <f t="shared" si="10"/>
        <v>58059.559637999635</v>
      </c>
    </row>
    <row r="92" spans="1:11" ht="18" customHeight="1">
      <c r="A92" s="182" t="s">
        <v>120</v>
      </c>
      <c r="B92" s="186" t="s">
        <v>121</v>
      </c>
      <c r="F92" s="231">
        <f>+'[12]CB List'!$L$198</f>
        <v>2292.27</v>
      </c>
      <c r="G92" s="231">
        <f>+'[12]CB List'!$M$198</f>
        <v>1633.4999999999993</v>
      </c>
      <c r="H92" s="232">
        <f>+'[12]CB List'!$N$198</f>
        <v>311287.73</v>
      </c>
      <c r="I92" s="189">
        <f t="shared" si="11"/>
        <v>201631.68549870991</v>
      </c>
      <c r="J92" s="232">
        <f>-'[12]CB List'!$P$198</f>
        <v>3732.34</v>
      </c>
      <c r="K92" s="190">
        <f t="shared" si="10"/>
        <v>509187.07549870986</v>
      </c>
    </row>
    <row r="93" spans="1:11" ht="18" customHeight="1">
      <c r="A93" s="182" t="s">
        <v>122</v>
      </c>
      <c r="B93" s="186" t="s">
        <v>123</v>
      </c>
      <c r="F93" s="187">
        <f>+'[12]CB List'!$L$199</f>
        <v>5.6249999999999973</v>
      </c>
      <c r="G93" s="187">
        <f>+'[12]CB List'!$M$199</f>
        <v>36.999999999999979</v>
      </c>
      <c r="H93" s="188">
        <f>+'[12]CB List'!$N$199</f>
        <v>811.99999999999932</v>
      </c>
      <c r="I93" s="189">
        <f t="shared" si="11"/>
        <v>525.9601097189161</v>
      </c>
      <c r="J93" s="188">
        <f>-'[12]CB List'!$P$199</f>
        <v>0</v>
      </c>
      <c r="K93" s="190">
        <f t="shared" si="10"/>
        <v>1337.9601097189154</v>
      </c>
    </row>
    <row r="94" spans="1:11" ht="18" customHeight="1">
      <c r="A94" s="182" t="s">
        <v>124</v>
      </c>
      <c r="B94" s="706"/>
      <c r="C94" s="707"/>
      <c r="D94" s="693"/>
      <c r="F94" s="187">
        <f>+'[12]CB List'!$L$200</f>
        <v>0</v>
      </c>
      <c r="G94" s="187">
        <f>+'[12]CB List'!$M$200</f>
        <v>0</v>
      </c>
      <c r="H94" s="188">
        <f>+'[12]CB List'!$N$200</f>
        <v>0</v>
      </c>
      <c r="I94" s="189">
        <f t="shared" si="11"/>
        <v>0</v>
      </c>
      <c r="J94" s="188">
        <f>-'[12]CB List'!$P$200</f>
        <v>0</v>
      </c>
      <c r="K94" s="190">
        <f t="shared" si="10"/>
        <v>0</v>
      </c>
    </row>
    <row r="95" spans="1:11" ht="18" customHeight="1">
      <c r="A95" s="182" t="s">
        <v>125</v>
      </c>
      <c r="B95" s="706"/>
      <c r="C95" s="707"/>
      <c r="D95" s="693"/>
      <c r="F95" s="187"/>
      <c r="G95" s="187"/>
      <c r="H95" s="188"/>
      <c r="I95" s="189">
        <f t="shared" si="11"/>
        <v>0</v>
      </c>
      <c r="J95" s="188"/>
      <c r="K95" s="190">
        <f t="shared" si="10"/>
        <v>0</v>
      </c>
    </row>
    <row r="96" spans="1:11" ht="18" customHeight="1">
      <c r="A96" s="182" t="s">
        <v>126</v>
      </c>
      <c r="B96" s="706"/>
      <c r="C96" s="707"/>
      <c r="D96" s="693"/>
      <c r="F96" s="187"/>
      <c r="G96" s="187"/>
      <c r="H96" s="188"/>
      <c r="I96" s="189">
        <f t="shared" si="11"/>
        <v>0</v>
      </c>
      <c r="J96" s="188"/>
      <c r="K96" s="190">
        <f t="shared" si="10"/>
        <v>0</v>
      </c>
    </row>
    <row r="97" spans="1:11" ht="18" customHeight="1">
      <c r="A97" s="182"/>
      <c r="B97" s="186"/>
    </row>
    <row r="98" spans="1:11" ht="18" customHeight="1">
      <c r="A98" s="185" t="s">
        <v>150</v>
      </c>
      <c r="B98" s="181" t="s">
        <v>151</v>
      </c>
      <c r="E98" s="181" t="s">
        <v>7</v>
      </c>
      <c r="F98" s="196">
        <f t="shared" ref="F98:K98" si="12">SUM(F86:F96)</f>
        <v>3181.6449999999995</v>
      </c>
      <c r="G98" s="196">
        <f t="shared" si="12"/>
        <v>4894.9999999999973</v>
      </c>
      <c r="H98" s="196">
        <f t="shared" si="12"/>
        <v>394235.73</v>
      </c>
      <c r="I98" s="196">
        <f t="shared" si="12"/>
        <v>255359.93572157281</v>
      </c>
      <c r="J98" s="196">
        <f t="shared" si="12"/>
        <v>8637.34</v>
      </c>
      <c r="K98" s="196">
        <f t="shared" si="12"/>
        <v>640958.32572157274</v>
      </c>
    </row>
    <row r="99" spans="1:11" ht="18" customHeight="1" thickBot="1">
      <c r="B99" s="181"/>
      <c r="F99" s="206"/>
      <c r="G99" s="206"/>
      <c r="H99" s="206"/>
      <c r="I99" s="206"/>
      <c r="J99" s="206"/>
      <c r="K99" s="206"/>
    </row>
    <row r="100" spans="1:11" ht="42.75" customHeight="1">
      <c r="F100" s="184" t="s">
        <v>9</v>
      </c>
      <c r="G100" s="184" t="s">
        <v>37</v>
      </c>
      <c r="H100" s="184" t="s">
        <v>29</v>
      </c>
      <c r="I100" s="184" t="s">
        <v>30</v>
      </c>
      <c r="J100" s="184" t="s">
        <v>33</v>
      </c>
      <c r="K100" s="184" t="s">
        <v>34</v>
      </c>
    </row>
    <row r="101" spans="1:11" ht="18" customHeight="1">
      <c r="A101" s="185" t="s">
        <v>130</v>
      </c>
      <c r="B101" s="181" t="s">
        <v>63</v>
      </c>
    </row>
    <row r="102" spans="1:11" ht="18" customHeight="1">
      <c r="A102" s="182" t="s">
        <v>131</v>
      </c>
      <c r="B102" s="186" t="s">
        <v>152</v>
      </c>
      <c r="F102" s="187">
        <f>+'[12]CB List'!$L$201</f>
        <v>1467.625</v>
      </c>
      <c r="G102" s="187">
        <f>+'[12]CB List'!$M$201</f>
        <v>197.99999999999986</v>
      </c>
      <c r="H102" s="188">
        <f>+'[12]CB List'!$N$201</f>
        <v>73136.115384615376</v>
      </c>
      <c r="I102" s="189">
        <f>H102*F$114</f>
        <v>47372.757724270494</v>
      </c>
      <c r="J102" s="188">
        <f>-'[12]CB List'!$P$201</f>
        <v>0</v>
      </c>
      <c r="K102" s="190">
        <f>(H102+I102)-J102</f>
        <v>120508.87310888586</v>
      </c>
    </row>
    <row r="103" spans="1:11" ht="18" customHeight="1">
      <c r="A103" s="182" t="s">
        <v>132</v>
      </c>
      <c r="B103" s="702" t="s">
        <v>62</v>
      </c>
      <c r="C103" s="702"/>
      <c r="F103" s="187">
        <f>+'[12]CB List'!$L$202</f>
        <v>321.99999999999977</v>
      </c>
      <c r="G103" s="187">
        <f>+'[12]CB List'!$M$202</f>
        <v>72.499999999999943</v>
      </c>
      <c r="H103" s="188">
        <f>+'[12]CB List'!$N$202</f>
        <v>518.99999999999955</v>
      </c>
      <c r="I103" s="189">
        <f>H103*F$114</f>
        <v>336.17401101492294</v>
      </c>
      <c r="J103" s="188">
        <f>-'[12]CB List'!$P$202</f>
        <v>0</v>
      </c>
      <c r="K103" s="190">
        <f>(H103+I103)-J103</f>
        <v>855.17401101492248</v>
      </c>
    </row>
    <row r="104" spans="1:11" ht="18" customHeight="1">
      <c r="A104" s="182" t="s">
        <v>128</v>
      </c>
      <c r="B104" s="706" t="s">
        <v>197</v>
      </c>
      <c r="C104" s="707"/>
      <c r="D104" s="693"/>
      <c r="F104" s="187">
        <f>+'[12]CB List'!$L$203</f>
        <v>0</v>
      </c>
      <c r="G104" s="187">
        <f>+'[12]CB List'!$M$203</f>
        <v>0</v>
      </c>
      <c r="H104" s="188">
        <f>+'[12]CB List'!$N$203</f>
        <v>0</v>
      </c>
      <c r="I104" s="189">
        <f>H104*F$114</f>
        <v>0</v>
      </c>
      <c r="J104" s="188">
        <f>-'[12]CB List'!$P$203</f>
        <v>0</v>
      </c>
      <c r="K104" s="190">
        <f>(H104+I104)-J104</f>
        <v>0</v>
      </c>
    </row>
    <row r="105" spans="1:11" ht="18" customHeight="1">
      <c r="A105" s="182" t="s">
        <v>127</v>
      </c>
      <c r="B105" s="706" t="s">
        <v>198</v>
      </c>
      <c r="C105" s="707"/>
      <c r="D105" s="693"/>
      <c r="F105" s="187">
        <f>+'[12]CB List'!$L$204</f>
        <v>0</v>
      </c>
      <c r="G105" s="187">
        <f>+'[12]CB List'!$M$204</f>
        <v>0</v>
      </c>
      <c r="H105" s="188">
        <f>+'[12]CB List'!$N$204</f>
        <v>0</v>
      </c>
      <c r="I105" s="189">
        <f>H105*F$114</f>
        <v>0</v>
      </c>
      <c r="J105" s="188">
        <f>-'[12]CB List'!$P$204</f>
        <v>0</v>
      </c>
      <c r="K105" s="190">
        <f>(H105+I105)-J105</f>
        <v>0</v>
      </c>
    </row>
    <row r="106" spans="1:11" ht="18" customHeight="1">
      <c r="A106" s="182" t="s">
        <v>129</v>
      </c>
      <c r="B106" s="706"/>
      <c r="C106" s="707"/>
      <c r="D106" s="693"/>
      <c r="F106" s="187"/>
      <c r="G106" s="187"/>
      <c r="H106" s="188"/>
      <c r="I106" s="189">
        <f>H106*F$114</f>
        <v>0</v>
      </c>
      <c r="J106" s="188"/>
      <c r="K106" s="190">
        <f>(H106+I106)-J106</f>
        <v>0</v>
      </c>
    </row>
    <row r="107" spans="1:11" ht="18" customHeight="1">
      <c r="B107" s="181"/>
    </row>
    <row r="108" spans="1:11" s="201" customFormat="1" ht="18" customHeight="1">
      <c r="A108" s="185" t="s">
        <v>153</v>
      </c>
      <c r="B108" s="233" t="s">
        <v>154</v>
      </c>
      <c r="C108" s="178"/>
      <c r="D108" s="178"/>
      <c r="E108" s="181" t="s">
        <v>7</v>
      </c>
      <c r="F108" s="196">
        <f t="shared" ref="F108:K108" si="13">SUM(F102:F106)</f>
        <v>1789.6249999999998</v>
      </c>
      <c r="G108" s="196">
        <f t="shared" si="13"/>
        <v>270.49999999999977</v>
      </c>
      <c r="H108" s="190">
        <f t="shared" si="13"/>
        <v>73655.115384615376</v>
      </c>
      <c r="I108" s="190">
        <f t="shared" si="13"/>
        <v>47708.93173528542</v>
      </c>
      <c r="J108" s="190">
        <f t="shared" si="13"/>
        <v>0</v>
      </c>
      <c r="K108" s="190">
        <f t="shared" si="13"/>
        <v>121364.04711990079</v>
      </c>
    </row>
    <row r="109" spans="1:11" s="201" customFormat="1" ht="18" customHeight="1" thickBot="1">
      <c r="A109" s="234"/>
      <c r="B109" s="235"/>
      <c r="C109" s="236"/>
      <c r="D109" s="236"/>
      <c r="E109" s="236"/>
      <c r="F109" s="206"/>
      <c r="G109" s="206"/>
      <c r="H109" s="206"/>
      <c r="I109" s="206"/>
      <c r="J109" s="206"/>
      <c r="K109" s="206"/>
    </row>
    <row r="110" spans="1:11" s="201" customFormat="1" ht="18" customHeight="1">
      <c r="A110" s="185" t="s">
        <v>156</v>
      </c>
      <c r="B110" s="181" t="s">
        <v>39</v>
      </c>
      <c r="C110" s="178"/>
      <c r="D110" s="178"/>
      <c r="E110" s="178"/>
      <c r="F110" s="178"/>
      <c r="G110" s="178"/>
      <c r="H110" s="178"/>
      <c r="I110" s="178"/>
      <c r="J110" s="178"/>
      <c r="K110" s="178"/>
    </row>
    <row r="111" spans="1:11" ht="18" customHeight="1">
      <c r="A111" s="185" t="s">
        <v>155</v>
      </c>
      <c r="B111" s="181" t="s">
        <v>164</v>
      </c>
      <c r="E111" s="181" t="s">
        <v>7</v>
      </c>
      <c r="F111" s="188">
        <f>+'[12]CB List'!$Q$206</f>
        <v>10015260.608000001</v>
      </c>
    </row>
    <row r="112" spans="1:11" ht="18" customHeight="1">
      <c r="B112" s="181"/>
      <c r="E112" s="181"/>
      <c r="F112" s="237"/>
    </row>
    <row r="113" spans="1:6" ht="18" customHeight="1">
      <c r="A113" s="185"/>
      <c r="B113" s="181" t="s">
        <v>15</v>
      </c>
    </row>
    <row r="114" spans="1:6" ht="18" customHeight="1">
      <c r="A114" s="182" t="s">
        <v>171</v>
      </c>
      <c r="B114" s="186" t="s">
        <v>35</v>
      </c>
      <c r="F114" s="238">
        <f>+'[12]CB List'!$I$213</f>
        <v>0.64773412526960161</v>
      </c>
    </row>
    <row r="115" spans="1:6" ht="18" customHeight="1">
      <c r="A115" s="182"/>
      <c r="B115" s="181"/>
    </row>
    <row r="116" spans="1:6" ht="18" customHeight="1">
      <c r="A116" s="182" t="s">
        <v>170</v>
      </c>
      <c r="B116" s="181" t="s">
        <v>16</v>
      </c>
    </row>
    <row r="117" spans="1:6" ht="18" customHeight="1">
      <c r="A117" s="182" t="s">
        <v>172</v>
      </c>
      <c r="B117" s="186" t="s">
        <v>17</v>
      </c>
      <c r="F117" s="188">
        <f>+'[13]P&amp;L_101 (2)'!$K$54</f>
        <v>306717022.44999999</v>
      </c>
    </row>
    <row r="118" spans="1:6" ht="18" customHeight="1">
      <c r="A118" s="182" t="s">
        <v>173</v>
      </c>
      <c r="B118" s="178" t="s">
        <v>18</v>
      </c>
      <c r="F118" s="188">
        <f>+'[13]P&amp;L_101 (2)'!$K$78</f>
        <v>7743804.0429999996</v>
      </c>
    </row>
    <row r="119" spans="1:6" ht="18" customHeight="1">
      <c r="A119" s="182" t="s">
        <v>174</v>
      </c>
      <c r="B119" s="181" t="s">
        <v>19</v>
      </c>
      <c r="F119" s="229">
        <f>SUM(F117:F118)</f>
        <v>314460826.49299997</v>
      </c>
    </row>
    <row r="120" spans="1:6" ht="18" customHeight="1">
      <c r="A120" s="182"/>
      <c r="B120" s="181"/>
    </row>
    <row r="121" spans="1:6" ht="18" customHeight="1">
      <c r="A121" s="182" t="s">
        <v>167</v>
      </c>
      <c r="B121" s="181" t="s">
        <v>36</v>
      </c>
      <c r="F121" s="188">
        <f>+'[13]P&amp;L_101 (2)'!$K$342</f>
        <v>295844877.08899999</v>
      </c>
    </row>
    <row r="122" spans="1:6" ht="18" customHeight="1">
      <c r="A122" s="182"/>
    </row>
    <row r="123" spans="1:6" ht="18" customHeight="1">
      <c r="A123" s="182" t="s">
        <v>175</v>
      </c>
      <c r="B123" s="181" t="s">
        <v>20</v>
      </c>
      <c r="F123" s="188">
        <f>+'[13]P&amp;L_101 (2)'!$K$344</f>
        <v>18615949.404000022</v>
      </c>
    </row>
    <row r="124" spans="1:6" ht="18" customHeight="1">
      <c r="A124" s="182"/>
    </row>
    <row r="125" spans="1:6" ht="18" customHeight="1">
      <c r="A125" s="182" t="s">
        <v>176</v>
      </c>
      <c r="B125" s="181" t="s">
        <v>21</v>
      </c>
      <c r="F125" s="188">
        <f>+'[13]P&amp;L_101 (2)'!$K$359</f>
        <v>76752.076000000001</v>
      </c>
    </row>
    <row r="126" spans="1:6" ht="18" customHeight="1">
      <c r="A126" s="182"/>
    </row>
    <row r="127" spans="1:6" ht="18" customHeight="1">
      <c r="A127" s="182" t="s">
        <v>177</v>
      </c>
      <c r="B127" s="181" t="s">
        <v>22</v>
      </c>
      <c r="F127" s="188">
        <f>+'[13]P&amp;L_101 (2)'!$K$361</f>
        <v>18692701.480000019</v>
      </c>
    </row>
    <row r="128" spans="1:6" ht="18" customHeight="1">
      <c r="A128" s="182"/>
    </row>
    <row r="129" spans="1:11" ht="42.75" customHeight="1">
      <c r="F129" s="184" t="s">
        <v>9</v>
      </c>
      <c r="G129" s="184" t="s">
        <v>37</v>
      </c>
      <c r="H129" s="184" t="s">
        <v>29</v>
      </c>
      <c r="I129" s="184" t="s">
        <v>30</v>
      </c>
      <c r="J129" s="184" t="s">
        <v>33</v>
      </c>
      <c r="K129" s="184" t="s">
        <v>34</v>
      </c>
    </row>
    <row r="130" spans="1:11" ht="18" customHeight="1">
      <c r="A130" s="185" t="s">
        <v>157</v>
      </c>
      <c r="B130" s="181" t="s">
        <v>23</v>
      </c>
    </row>
    <row r="131" spans="1:11" ht="18" customHeight="1">
      <c r="A131" s="182" t="s">
        <v>158</v>
      </c>
      <c r="B131" s="178" t="s">
        <v>24</v>
      </c>
      <c r="F131" s="187"/>
      <c r="G131" s="187"/>
      <c r="H131" s="188"/>
      <c r="I131" s="189">
        <v>0</v>
      </c>
      <c r="J131" s="188"/>
      <c r="K131" s="190">
        <f>(H131+I131)-J131</f>
        <v>0</v>
      </c>
    </row>
    <row r="132" spans="1:11" ht="18" customHeight="1">
      <c r="A132" s="182" t="s">
        <v>159</v>
      </c>
      <c r="B132" s="178" t="s">
        <v>25</v>
      </c>
      <c r="F132" s="187"/>
      <c r="G132" s="187"/>
      <c r="H132" s="188"/>
      <c r="I132" s="189">
        <v>0</v>
      </c>
      <c r="J132" s="188"/>
      <c r="K132" s="190">
        <f>(H132+I132)-J132</f>
        <v>0</v>
      </c>
    </row>
    <row r="133" spans="1:11" ht="18" customHeight="1">
      <c r="A133" s="182" t="s">
        <v>160</v>
      </c>
      <c r="B133" s="699"/>
      <c r="C133" s="700"/>
      <c r="D133" s="701"/>
      <c r="F133" s="187"/>
      <c r="G133" s="187"/>
      <c r="H133" s="188"/>
      <c r="I133" s="189">
        <v>0</v>
      </c>
      <c r="J133" s="188"/>
      <c r="K133" s="190">
        <f>(H133+I133)-J133</f>
        <v>0</v>
      </c>
    </row>
    <row r="134" spans="1:11" ht="18" customHeight="1">
      <c r="A134" s="182" t="s">
        <v>161</v>
      </c>
      <c r="B134" s="699"/>
      <c r="C134" s="700"/>
      <c r="D134" s="701"/>
      <c r="F134" s="187"/>
      <c r="G134" s="187"/>
      <c r="H134" s="188"/>
      <c r="I134" s="189">
        <v>0</v>
      </c>
      <c r="J134" s="188"/>
      <c r="K134" s="190">
        <f>(H134+I134)-J134</f>
        <v>0</v>
      </c>
    </row>
    <row r="135" spans="1:11" ht="18" customHeight="1">
      <c r="A135" s="182" t="s">
        <v>162</v>
      </c>
      <c r="B135" s="699"/>
      <c r="C135" s="700"/>
      <c r="D135" s="701"/>
      <c r="F135" s="187"/>
      <c r="G135" s="187"/>
      <c r="H135" s="188"/>
      <c r="I135" s="189">
        <v>0</v>
      </c>
      <c r="J135" s="188"/>
      <c r="K135" s="190">
        <f>(H135+I135)-J135</f>
        <v>0</v>
      </c>
    </row>
    <row r="136" spans="1:11" ht="18" customHeight="1">
      <c r="A136" s="185"/>
    </row>
    <row r="137" spans="1:11" ht="18" customHeight="1">
      <c r="A137" s="185" t="s">
        <v>163</v>
      </c>
      <c r="B137" s="181" t="s">
        <v>27</v>
      </c>
      <c r="F137" s="196">
        <f t="shared" ref="F137:K137" si="14">SUM(F131:F135)</f>
        <v>0</v>
      </c>
      <c r="G137" s="196">
        <f t="shared" si="14"/>
        <v>0</v>
      </c>
      <c r="H137" s="190">
        <f t="shared" si="14"/>
        <v>0</v>
      </c>
      <c r="I137" s="190">
        <f t="shared" si="14"/>
        <v>0</v>
      </c>
      <c r="J137" s="190">
        <f t="shared" si="14"/>
        <v>0</v>
      </c>
      <c r="K137" s="190">
        <f t="shared" si="14"/>
        <v>0</v>
      </c>
    </row>
    <row r="138" spans="1:11" ht="18" customHeight="1">
      <c r="A138" s="178"/>
    </row>
    <row r="139" spans="1:11" ht="42.75" customHeight="1">
      <c r="F139" s="184" t="s">
        <v>9</v>
      </c>
      <c r="G139" s="184" t="s">
        <v>37</v>
      </c>
      <c r="H139" s="184" t="s">
        <v>29</v>
      </c>
      <c r="I139" s="184" t="s">
        <v>30</v>
      </c>
      <c r="J139" s="184" t="s">
        <v>33</v>
      </c>
      <c r="K139" s="184" t="s">
        <v>34</v>
      </c>
    </row>
    <row r="140" spans="1:11" ht="18" customHeight="1">
      <c r="A140" s="185" t="s">
        <v>166</v>
      </c>
      <c r="B140" s="181" t="s">
        <v>26</v>
      </c>
    </row>
    <row r="141" spans="1:11" ht="18" customHeight="1">
      <c r="A141" s="182" t="s">
        <v>137</v>
      </c>
      <c r="B141" s="181" t="s">
        <v>64</v>
      </c>
      <c r="F141" s="239">
        <f t="shared" ref="F141:K141" si="15">F36</f>
        <v>35317.535000000011</v>
      </c>
      <c r="G141" s="239">
        <f t="shared" si="15"/>
        <v>38833.5</v>
      </c>
      <c r="H141" s="239">
        <f t="shared" si="15"/>
        <v>2594589.7565000001</v>
      </c>
      <c r="I141" s="239">
        <f t="shared" si="15"/>
        <v>1635034.2744902214</v>
      </c>
      <c r="J141" s="239">
        <f t="shared" si="15"/>
        <v>140571.00724999997</v>
      </c>
      <c r="K141" s="239">
        <f t="shared" si="15"/>
        <v>4089053.0237402208</v>
      </c>
    </row>
    <row r="142" spans="1:11" ht="18" customHeight="1">
      <c r="A142" s="182" t="s">
        <v>142</v>
      </c>
      <c r="B142" s="181" t="s">
        <v>65</v>
      </c>
      <c r="F142" s="239">
        <f t="shared" ref="F142:K142" si="16">F49</f>
        <v>17389.697499999998</v>
      </c>
      <c r="G142" s="239">
        <f t="shared" si="16"/>
        <v>16093.5</v>
      </c>
      <c r="H142" s="239">
        <f t="shared" si="16"/>
        <v>863451.85900000005</v>
      </c>
      <c r="I142" s="239">
        <f t="shared" si="16"/>
        <v>0</v>
      </c>
      <c r="J142" s="239">
        <f t="shared" si="16"/>
        <v>21896.533749999999</v>
      </c>
      <c r="K142" s="239">
        <f t="shared" si="16"/>
        <v>841555.32524999999</v>
      </c>
    </row>
    <row r="143" spans="1:11" ht="18" customHeight="1">
      <c r="A143" s="182" t="s">
        <v>144</v>
      </c>
      <c r="B143" s="181" t="s">
        <v>66</v>
      </c>
      <c r="F143" s="239">
        <f t="shared" ref="F143:K143" si="17">F64</f>
        <v>86703.229999999981</v>
      </c>
      <c r="G143" s="239">
        <f t="shared" si="17"/>
        <v>8701.7067000000025</v>
      </c>
      <c r="H143" s="239">
        <f t="shared" si="17"/>
        <v>10585969.242666665</v>
      </c>
      <c r="I143" s="239">
        <f t="shared" si="17"/>
        <v>0</v>
      </c>
      <c r="J143" s="239">
        <f t="shared" si="17"/>
        <v>350</v>
      </c>
      <c r="K143" s="239">
        <f t="shared" si="17"/>
        <v>10585619.242666665</v>
      </c>
    </row>
    <row r="144" spans="1:11" ht="18" customHeight="1">
      <c r="A144" s="182" t="s">
        <v>146</v>
      </c>
      <c r="B144" s="181" t="s">
        <v>67</v>
      </c>
      <c r="F144" s="239">
        <f t="shared" ref="F144:K144" si="18">F74</f>
        <v>7384.4299999999994</v>
      </c>
      <c r="G144" s="239">
        <f t="shared" si="18"/>
        <v>975</v>
      </c>
      <c r="H144" s="239">
        <f t="shared" si="18"/>
        <v>331506.12000000005</v>
      </c>
      <c r="I144" s="239">
        <f t="shared" si="18"/>
        <v>0</v>
      </c>
      <c r="J144" s="239">
        <f t="shared" si="18"/>
        <v>83523</v>
      </c>
      <c r="K144" s="239">
        <f t="shared" si="18"/>
        <v>247983.12000000002</v>
      </c>
    </row>
    <row r="145" spans="1:11" ht="18" customHeight="1">
      <c r="A145" s="182" t="s">
        <v>148</v>
      </c>
      <c r="B145" s="181" t="s">
        <v>68</v>
      </c>
      <c r="F145" s="239">
        <f t="shared" ref="F145:K145" si="19">F82</f>
        <v>121.24999999999997</v>
      </c>
      <c r="G145" s="239">
        <f t="shared" si="19"/>
        <v>192.49999999999994</v>
      </c>
      <c r="H145" s="239">
        <f t="shared" si="19"/>
        <v>786243.94608785491</v>
      </c>
      <c r="I145" s="239">
        <f t="shared" si="19"/>
        <v>0</v>
      </c>
      <c r="J145" s="239">
        <f t="shared" si="19"/>
        <v>0</v>
      </c>
      <c r="K145" s="239">
        <f t="shared" si="19"/>
        <v>786243.94608785491</v>
      </c>
    </row>
    <row r="146" spans="1:11" ht="18" customHeight="1">
      <c r="A146" s="182" t="s">
        <v>150</v>
      </c>
      <c r="B146" s="181" t="s">
        <v>69</v>
      </c>
      <c r="F146" s="239">
        <f t="shared" ref="F146:K146" si="20">F98</f>
        <v>3181.6449999999995</v>
      </c>
      <c r="G146" s="239">
        <f t="shared" si="20"/>
        <v>4894.9999999999973</v>
      </c>
      <c r="H146" s="239">
        <f t="shared" si="20"/>
        <v>394235.73</v>
      </c>
      <c r="I146" s="239">
        <f t="shared" si="20"/>
        <v>255359.93572157281</v>
      </c>
      <c r="J146" s="239">
        <f t="shared" si="20"/>
        <v>8637.34</v>
      </c>
      <c r="K146" s="239">
        <f t="shared" si="20"/>
        <v>640958.32572157274</v>
      </c>
    </row>
    <row r="147" spans="1:11" ht="18" customHeight="1">
      <c r="A147" s="182" t="s">
        <v>153</v>
      </c>
      <c r="B147" s="181" t="s">
        <v>61</v>
      </c>
      <c r="F147" s="196">
        <f t="shared" ref="F147:K147" si="21">F108</f>
        <v>1789.6249999999998</v>
      </c>
      <c r="G147" s="196">
        <f t="shared" si="21"/>
        <v>270.49999999999977</v>
      </c>
      <c r="H147" s="196">
        <f t="shared" si="21"/>
        <v>73655.115384615376</v>
      </c>
      <c r="I147" s="196">
        <f t="shared" si="21"/>
        <v>47708.93173528542</v>
      </c>
      <c r="J147" s="196">
        <f t="shared" si="21"/>
        <v>0</v>
      </c>
      <c r="K147" s="196">
        <f t="shared" si="21"/>
        <v>121364.04711990079</v>
      </c>
    </row>
    <row r="148" spans="1:11" ht="18" customHeight="1">
      <c r="A148" s="182" t="s">
        <v>155</v>
      </c>
      <c r="B148" s="181" t="s">
        <v>70</v>
      </c>
      <c r="F148" s="240" t="s">
        <v>73</v>
      </c>
      <c r="G148" s="240" t="s">
        <v>73</v>
      </c>
      <c r="H148" s="241" t="s">
        <v>73</v>
      </c>
      <c r="I148" s="241" t="s">
        <v>73</v>
      </c>
      <c r="J148" s="241" t="s">
        <v>73</v>
      </c>
      <c r="K148" s="242">
        <f>F111</f>
        <v>10015260.608000001</v>
      </c>
    </row>
    <row r="149" spans="1:11" ht="18" customHeight="1">
      <c r="A149" s="182" t="s">
        <v>163</v>
      </c>
      <c r="B149" s="181" t="s">
        <v>71</v>
      </c>
      <c r="F149" s="196">
        <f t="shared" ref="F149:K149" si="22">F137</f>
        <v>0</v>
      </c>
      <c r="G149" s="196">
        <f t="shared" si="22"/>
        <v>0</v>
      </c>
      <c r="H149" s="196">
        <f t="shared" si="22"/>
        <v>0</v>
      </c>
      <c r="I149" s="196">
        <f t="shared" si="22"/>
        <v>0</v>
      </c>
      <c r="J149" s="196">
        <f t="shared" si="22"/>
        <v>0</v>
      </c>
      <c r="K149" s="196">
        <f t="shared" si="22"/>
        <v>0</v>
      </c>
    </row>
    <row r="150" spans="1:11" ht="18" customHeight="1">
      <c r="A150" s="182" t="s">
        <v>185</v>
      </c>
      <c r="B150" s="181" t="s">
        <v>186</v>
      </c>
      <c r="F150" s="240" t="s">
        <v>73</v>
      </c>
      <c r="G150" s="240" t="s">
        <v>73</v>
      </c>
      <c r="H150" s="196">
        <f>H18</f>
        <v>9262500</v>
      </c>
      <c r="I150" s="196">
        <f>I18</f>
        <v>0</v>
      </c>
      <c r="J150" s="196">
        <f>J18</f>
        <v>7920591.5</v>
      </c>
      <c r="K150" s="196">
        <f>K18</f>
        <v>1341908.5</v>
      </c>
    </row>
    <row r="151" spans="1:11" ht="18" customHeight="1">
      <c r="B151" s="181"/>
      <c r="F151" s="213"/>
      <c r="G151" s="213"/>
      <c r="H151" s="213"/>
      <c r="I151" s="213"/>
      <c r="J151" s="213"/>
      <c r="K151" s="213"/>
    </row>
    <row r="152" spans="1:11" ht="18" customHeight="1">
      <c r="A152" s="185" t="s">
        <v>165</v>
      </c>
      <c r="B152" s="181" t="s">
        <v>26</v>
      </c>
      <c r="F152" s="243">
        <f t="shared" ref="F152:K152" si="23">SUM(F141:F150)</f>
        <v>151887.41249999998</v>
      </c>
      <c r="G152" s="243">
        <f t="shared" si="23"/>
        <v>69961.706699999995</v>
      </c>
      <c r="H152" s="243">
        <f t="shared" si="23"/>
        <v>24892151.769639134</v>
      </c>
      <c r="I152" s="243">
        <f t="shared" si="23"/>
        <v>1938103.1419470794</v>
      </c>
      <c r="J152" s="243">
        <f t="shared" si="23"/>
        <v>8175569.3810000001</v>
      </c>
      <c r="K152" s="243">
        <f t="shared" si="23"/>
        <v>28669946.138586216</v>
      </c>
    </row>
    <row r="154" spans="1:11" ht="18" customHeight="1">
      <c r="A154" s="185" t="s">
        <v>168</v>
      </c>
      <c r="B154" s="181" t="s">
        <v>28</v>
      </c>
      <c r="F154" s="64">
        <f>K152/F121</f>
        <v>9.6908712500576241E-2</v>
      </c>
    </row>
    <row r="155" spans="1:11" ht="18" customHeight="1">
      <c r="A155" s="185" t="s">
        <v>169</v>
      </c>
      <c r="B155" s="181" t="s">
        <v>72</v>
      </c>
      <c r="F155" s="64">
        <f>K152/F127</f>
        <v>1.5337508154859907</v>
      </c>
      <c r="G155" s="181"/>
    </row>
    <row r="156" spans="1:11" ht="18" customHeight="1">
      <c r="G156" s="181"/>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21" zoomScale="70" zoomScaleNormal="50" zoomScaleSheetLayoutView="70" workbookViewId="0">
      <selection activeCell="K74" sqref="K74"/>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70" t="s">
        <v>612</v>
      </c>
      <c r="D5" s="654"/>
      <c r="E5" s="654"/>
      <c r="F5" s="654"/>
      <c r="G5" s="655"/>
    </row>
    <row r="6" spans="1:11" ht="18" customHeight="1">
      <c r="B6" s="5" t="s">
        <v>3</v>
      </c>
      <c r="C6" s="671">
        <v>64</v>
      </c>
      <c r="D6" s="657"/>
      <c r="E6" s="657"/>
      <c r="F6" s="657"/>
      <c r="G6" s="658"/>
    </row>
    <row r="7" spans="1:11" ht="18" customHeight="1">
      <c r="B7" s="5" t="s">
        <v>4</v>
      </c>
      <c r="C7" s="659">
        <v>832</v>
      </c>
      <c r="D7" s="660"/>
      <c r="E7" s="660"/>
      <c r="F7" s="660"/>
      <c r="G7" s="661"/>
    </row>
    <row r="9" spans="1:11" ht="18" customHeight="1">
      <c r="B9" s="5" t="s">
        <v>1</v>
      </c>
      <c r="C9" s="670" t="s">
        <v>613</v>
      </c>
      <c r="D9" s="654"/>
      <c r="E9" s="654"/>
      <c r="F9" s="654"/>
      <c r="G9" s="655"/>
    </row>
    <row r="10" spans="1:11" ht="18" customHeight="1">
      <c r="B10" s="5" t="s">
        <v>2</v>
      </c>
      <c r="C10" s="674" t="s">
        <v>614</v>
      </c>
      <c r="D10" s="663"/>
      <c r="E10" s="663"/>
      <c r="F10" s="663"/>
      <c r="G10" s="664"/>
    </row>
    <row r="11" spans="1:11" ht="18" customHeight="1">
      <c r="B11" s="5" t="s">
        <v>32</v>
      </c>
      <c r="C11" s="670" t="s">
        <v>615</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c r="I18" s="50">
        <v>0</v>
      </c>
      <c r="J18" s="15"/>
      <c r="K18" s="16">
        <f>(H18+I18)-J18</f>
        <v>0</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f>101-6</f>
        <v>95</v>
      </c>
      <c r="G21" s="14">
        <f>373-50</f>
        <v>323</v>
      </c>
      <c r="H21" s="15">
        <f>3515.88-366.85</f>
        <v>3149.03</v>
      </c>
      <c r="I21" s="50">
        <f t="shared" ref="I21:I34" si="0">H21*F$114</f>
        <v>2390.4286730000003</v>
      </c>
      <c r="J21" s="15"/>
      <c r="K21" s="16">
        <f t="shared" ref="K21:K34" si="1">(H21+I21)-J21</f>
        <v>5539.458673000001</v>
      </c>
    </row>
    <row r="22" spans="1:11" ht="18" customHeight="1">
      <c r="A22" s="5" t="s">
        <v>76</v>
      </c>
      <c r="B22" t="s">
        <v>6</v>
      </c>
      <c r="F22" s="14">
        <v>6</v>
      </c>
      <c r="G22" s="14">
        <v>50</v>
      </c>
      <c r="H22" s="15">
        <v>366.85</v>
      </c>
      <c r="I22" s="50">
        <f t="shared" si="0"/>
        <v>278.47583500000002</v>
      </c>
      <c r="J22" s="15"/>
      <c r="K22" s="16">
        <f t="shared" si="1"/>
        <v>645.3258350000001</v>
      </c>
    </row>
    <row r="23" spans="1:11" ht="18" customHeight="1">
      <c r="A23" s="5" t="s">
        <v>77</v>
      </c>
      <c r="B23" t="s">
        <v>43</v>
      </c>
      <c r="F23" s="14"/>
      <c r="G23" s="14"/>
      <c r="H23" s="15"/>
      <c r="I23" s="50">
        <f t="shared" si="0"/>
        <v>0</v>
      </c>
      <c r="J23" s="15"/>
      <c r="K23" s="16">
        <f t="shared" si="1"/>
        <v>0</v>
      </c>
    </row>
    <row r="24" spans="1:11" ht="18" customHeight="1">
      <c r="A24" s="5" t="s">
        <v>78</v>
      </c>
      <c r="B24" t="s">
        <v>44</v>
      </c>
      <c r="F24" s="14">
        <v>29</v>
      </c>
      <c r="G24" s="14">
        <v>28</v>
      </c>
      <c r="H24" s="15">
        <v>1254</v>
      </c>
      <c r="I24" s="50">
        <f t="shared" si="0"/>
        <v>951.91139999999996</v>
      </c>
      <c r="J24" s="15"/>
      <c r="K24" s="16">
        <f t="shared" si="1"/>
        <v>2205.9114</v>
      </c>
    </row>
    <row r="25" spans="1:11" ht="18" customHeight="1">
      <c r="A25" s="5" t="s">
        <v>79</v>
      </c>
      <c r="B25" t="s">
        <v>5</v>
      </c>
      <c r="F25" s="14"/>
      <c r="G25" s="14"/>
      <c r="H25" s="15"/>
      <c r="I25" s="50">
        <f t="shared" si="0"/>
        <v>0</v>
      </c>
      <c r="J25" s="15"/>
      <c r="K25" s="16">
        <f t="shared" si="1"/>
        <v>0</v>
      </c>
    </row>
    <row r="26" spans="1:11" ht="18" customHeight="1">
      <c r="A26" s="5" t="s">
        <v>80</v>
      </c>
      <c r="B26" t="s">
        <v>45</v>
      </c>
      <c r="F26" s="14"/>
      <c r="G26" s="14"/>
      <c r="H26" s="15"/>
      <c r="I26" s="50">
        <f t="shared" si="0"/>
        <v>0</v>
      </c>
      <c r="J26" s="15"/>
      <c r="K26" s="16">
        <f t="shared" si="1"/>
        <v>0</v>
      </c>
    </row>
    <row r="27" spans="1:11" ht="18" customHeight="1">
      <c r="A27" s="5" t="s">
        <v>81</v>
      </c>
      <c r="B27" t="s">
        <v>46</v>
      </c>
      <c r="F27" s="14"/>
      <c r="G27" s="14"/>
      <c r="H27" s="15"/>
      <c r="I27" s="50">
        <f t="shared" si="0"/>
        <v>0</v>
      </c>
      <c r="J27" s="15"/>
      <c r="K27" s="16">
        <f t="shared" si="1"/>
        <v>0</v>
      </c>
    </row>
    <row r="28" spans="1:11" ht="18" customHeight="1">
      <c r="A28" s="5" t="s">
        <v>82</v>
      </c>
      <c r="B28" t="s">
        <v>47</v>
      </c>
      <c r="F28" s="14"/>
      <c r="G28" s="14"/>
      <c r="H28" s="15"/>
      <c r="I28" s="50">
        <f t="shared" si="0"/>
        <v>0</v>
      </c>
      <c r="J28" s="15"/>
      <c r="K28" s="16">
        <f t="shared" si="1"/>
        <v>0</v>
      </c>
    </row>
    <row r="29" spans="1:11" ht="18" customHeight="1">
      <c r="A29" s="5" t="s">
        <v>83</v>
      </c>
      <c r="B29" t="s">
        <v>48</v>
      </c>
      <c r="F29" s="14">
        <v>1871</v>
      </c>
      <c r="G29" s="14">
        <v>6221</v>
      </c>
      <c r="H29" s="15">
        <f>69643+24774.75</f>
        <v>94417.75</v>
      </c>
      <c r="I29" s="50">
        <f t="shared" si="0"/>
        <v>71672.514024999997</v>
      </c>
      <c r="J29" s="15">
        <v>70360</v>
      </c>
      <c r="K29" s="16">
        <f t="shared" si="1"/>
        <v>95730.264024999982</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335"/>
      <c r="C32" s="336"/>
      <c r="D32" s="337"/>
      <c r="F32" s="14"/>
      <c r="G32" s="342" t="s">
        <v>85</v>
      </c>
      <c r="H32" s="15"/>
      <c r="I32" s="50">
        <f t="shared" si="0"/>
        <v>0</v>
      </c>
      <c r="J32" s="15"/>
      <c r="K32" s="16">
        <f t="shared" si="1"/>
        <v>0</v>
      </c>
    </row>
    <row r="33" spans="1:11" ht="18" customHeight="1">
      <c r="A33" s="5" t="s">
        <v>135</v>
      </c>
      <c r="B33" s="335"/>
      <c r="C33" s="336"/>
      <c r="D33" s="337"/>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2001</v>
      </c>
      <c r="G36" s="18">
        <f t="shared" si="2"/>
        <v>6622</v>
      </c>
      <c r="H36" s="18">
        <f t="shared" si="2"/>
        <v>99187.63</v>
      </c>
      <c r="I36" s="16">
        <f t="shared" si="2"/>
        <v>75293.329933000001</v>
      </c>
      <c r="J36" s="16">
        <f t="shared" si="2"/>
        <v>70360</v>
      </c>
      <c r="K36" s="16">
        <f t="shared" si="2"/>
        <v>104120.95993299998</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c r="I40" s="50">
        <f t="shared" ref="I40:I47" si="3">H40*F$114</f>
        <v>0</v>
      </c>
      <c r="J40" s="15"/>
      <c r="K40" s="16">
        <f t="shared" ref="K40:K47" si="4">(H40+I40)-J40</f>
        <v>0</v>
      </c>
    </row>
    <row r="41" spans="1:11" ht="18" customHeight="1">
      <c r="A41" s="5" t="s">
        <v>88</v>
      </c>
      <c r="B41" s="641" t="s">
        <v>50</v>
      </c>
      <c r="C41" s="649"/>
      <c r="F41" s="14"/>
      <c r="G41" s="14"/>
      <c r="H41" s="15"/>
      <c r="I41" s="50">
        <f t="shared" si="3"/>
        <v>0</v>
      </c>
      <c r="J41" s="15"/>
      <c r="K41" s="16">
        <f t="shared" si="4"/>
        <v>0</v>
      </c>
    </row>
    <row r="42" spans="1:11" ht="18" customHeight="1">
      <c r="A42" s="5" t="s">
        <v>89</v>
      </c>
      <c r="B42" s="341" t="s">
        <v>11</v>
      </c>
      <c r="F42" s="14">
        <v>1200</v>
      </c>
      <c r="G42" s="14"/>
      <c r="H42" s="15">
        <v>56470</v>
      </c>
      <c r="I42" s="50">
        <f t="shared" si="3"/>
        <v>42866.377</v>
      </c>
      <c r="J42" s="15"/>
      <c r="K42" s="16">
        <f t="shared" si="4"/>
        <v>99336.377000000008</v>
      </c>
    </row>
    <row r="43" spans="1:11" ht="18" customHeight="1">
      <c r="A43" s="5" t="s">
        <v>90</v>
      </c>
      <c r="B43" s="343" t="s">
        <v>10</v>
      </c>
      <c r="C43" s="10"/>
      <c r="D43" s="10"/>
      <c r="F43" s="14"/>
      <c r="G43" s="14"/>
      <c r="H43" s="15"/>
      <c r="I43" s="50">
        <f t="shared" si="3"/>
        <v>0</v>
      </c>
      <c r="J43" s="15"/>
      <c r="K43" s="16">
        <f t="shared" si="4"/>
        <v>0</v>
      </c>
    </row>
    <row r="44" spans="1:11" ht="18" customHeight="1">
      <c r="A44" s="5" t="s">
        <v>91</v>
      </c>
      <c r="B44" s="636"/>
      <c r="C44" s="637"/>
      <c r="D44" s="638"/>
      <c r="F44" s="54"/>
      <c r="G44" s="54"/>
      <c r="H44" s="54"/>
      <c r="I44" s="50">
        <f t="shared" si="3"/>
        <v>0</v>
      </c>
      <c r="J44" s="54"/>
      <c r="K44" s="56">
        <f t="shared" si="4"/>
        <v>0</v>
      </c>
    </row>
    <row r="45" spans="1:11" ht="18" customHeight="1">
      <c r="A45" s="5" t="s">
        <v>139</v>
      </c>
      <c r="B45" s="636"/>
      <c r="C45" s="637"/>
      <c r="D45" s="638"/>
      <c r="F45" s="14"/>
      <c r="G45" s="14"/>
      <c r="H45" s="15"/>
      <c r="I45" s="50">
        <f t="shared" si="3"/>
        <v>0</v>
      </c>
      <c r="J45" s="15"/>
      <c r="K45" s="16">
        <f t="shared" si="4"/>
        <v>0</v>
      </c>
    </row>
    <row r="46" spans="1:11" ht="18" customHeight="1">
      <c r="A46" s="5" t="s">
        <v>140</v>
      </c>
      <c r="B46" s="636"/>
      <c r="C46" s="637"/>
      <c r="D46" s="638"/>
      <c r="F46" s="14"/>
      <c r="G46" s="14"/>
      <c r="H46" s="15"/>
      <c r="I46" s="50">
        <f t="shared" si="3"/>
        <v>0</v>
      </c>
      <c r="J46" s="15"/>
      <c r="K46" s="16">
        <f t="shared" si="4"/>
        <v>0</v>
      </c>
    </row>
    <row r="47" spans="1:11" ht="18" customHeight="1">
      <c r="A47" s="5" t="s">
        <v>141</v>
      </c>
      <c r="B47" s="636"/>
      <c r="C47" s="637"/>
      <c r="D47" s="638"/>
      <c r="F47" s="14"/>
      <c r="G47" s="14"/>
      <c r="H47" s="15"/>
      <c r="I47" s="50">
        <f t="shared" si="3"/>
        <v>0</v>
      </c>
      <c r="J47" s="15"/>
      <c r="K47" s="16">
        <f t="shared" si="4"/>
        <v>0</v>
      </c>
    </row>
    <row r="49" spans="1:11" ht="18" customHeight="1">
      <c r="A49" s="6" t="s">
        <v>142</v>
      </c>
      <c r="B49" s="2" t="s">
        <v>143</v>
      </c>
      <c r="E49" s="2" t="s">
        <v>7</v>
      </c>
      <c r="F49" s="23">
        <f t="shared" ref="F49:K49" si="5">SUM(F40:F47)</f>
        <v>1200</v>
      </c>
      <c r="G49" s="23">
        <f t="shared" si="5"/>
        <v>0</v>
      </c>
      <c r="H49" s="16">
        <f t="shared" si="5"/>
        <v>56470</v>
      </c>
      <c r="I49" s="16">
        <f t="shared" si="5"/>
        <v>42866.377</v>
      </c>
      <c r="J49" s="16">
        <f t="shared" si="5"/>
        <v>0</v>
      </c>
      <c r="K49" s="16">
        <f t="shared" si="5"/>
        <v>99336.377000000008</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616</v>
      </c>
      <c r="C53" s="648"/>
      <c r="D53" s="644"/>
      <c r="F53" s="14"/>
      <c r="G53" s="14"/>
      <c r="H53" s="15">
        <v>493362</v>
      </c>
      <c r="I53" s="50">
        <f t="shared" ref="I53:I62" si="6">H53*F$114</f>
        <v>374511.09419999999</v>
      </c>
      <c r="J53" s="15"/>
      <c r="K53" s="16">
        <f t="shared" ref="K53:K62" si="7">(H53+I53)-J53</f>
        <v>867873.09419999993</v>
      </c>
    </row>
    <row r="54" spans="1:11" ht="18" customHeight="1">
      <c r="A54" s="5" t="s">
        <v>93</v>
      </c>
      <c r="B54" s="338"/>
      <c r="C54" s="339"/>
      <c r="D54" s="340"/>
      <c r="F54" s="14"/>
      <c r="G54" s="14"/>
      <c r="H54" s="15"/>
      <c r="I54" s="50">
        <f t="shared" si="6"/>
        <v>0</v>
      </c>
      <c r="J54" s="15"/>
      <c r="K54" s="16">
        <f t="shared" si="7"/>
        <v>0</v>
      </c>
    </row>
    <row r="55" spans="1:11" ht="18" customHeight="1">
      <c r="A55" s="5" t="s">
        <v>94</v>
      </c>
      <c r="B55" s="642"/>
      <c r="C55" s="643"/>
      <c r="D55" s="644"/>
      <c r="F55" s="14"/>
      <c r="G55" s="14"/>
      <c r="H55" s="15"/>
      <c r="I55" s="50">
        <f t="shared" si="6"/>
        <v>0</v>
      </c>
      <c r="J55" s="15"/>
      <c r="K55" s="16">
        <f t="shared" si="7"/>
        <v>0</v>
      </c>
    </row>
    <row r="56" spans="1:11" ht="18" customHeight="1">
      <c r="A56" s="5" t="s">
        <v>95</v>
      </c>
      <c r="B56" s="642"/>
      <c r="C56" s="643"/>
      <c r="D56" s="644"/>
      <c r="F56" s="14"/>
      <c r="G56" s="14"/>
      <c r="H56" s="15"/>
      <c r="I56" s="50">
        <f t="shared" si="6"/>
        <v>0</v>
      </c>
      <c r="J56" s="15"/>
      <c r="K56" s="16">
        <f t="shared" si="7"/>
        <v>0</v>
      </c>
    </row>
    <row r="57" spans="1:11" ht="18" customHeight="1">
      <c r="A57" s="5" t="s">
        <v>96</v>
      </c>
      <c r="B57" s="642"/>
      <c r="C57" s="643"/>
      <c r="D57" s="644"/>
      <c r="F57" s="14"/>
      <c r="G57" s="14"/>
      <c r="H57" s="15"/>
      <c r="I57" s="50">
        <f t="shared" si="6"/>
        <v>0</v>
      </c>
      <c r="J57" s="15"/>
      <c r="K57" s="16">
        <f t="shared" si="7"/>
        <v>0</v>
      </c>
    </row>
    <row r="58" spans="1:11" ht="18" customHeight="1">
      <c r="A58" s="5" t="s">
        <v>97</v>
      </c>
      <c r="B58" s="338"/>
      <c r="C58" s="339"/>
      <c r="D58" s="340"/>
      <c r="F58" s="14"/>
      <c r="G58" s="14"/>
      <c r="H58" s="15"/>
      <c r="I58" s="50">
        <f t="shared" si="6"/>
        <v>0</v>
      </c>
      <c r="J58" s="15"/>
      <c r="K58" s="16">
        <f t="shared" si="7"/>
        <v>0</v>
      </c>
    </row>
    <row r="59" spans="1:11" ht="18" customHeight="1">
      <c r="A59" s="5" t="s">
        <v>98</v>
      </c>
      <c r="B59" s="642"/>
      <c r="C59" s="643"/>
      <c r="D59" s="644"/>
      <c r="F59" s="14"/>
      <c r="G59" s="14"/>
      <c r="H59" s="15"/>
      <c r="I59" s="50">
        <f t="shared" si="6"/>
        <v>0</v>
      </c>
      <c r="J59" s="15"/>
      <c r="K59" s="16">
        <f t="shared" si="7"/>
        <v>0</v>
      </c>
    </row>
    <row r="60" spans="1:11" ht="18" customHeight="1">
      <c r="A60" s="5" t="s">
        <v>99</v>
      </c>
      <c r="B60" s="338"/>
      <c r="C60" s="339"/>
      <c r="D60" s="340"/>
      <c r="F60" s="14"/>
      <c r="G60" s="14"/>
      <c r="H60" s="15"/>
      <c r="I60" s="50">
        <f t="shared" si="6"/>
        <v>0</v>
      </c>
      <c r="J60" s="15"/>
      <c r="K60" s="16">
        <f t="shared" si="7"/>
        <v>0</v>
      </c>
    </row>
    <row r="61" spans="1:11" ht="18" customHeight="1">
      <c r="A61" s="5" t="s">
        <v>100</v>
      </c>
      <c r="B61" s="338"/>
      <c r="C61" s="339"/>
      <c r="D61" s="340"/>
      <c r="F61" s="14"/>
      <c r="G61" s="14"/>
      <c r="H61" s="15"/>
      <c r="I61" s="50">
        <f t="shared" si="6"/>
        <v>0</v>
      </c>
      <c r="J61" s="15"/>
      <c r="K61" s="16">
        <f t="shared" si="7"/>
        <v>0</v>
      </c>
    </row>
    <row r="62" spans="1:11" ht="18" customHeight="1">
      <c r="A62" s="5" t="s">
        <v>101</v>
      </c>
      <c r="B62" s="642"/>
      <c r="C62" s="643"/>
      <c r="D62" s="644"/>
      <c r="F62" s="14"/>
      <c r="G62" s="14"/>
      <c r="H62" s="15"/>
      <c r="I62" s="50">
        <f t="shared" si="6"/>
        <v>0</v>
      </c>
      <c r="J62" s="15"/>
      <c r="K62" s="16">
        <f t="shared" si="7"/>
        <v>0</v>
      </c>
    </row>
    <row r="63" spans="1:11" ht="18" customHeight="1">
      <c r="A63" s="5"/>
      <c r="I63" s="46"/>
    </row>
    <row r="64" spans="1:11" ht="18" customHeight="1">
      <c r="A64" s="5" t="s">
        <v>144</v>
      </c>
      <c r="B64" s="2" t="s">
        <v>145</v>
      </c>
      <c r="E64" s="2" t="s">
        <v>7</v>
      </c>
      <c r="F64" s="18">
        <f t="shared" ref="F64:K64" si="8">SUM(F53:F62)</f>
        <v>0</v>
      </c>
      <c r="G64" s="18">
        <f t="shared" si="8"/>
        <v>0</v>
      </c>
      <c r="H64" s="16">
        <f t="shared" si="8"/>
        <v>493362</v>
      </c>
      <c r="I64" s="16">
        <f t="shared" si="8"/>
        <v>374511.09419999999</v>
      </c>
      <c r="J64" s="16">
        <f t="shared" si="8"/>
        <v>0</v>
      </c>
      <c r="K64" s="16">
        <f t="shared" si="8"/>
        <v>867873.09419999993</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51"/>
      <c r="G68" s="51"/>
      <c r="H68" s="51"/>
      <c r="I68" s="50">
        <v>0</v>
      </c>
      <c r="J68" s="51"/>
      <c r="K68" s="16">
        <f>(H68+I68)-J68</f>
        <v>0</v>
      </c>
    </row>
    <row r="69" spans="1:11" ht="18" customHeight="1">
      <c r="A69" s="5" t="s">
        <v>104</v>
      </c>
      <c r="B69" s="341" t="s">
        <v>53</v>
      </c>
      <c r="F69" s="51"/>
      <c r="G69" s="51"/>
      <c r="H69" s="51"/>
      <c r="I69" s="50">
        <v>0</v>
      </c>
      <c r="J69" s="51"/>
      <c r="K69" s="16">
        <f>(H69+I69)-J69</f>
        <v>0</v>
      </c>
    </row>
    <row r="70" spans="1:11" ht="18" customHeight="1">
      <c r="A70" s="5" t="s">
        <v>178</v>
      </c>
      <c r="B70" s="338"/>
      <c r="C70" s="339"/>
      <c r="D70" s="340"/>
      <c r="E70" s="2"/>
      <c r="F70" s="35"/>
      <c r="G70" s="35"/>
      <c r="H70" s="36"/>
      <c r="I70" s="50">
        <v>0</v>
      </c>
      <c r="J70" s="36"/>
      <c r="K70" s="16">
        <f>(H70+I70)-J70</f>
        <v>0</v>
      </c>
    </row>
    <row r="71" spans="1:11" ht="18" customHeight="1">
      <c r="A71" s="5" t="s">
        <v>179</v>
      </c>
      <c r="B71" s="338"/>
      <c r="C71" s="339"/>
      <c r="D71" s="340"/>
      <c r="E71" s="2"/>
      <c r="F71" s="35"/>
      <c r="G71" s="35"/>
      <c r="H71" s="36"/>
      <c r="I71" s="50">
        <v>0</v>
      </c>
      <c r="J71" s="36"/>
      <c r="K71" s="16">
        <f>(H71+I71)-J71</f>
        <v>0</v>
      </c>
    </row>
    <row r="72" spans="1:11" ht="18" customHeight="1">
      <c r="A72" s="5" t="s">
        <v>180</v>
      </c>
      <c r="B72" s="344"/>
      <c r="C72" s="345"/>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9">SUM(F68:F72)</f>
        <v>0</v>
      </c>
      <c r="G74" s="21">
        <f t="shared" si="9"/>
        <v>0</v>
      </c>
      <c r="H74" s="21">
        <f t="shared" si="9"/>
        <v>0</v>
      </c>
      <c r="I74" s="53">
        <f t="shared" si="9"/>
        <v>0</v>
      </c>
      <c r="J74" s="21">
        <f t="shared" si="9"/>
        <v>0</v>
      </c>
      <c r="K74" s="17">
        <f t="shared" si="9"/>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c r="I77" s="50">
        <v>0</v>
      </c>
      <c r="J77" s="15"/>
      <c r="K77" s="16">
        <f>(H77+I77)-J77</f>
        <v>0</v>
      </c>
    </row>
    <row r="78" spans="1:11" ht="18" customHeight="1">
      <c r="A78" s="5" t="s">
        <v>108</v>
      </c>
      <c r="B78" s="341" t="s">
        <v>55</v>
      </c>
      <c r="F78" s="14"/>
      <c r="G78" s="14"/>
      <c r="H78" s="15"/>
      <c r="I78" s="50">
        <v>0</v>
      </c>
      <c r="J78" s="15"/>
      <c r="K78" s="16">
        <f>(H78+I78)-J78</f>
        <v>0</v>
      </c>
    </row>
    <row r="79" spans="1:11" ht="18" customHeight="1">
      <c r="A79" s="5" t="s">
        <v>109</v>
      </c>
      <c r="B79" s="341" t="s">
        <v>13</v>
      </c>
      <c r="F79" s="14">
        <v>24</v>
      </c>
      <c r="G79" s="14"/>
      <c r="H79" s="15">
        <v>835</v>
      </c>
      <c r="I79" s="50">
        <f t="shared" ref="I79" si="10">H79*F$114</f>
        <v>633.84849999999994</v>
      </c>
      <c r="J79" s="15"/>
      <c r="K79" s="16">
        <f>(H79+I79)-J79</f>
        <v>1468.8485000000001</v>
      </c>
    </row>
    <row r="80" spans="1:11" ht="18" customHeight="1">
      <c r="A80" s="5" t="s">
        <v>110</v>
      </c>
      <c r="B80" s="341" t="s">
        <v>56</v>
      </c>
      <c r="F80" s="14"/>
      <c r="G80" s="14"/>
      <c r="H80" s="15"/>
      <c r="I80" s="50">
        <v>0</v>
      </c>
      <c r="J80" s="15"/>
      <c r="K80" s="16">
        <f>(H80+I80)-J80</f>
        <v>0</v>
      </c>
    </row>
    <row r="81" spans="1:11" ht="18" customHeight="1">
      <c r="A81" s="5"/>
      <c r="K81" s="40"/>
    </row>
    <row r="82" spans="1:11" ht="18" customHeight="1">
      <c r="A82" s="5" t="s">
        <v>148</v>
      </c>
      <c r="B82" s="2" t="s">
        <v>149</v>
      </c>
      <c r="E82" s="2" t="s">
        <v>7</v>
      </c>
      <c r="F82" s="21">
        <f t="shared" ref="F82:K82" si="11">SUM(F77:F80)</f>
        <v>24</v>
      </c>
      <c r="G82" s="21">
        <f t="shared" si="11"/>
        <v>0</v>
      </c>
      <c r="H82" s="17">
        <f t="shared" si="11"/>
        <v>835</v>
      </c>
      <c r="I82" s="17">
        <f t="shared" si="11"/>
        <v>633.84849999999994</v>
      </c>
      <c r="J82" s="17">
        <f t="shared" si="11"/>
        <v>0</v>
      </c>
      <c r="K82" s="17">
        <f t="shared" si="11"/>
        <v>1468.8485000000001</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2">H86*F$114</f>
        <v>0</v>
      </c>
      <c r="J86" s="15"/>
      <c r="K86" s="16">
        <f t="shared" ref="K86:K96" si="13">(H86+I86)-J86</f>
        <v>0</v>
      </c>
    </row>
    <row r="87" spans="1:11" ht="18" customHeight="1">
      <c r="A87" s="5" t="s">
        <v>114</v>
      </c>
      <c r="B87" s="341" t="s">
        <v>14</v>
      </c>
      <c r="F87" s="14"/>
      <c r="G87" s="14"/>
      <c r="H87" s="15"/>
      <c r="I87" s="50">
        <f t="shared" si="12"/>
        <v>0</v>
      </c>
      <c r="J87" s="15"/>
      <c r="K87" s="16">
        <f t="shared" si="13"/>
        <v>0</v>
      </c>
    </row>
    <row r="88" spans="1:11" ht="18" customHeight="1">
      <c r="A88" s="5" t="s">
        <v>115</v>
      </c>
      <c r="B88" s="341" t="s">
        <v>116</v>
      </c>
      <c r="F88" s="14"/>
      <c r="G88" s="14"/>
      <c r="H88" s="15"/>
      <c r="I88" s="50">
        <f t="shared" si="12"/>
        <v>0</v>
      </c>
      <c r="J88" s="15"/>
      <c r="K88" s="16">
        <f t="shared" si="13"/>
        <v>0</v>
      </c>
    </row>
    <row r="89" spans="1:11" ht="18" customHeight="1">
      <c r="A89" s="5" t="s">
        <v>117</v>
      </c>
      <c r="B89" s="341" t="s">
        <v>58</v>
      </c>
      <c r="F89" s="14"/>
      <c r="G89" s="14"/>
      <c r="H89" s="15"/>
      <c r="I89" s="50">
        <f t="shared" si="12"/>
        <v>0</v>
      </c>
      <c r="J89" s="15"/>
      <c r="K89" s="16">
        <f t="shared" si="13"/>
        <v>0</v>
      </c>
    </row>
    <row r="90" spans="1:11" ht="18" customHeight="1">
      <c r="A90" s="5" t="s">
        <v>118</v>
      </c>
      <c r="B90" s="641" t="s">
        <v>59</v>
      </c>
      <c r="C90" s="649"/>
      <c r="F90" s="14"/>
      <c r="G90" s="14"/>
      <c r="H90" s="15"/>
      <c r="I90" s="50">
        <f t="shared" si="12"/>
        <v>0</v>
      </c>
      <c r="J90" s="15"/>
      <c r="K90" s="16">
        <f t="shared" si="13"/>
        <v>0</v>
      </c>
    </row>
    <row r="91" spans="1:11" ht="18" customHeight="1">
      <c r="A91" s="5" t="s">
        <v>119</v>
      </c>
      <c r="B91" s="341" t="s">
        <v>60</v>
      </c>
      <c r="F91" s="14">
        <v>15</v>
      </c>
      <c r="G91" s="14"/>
      <c r="H91" s="15">
        <v>583</v>
      </c>
      <c r="I91" s="50">
        <f t="shared" si="12"/>
        <v>442.55529999999999</v>
      </c>
      <c r="J91" s="15"/>
      <c r="K91" s="16">
        <f t="shared" si="13"/>
        <v>1025.5553</v>
      </c>
    </row>
    <row r="92" spans="1:11" ht="18" customHeight="1">
      <c r="A92" s="5" t="s">
        <v>120</v>
      </c>
      <c r="B92" s="341" t="s">
        <v>121</v>
      </c>
      <c r="F92" s="38"/>
      <c r="G92" s="38"/>
      <c r="H92" s="39"/>
      <c r="I92" s="50">
        <f t="shared" si="12"/>
        <v>0</v>
      </c>
      <c r="J92" s="39"/>
      <c r="K92" s="16">
        <f t="shared" si="13"/>
        <v>0</v>
      </c>
    </row>
    <row r="93" spans="1:11" ht="18" customHeight="1">
      <c r="A93" s="5" t="s">
        <v>122</v>
      </c>
      <c r="B93" s="341" t="s">
        <v>123</v>
      </c>
      <c r="F93" s="14">
        <f>24</f>
        <v>24</v>
      </c>
      <c r="G93" s="14">
        <v>75</v>
      </c>
      <c r="H93" s="15">
        <f>632+45340</f>
        <v>45972</v>
      </c>
      <c r="I93" s="50">
        <f t="shared" si="12"/>
        <v>34897.345200000003</v>
      </c>
      <c r="J93" s="15">
        <v>21804</v>
      </c>
      <c r="K93" s="16">
        <f t="shared" si="13"/>
        <v>59065.345200000011</v>
      </c>
    </row>
    <row r="94" spans="1:11" ht="18" customHeight="1">
      <c r="A94" s="5" t="s">
        <v>124</v>
      </c>
      <c r="B94" s="642"/>
      <c r="C94" s="643"/>
      <c r="D94" s="644"/>
      <c r="F94" s="14"/>
      <c r="G94" s="14"/>
      <c r="H94" s="15"/>
      <c r="I94" s="50">
        <f t="shared" si="12"/>
        <v>0</v>
      </c>
      <c r="J94" s="15"/>
      <c r="K94" s="16">
        <f t="shared" si="13"/>
        <v>0</v>
      </c>
    </row>
    <row r="95" spans="1:11" ht="18" customHeight="1">
      <c r="A95" s="5" t="s">
        <v>125</v>
      </c>
      <c r="B95" s="642"/>
      <c r="C95" s="643"/>
      <c r="D95" s="644"/>
      <c r="F95" s="14"/>
      <c r="G95" s="14"/>
      <c r="H95" s="15"/>
      <c r="I95" s="50">
        <f t="shared" si="12"/>
        <v>0</v>
      </c>
      <c r="J95" s="15"/>
      <c r="K95" s="16">
        <f t="shared" si="13"/>
        <v>0</v>
      </c>
    </row>
    <row r="96" spans="1:11" ht="18" customHeight="1">
      <c r="A96" s="5" t="s">
        <v>126</v>
      </c>
      <c r="B96" s="642"/>
      <c r="C96" s="643"/>
      <c r="D96" s="644"/>
      <c r="F96" s="14"/>
      <c r="G96" s="14"/>
      <c r="H96" s="15"/>
      <c r="I96" s="50">
        <f t="shared" si="12"/>
        <v>0</v>
      </c>
      <c r="J96" s="15"/>
      <c r="K96" s="16">
        <f t="shared" si="13"/>
        <v>0</v>
      </c>
    </row>
    <row r="97" spans="1:11" ht="18" customHeight="1">
      <c r="A97" s="5"/>
      <c r="B97" s="341"/>
    </row>
    <row r="98" spans="1:11" ht="18" customHeight="1">
      <c r="A98" s="6" t="s">
        <v>150</v>
      </c>
      <c r="B98" s="2" t="s">
        <v>151</v>
      </c>
      <c r="E98" s="2" t="s">
        <v>7</v>
      </c>
      <c r="F98" s="18">
        <f t="shared" ref="F98:K98" si="14">SUM(F86:F96)</f>
        <v>39</v>
      </c>
      <c r="G98" s="18">
        <f t="shared" si="14"/>
        <v>75</v>
      </c>
      <c r="H98" s="18">
        <f t="shared" si="14"/>
        <v>46555</v>
      </c>
      <c r="I98" s="18">
        <f t="shared" si="14"/>
        <v>35339.900500000003</v>
      </c>
      <c r="J98" s="18">
        <f t="shared" si="14"/>
        <v>21804</v>
      </c>
      <c r="K98" s="18">
        <f t="shared" si="14"/>
        <v>60090.900500000011</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520</v>
      </c>
      <c r="G102" s="14"/>
      <c r="H102" s="15">
        <v>31321</v>
      </c>
      <c r="I102" s="50">
        <f>H102*F$114</f>
        <v>23775.771099999998</v>
      </c>
      <c r="J102" s="15"/>
      <c r="K102" s="16">
        <f>(H102+I102)-J102</f>
        <v>55096.771099999998</v>
      </c>
    </row>
    <row r="103" spans="1:11" ht="18" customHeight="1">
      <c r="A103" s="5" t="s">
        <v>132</v>
      </c>
      <c r="B103" s="641" t="s">
        <v>62</v>
      </c>
      <c r="C103" s="641"/>
      <c r="F103" s="14"/>
      <c r="G103" s="14"/>
      <c r="H103" s="15"/>
      <c r="I103" s="50">
        <f>H103*F$114</f>
        <v>0</v>
      </c>
      <c r="J103" s="15"/>
      <c r="K103" s="16">
        <f>(H103+I103)-J103</f>
        <v>0</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5">SUM(F102:F106)</f>
        <v>520</v>
      </c>
      <c r="G108" s="18">
        <f t="shared" si="15"/>
        <v>0</v>
      </c>
      <c r="H108" s="16">
        <f t="shared" si="15"/>
        <v>31321</v>
      </c>
      <c r="I108" s="16">
        <f t="shared" si="15"/>
        <v>23775.771099999998</v>
      </c>
      <c r="J108" s="16">
        <f t="shared" si="15"/>
        <v>0</v>
      </c>
      <c r="K108" s="16">
        <f t="shared" si="15"/>
        <v>55096.771099999998</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767401</v>
      </c>
    </row>
    <row r="112" spans="1:11" ht="18" customHeight="1">
      <c r="B112" s="2"/>
      <c r="E112" s="2"/>
      <c r="F112" s="22"/>
    </row>
    <row r="113" spans="1:6" ht="18" customHeight="1">
      <c r="A113" s="6"/>
      <c r="B113" s="2" t="s">
        <v>15</v>
      </c>
    </row>
    <row r="114" spans="1:6" ht="18" customHeight="1">
      <c r="A114" s="5" t="s">
        <v>171</v>
      </c>
      <c r="B114" s="341" t="s">
        <v>35</v>
      </c>
      <c r="F114" s="25">
        <v>0.7591</v>
      </c>
    </row>
    <row r="115" spans="1:6" ht="18" customHeight="1">
      <c r="A115" s="5"/>
      <c r="B115" s="2"/>
    </row>
    <row r="116" spans="1:6" ht="18" customHeight="1">
      <c r="A116" s="5" t="s">
        <v>170</v>
      </c>
      <c r="B116" s="2" t="s">
        <v>16</v>
      </c>
    </row>
    <row r="117" spans="1:6" ht="18" customHeight="1">
      <c r="A117" s="5" t="s">
        <v>172</v>
      </c>
      <c r="B117" s="341" t="s">
        <v>17</v>
      </c>
      <c r="F117" s="15">
        <f>89885413-8279814-767401-404986-1422386-2647131</f>
        <v>76363695</v>
      </c>
    </row>
    <row r="118" spans="1:6" ht="18" customHeight="1">
      <c r="A118" s="5" t="s">
        <v>173</v>
      </c>
      <c r="B118" t="s">
        <v>18</v>
      </c>
      <c r="F118" s="15">
        <v>1695058</v>
      </c>
    </row>
    <row r="119" spans="1:6" ht="18" customHeight="1">
      <c r="A119" s="5" t="s">
        <v>174</v>
      </c>
      <c r="B119" s="2" t="s">
        <v>19</v>
      </c>
      <c r="F119" s="17">
        <f>SUM(F117:F118)</f>
        <v>78058753</v>
      </c>
    </row>
    <row r="120" spans="1:6" ht="18" customHeight="1">
      <c r="A120" s="5"/>
      <c r="B120" s="2"/>
    </row>
    <row r="121" spans="1:6" ht="18" customHeight="1">
      <c r="A121" s="5" t="s">
        <v>167</v>
      </c>
      <c r="B121" s="2" t="s">
        <v>36</v>
      </c>
      <c r="F121" s="15">
        <f>77479942-2647131</f>
        <v>74832811</v>
      </c>
    </row>
    <row r="122" spans="1:6" ht="18" customHeight="1">
      <c r="A122" s="5"/>
    </row>
    <row r="123" spans="1:6" ht="18" customHeight="1">
      <c r="A123" s="5" t="s">
        <v>175</v>
      </c>
      <c r="B123" s="2" t="s">
        <v>20</v>
      </c>
      <c r="F123" s="15">
        <f>F119-F121</f>
        <v>3225942</v>
      </c>
    </row>
    <row r="124" spans="1:6" ht="18" customHeight="1">
      <c r="A124" s="5"/>
    </row>
    <row r="125" spans="1:6" ht="18" customHeight="1">
      <c r="A125" s="5" t="s">
        <v>176</v>
      </c>
      <c r="B125" s="2" t="s">
        <v>21</v>
      </c>
      <c r="F125" s="15">
        <v>3575886</v>
      </c>
    </row>
    <row r="126" spans="1:6" ht="18" customHeight="1">
      <c r="A126" s="5"/>
    </row>
    <row r="127" spans="1:6" ht="18" customHeight="1">
      <c r="A127" s="5" t="s">
        <v>177</v>
      </c>
      <c r="B127" s="2" t="s">
        <v>22</v>
      </c>
      <c r="F127" s="15">
        <f>F123+F125</f>
        <v>6801828</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6">SUM(F131:F135)</f>
        <v>0</v>
      </c>
      <c r="G137" s="18">
        <f t="shared" si="16"/>
        <v>0</v>
      </c>
      <c r="H137" s="16">
        <f t="shared" si="16"/>
        <v>0</v>
      </c>
      <c r="I137" s="16">
        <f t="shared" si="16"/>
        <v>0</v>
      </c>
      <c r="J137" s="16">
        <f t="shared" si="16"/>
        <v>0</v>
      </c>
      <c r="K137" s="16">
        <f t="shared" si="16"/>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7">F36</f>
        <v>2001</v>
      </c>
      <c r="G141" s="41">
        <f t="shared" si="17"/>
        <v>6622</v>
      </c>
      <c r="H141" s="41">
        <f t="shared" si="17"/>
        <v>99187.63</v>
      </c>
      <c r="I141" s="41">
        <f t="shared" si="17"/>
        <v>75293.329933000001</v>
      </c>
      <c r="J141" s="41">
        <f t="shared" si="17"/>
        <v>70360</v>
      </c>
      <c r="K141" s="41">
        <f t="shared" si="17"/>
        <v>104120.95993299998</v>
      </c>
    </row>
    <row r="142" spans="1:11" ht="18" customHeight="1">
      <c r="A142" s="5" t="s">
        <v>142</v>
      </c>
      <c r="B142" s="2" t="s">
        <v>65</v>
      </c>
      <c r="F142" s="41">
        <f t="shared" ref="F142:K142" si="18">F49</f>
        <v>1200</v>
      </c>
      <c r="G142" s="41">
        <f t="shared" si="18"/>
        <v>0</v>
      </c>
      <c r="H142" s="41">
        <f t="shared" si="18"/>
        <v>56470</v>
      </c>
      <c r="I142" s="41">
        <f t="shared" si="18"/>
        <v>42866.377</v>
      </c>
      <c r="J142" s="41">
        <f t="shared" si="18"/>
        <v>0</v>
      </c>
      <c r="K142" s="41">
        <f t="shared" si="18"/>
        <v>99336.377000000008</v>
      </c>
    </row>
    <row r="143" spans="1:11" ht="18" customHeight="1">
      <c r="A143" s="5" t="s">
        <v>144</v>
      </c>
      <c r="B143" s="2" t="s">
        <v>66</v>
      </c>
      <c r="F143" s="41">
        <f t="shared" ref="F143:K143" si="19">F64</f>
        <v>0</v>
      </c>
      <c r="G143" s="41">
        <f t="shared" si="19"/>
        <v>0</v>
      </c>
      <c r="H143" s="41">
        <f t="shared" si="19"/>
        <v>493362</v>
      </c>
      <c r="I143" s="41">
        <f t="shared" si="19"/>
        <v>374511.09419999999</v>
      </c>
      <c r="J143" s="41">
        <f t="shared" si="19"/>
        <v>0</v>
      </c>
      <c r="K143" s="41">
        <f t="shared" si="19"/>
        <v>867873.09419999993</v>
      </c>
    </row>
    <row r="144" spans="1:11" ht="18" customHeight="1">
      <c r="A144" s="5" t="s">
        <v>146</v>
      </c>
      <c r="B144" s="2" t="s">
        <v>67</v>
      </c>
      <c r="F144" s="41">
        <f t="shared" ref="F144:K144" si="20">F74</f>
        <v>0</v>
      </c>
      <c r="G144" s="41">
        <f t="shared" si="20"/>
        <v>0</v>
      </c>
      <c r="H144" s="41">
        <f t="shared" si="20"/>
        <v>0</v>
      </c>
      <c r="I144" s="41">
        <f t="shared" si="20"/>
        <v>0</v>
      </c>
      <c r="J144" s="41">
        <f t="shared" si="20"/>
        <v>0</v>
      </c>
      <c r="K144" s="41">
        <f t="shared" si="20"/>
        <v>0</v>
      </c>
    </row>
    <row r="145" spans="1:11" ht="18" customHeight="1">
      <c r="A145" s="5" t="s">
        <v>148</v>
      </c>
      <c r="B145" s="2" t="s">
        <v>68</v>
      </c>
      <c r="F145" s="41">
        <f t="shared" ref="F145:K145" si="21">F82</f>
        <v>24</v>
      </c>
      <c r="G145" s="41">
        <f t="shared" si="21"/>
        <v>0</v>
      </c>
      <c r="H145" s="41">
        <f t="shared" si="21"/>
        <v>835</v>
      </c>
      <c r="I145" s="41">
        <f t="shared" si="21"/>
        <v>633.84849999999994</v>
      </c>
      <c r="J145" s="41">
        <f t="shared" si="21"/>
        <v>0</v>
      </c>
      <c r="K145" s="41">
        <f t="shared" si="21"/>
        <v>1468.8485000000001</v>
      </c>
    </row>
    <row r="146" spans="1:11" ht="18" customHeight="1">
      <c r="A146" s="5" t="s">
        <v>150</v>
      </c>
      <c r="B146" s="2" t="s">
        <v>69</v>
      </c>
      <c r="F146" s="41">
        <f t="shared" ref="F146:K146" si="22">F98</f>
        <v>39</v>
      </c>
      <c r="G146" s="41">
        <f t="shared" si="22"/>
        <v>75</v>
      </c>
      <c r="H146" s="41">
        <f t="shared" si="22"/>
        <v>46555</v>
      </c>
      <c r="I146" s="41">
        <f t="shared" si="22"/>
        <v>35339.900500000003</v>
      </c>
      <c r="J146" s="41">
        <f t="shared" si="22"/>
        <v>21804</v>
      </c>
      <c r="K146" s="41">
        <f t="shared" si="22"/>
        <v>60090.900500000011</v>
      </c>
    </row>
    <row r="147" spans="1:11" ht="18" customHeight="1">
      <c r="A147" s="5" t="s">
        <v>153</v>
      </c>
      <c r="B147" s="2" t="s">
        <v>61</v>
      </c>
      <c r="F147" s="18">
        <f t="shared" ref="F147:K147" si="23">F108</f>
        <v>520</v>
      </c>
      <c r="G147" s="18">
        <f t="shared" si="23"/>
        <v>0</v>
      </c>
      <c r="H147" s="18">
        <f t="shared" si="23"/>
        <v>31321</v>
      </c>
      <c r="I147" s="18">
        <f t="shared" si="23"/>
        <v>23775.771099999998</v>
      </c>
      <c r="J147" s="18">
        <f t="shared" si="23"/>
        <v>0</v>
      </c>
      <c r="K147" s="18">
        <f t="shared" si="23"/>
        <v>55096.771099999998</v>
      </c>
    </row>
    <row r="148" spans="1:11" ht="18" customHeight="1">
      <c r="A148" s="5" t="s">
        <v>155</v>
      </c>
      <c r="B148" s="2" t="s">
        <v>70</v>
      </c>
      <c r="F148" s="42" t="s">
        <v>73</v>
      </c>
      <c r="G148" s="42" t="s">
        <v>73</v>
      </c>
      <c r="H148" s="43" t="s">
        <v>73</v>
      </c>
      <c r="I148" s="43" t="s">
        <v>73</v>
      </c>
      <c r="J148" s="43" t="s">
        <v>73</v>
      </c>
      <c r="K148" s="37">
        <f>F111</f>
        <v>767401</v>
      </c>
    </row>
    <row r="149" spans="1:11" ht="18" customHeight="1">
      <c r="A149" s="5" t="s">
        <v>163</v>
      </c>
      <c r="B149" s="2" t="s">
        <v>71</v>
      </c>
      <c r="F149" s="18">
        <f t="shared" ref="F149:K149" si="24">F137</f>
        <v>0</v>
      </c>
      <c r="G149" s="18">
        <f t="shared" si="24"/>
        <v>0</v>
      </c>
      <c r="H149" s="18">
        <f t="shared" si="24"/>
        <v>0</v>
      </c>
      <c r="I149" s="18">
        <f t="shared" si="24"/>
        <v>0</v>
      </c>
      <c r="J149" s="18">
        <f t="shared" si="24"/>
        <v>0</v>
      </c>
      <c r="K149" s="18">
        <f t="shared" si="24"/>
        <v>0</v>
      </c>
    </row>
    <row r="150" spans="1:11" ht="18" customHeight="1">
      <c r="A150" s="5" t="s">
        <v>185</v>
      </c>
      <c r="B150" s="2" t="s">
        <v>186</v>
      </c>
      <c r="F150" s="42" t="s">
        <v>73</v>
      </c>
      <c r="G150" s="42" t="s">
        <v>73</v>
      </c>
      <c r="H150" s="18">
        <f>H18</f>
        <v>0</v>
      </c>
      <c r="I150" s="18">
        <f>I18</f>
        <v>0</v>
      </c>
      <c r="J150" s="18">
        <f>J18</f>
        <v>0</v>
      </c>
      <c r="K150" s="18">
        <f>K18</f>
        <v>0</v>
      </c>
    </row>
    <row r="151" spans="1:11" ht="18" customHeight="1">
      <c r="B151" s="2"/>
      <c r="F151" s="48"/>
      <c r="G151" s="48"/>
      <c r="H151" s="48"/>
      <c r="I151" s="48"/>
      <c r="J151" s="48"/>
      <c r="K151" s="48"/>
    </row>
    <row r="152" spans="1:11" ht="18" customHeight="1">
      <c r="A152" s="6" t="s">
        <v>165</v>
      </c>
      <c r="B152" s="2" t="s">
        <v>26</v>
      </c>
      <c r="F152" s="49">
        <f t="shared" ref="F152:K152" si="25">SUM(F141:F150)</f>
        <v>3784</v>
      </c>
      <c r="G152" s="49">
        <f t="shared" si="25"/>
        <v>6697</v>
      </c>
      <c r="H152" s="49">
        <f t="shared" si="25"/>
        <v>727730.63</v>
      </c>
      <c r="I152" s="49">
        <f t="shared" si="25"/>
        <v>552420.32123300002</v>
      </c>
      <c r="J152" s="49">
        <f t="shared" si="25"/>
        <v>92164</v>
      </c>
      <c r="K152" s="49">
        <f t="shared" si="25"/>
        <v>1955387.951233</v>
      </c>
    </row>
    <row r="154" spans="1:11" ht="18" customHeight="1">
      <c r="A154" s="6" t="s">
        <v>168</v>
      </c>
      <c r="B154" s="2" t="s">
        <v>28</v>
      </c>
      <c r="F154" s="348">
        <f>K152/F121</f>
        <v>2.6130088193974166E-2</v>
      </c>
    </row>
    <row r="155" spans="1:11" ht="18" customHeight="1">
      <c r="A155" s="6" t="s">
        <v>169</v>
      </c>
      <c r="B155" s="2" t="s">
        <v>72</v>
      </c>
      <c r="F155" s="348">
        <f>K152/F127</f>
        <v>0.28747977032541838</v>
      </c>
      <c r="G155" s="2"/>
    </row>
    <row r="156" spans="1:11" ht="18" customHeight="1">
      <c r="G156" s="2"/>
    </row>
  </sheetData>
  <sheetProtection password="EF72" sheet="1" objects="1" scenarios="1"/>
  <mergeCells count="34">
    <mergeCell ref="B106:D106"/>
    <mergeCell ref="B133:D133"/>
    <mergeCell ref="B134:D134"/>
    <mergeCell ref="B135:D135"/>
    <mergeCell ref="B94:D94"/>
    <mergeCell ref="B95:D95"/>
    <mergeCell ref="B96:D96"/>
    <mergeCell ref="B103:C103"/>
    <mergeCell ref="B104:D104"/>
    <mergeCell ref="B105:D105"/>
    <mergeCell ref="B90:C90"/>
    <mergeCell ref="B44:D44"/>
    <mergeCell ref="B45:D45"/>
    <mergeCell ref="B46:D46"/>
    <mergeCell ref="B47:D47"/>
    <mergeCell ref="B52:C52"/>
    <mergeCell ref="B53:D53"/>
    <mergeCell ref="B55:D55"/>
    <mergeCell ref="B56:D56"/>
    <mergeCell ref="B57:D57"/>
    <mergeCell ref="B59:D59"/>
    <mergeCell ref="B62:D62"/>
    <mergeCell ref="B41:C41"/>
    <mergeCell ref="D2:H2"/>
    <mergeCell ref="C5:G5"/>
    <mergeCell ref="C6:G6"/>
    <mergeCell ref="C7:G7"/>
    <mergeCell ref="C9:G9"/>
    <mergeCell ref="C10:G10"/>
    <mergeCell ref="C11:G11"/>
    <mergeCell ref="B13:H13"/>
    <mergeCell ref="B30:D30"/>
    <mergeCell ref="B31:D31"/>
    <mergeCell ref="B34:D34"/>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6"/>
  <sheetViews>
    <sheetView showGridLines="0" topLeftCell="A115" zoomScale="70" zoomScaleNormal="70" zoomScaleSheetLayoutView="70" workbookViewId="0">
      <selection activeCell="A36" sqref="A36:XFD36"/>
    </sheetView>
  </sheetViews>
  <sheetFormatPr defaultRowHeight="18" customHeight="1"/>
  <cols>
    <col min="1" max="1" width="8.28515625" style="177" customWidth="1"/>
    <col min="2" max="2" width="55.42578125" style="178" bestFit="1" customWidth="1"/>
    <col min="3" max="3" width="9.5703125" style="178" customWidth="1"/>
    <col min="4" max="4" width="9.140625" style="178"/>
    <col min="5" max="5" width="12.42578125" style="178" customWidth="1"/>
    <col min="6" max="6" width="18.5703125" style="178" customWidth="1"/>
    <col min="7" max="7" width="23.5703125" style="178" customWidth="1"/>
    <col min="8" max="8" width="17.140625" style="178" customWidth="1"/>
    <col min="9" max="9" width="21.140625" style="178" customWidth="1"/>
    <col min="10" max="10" width="19.85546875" style="178" customWidth="1"/>
    <col min="11" max="11" width="17.5703125" style="178" customWidth="1"/>
    <col min="12" max="16384" width="9.140625" style="178"/>
  </cols>
  <sheetData>
    <row r="1" spans="1:11" ht="18" customHeight="1">
      <c r="C1" s="179"/>
      <c r="D1" s="180"/>
      <c r="E1" s="179"/>
      <c r="F1" s="179"/>
      <c r="G1" s="179"/>
      <c r="H1" s="179"/>
      <c r="I1" s="179"/>
      <c r="J1" s="179"/>
      <c r="K1" s="179"/>
    </row>
    <row r="2" spans="1:11" ht="18" customHeight="1">
      <c r="D2" s="680" t="s">
        <v>187</v>
      </c>
      <c r="E2" s="681"/>
      <c r="F2" s="681"/>
      <c r="G2" s="681"/>
      <c r="H2" s="681"/>
    </row>
    <row r="3" spans="1:11" ht="18" customHeight="1">
      <c r="B3" s="181" t="s">
        <v>0</v>
      </c>
    </row>
    <row r="5" spans="1:11" ht="18" customHeight="1">
      <c r="B5" s="182" t="s">
        <v>40</v>
      </c>
      <c r="C5" s="682" t="s">
        <v>362</v>
      </c>
      <c r="D5" s="683"/>
      <c r="E5" s="683"/>
      <c r="F5" s="683"/>
      <c r="G5" s="684"/>
    </row>
    <row r="6" spans="1:11" ht="18" customHeight="1">
      <c r="B6" s="182" t="s">
        <v>3</v>
      </c>
      <c r="C6" s="685">
        <v>3029</v>
      </c>
      <c r="D6" s="724"/>
      <c r="E6" s="724"/>
      <c r="F6" s="724"/>
      <c r="G6" s="725"/>
    </row>
    <row r="7" spans="1:11" ht="18" customHeight="1">
      <c r="B7" s="182" t="s">
        <v>4</v>
      </c>
      <c r="C7" s="726" t="s">
        <v>363</v>
      </c>
      <c r="D7" s="689"/>
      <c r="E7" s="689"/>
      <c r="F7" s="689"/>
      <c r="G7" s="690"/>
    </row>
    <row r="9" spans="1:11" ht="18" customHeight="1">
      <c r="B9" s="182" t="s">
        <v>1</v>
      </c>
      <c r="C9" s="727" t="s">
        <v>188</v>
      </c>
      <c r="D9" s="683"/>
      <c r="E9" s="683"/>
      <c r="F9" s="683"/>
      <c r="G9" s="684"/>
    </row>
    <row r="10" spans="1:11" ht="18" customHeight="1">
      <c r="B10" s="182" t="s">
        <v>2</v>
      </c>
      <c r="C10" s="728" t="s">
        <v>189</v>
      </c>
      <c r="D10" s="678"/>
      <c r="E10" s="678"/>
      <c r="F10" s="678"/>
      <c r="G10" s="679"/>
    </row>
    <row r="11" spans="1:11" ht="18" customHeight="1">
      <c r="B11" s="182" t="s">
        <v>32</v>
      </c>
      <c r="C11" s="728" t="s">
        <v>190</v>
      </c>
      <c r="D11" s="678"/>
      <c r="E11" s="678"/>
      <c r="F11" s="678"/>
      <c r="G11" s="679"/>
    </row>
    <row r="12" spans="1:11" ht="18" customHeight="1">
      <c r="B12" s="182"/>
      <c r="C12" s="182"/>
      <c r="D12" s="182"/>
      <c r="E12" s="182"/>
      <c r="F12" s="182"/>
      <c r="G12" s="182"/>
    </row>
    <row r="13" spans="1:11" ht="24.6" customHeight="1">
      <c r="B13" s="696"/>
      <c r="C13" s="697"/>
      <c r="D13" s="697"/>
      <c r="E13" s="697"/>
      <c r="F13" s="697"/>
      <c r="G13" s="697"/>
      <c r="H13" s="698"/>
      <c r="I13" s="179"/>
    </row>
    <row r="14" spans="1:11" ht="18" customHeight="1">
      <c r="B14" s="183"/>
    </row>
    <row r="15" spans="1:11" ht="18" customHeight="1">
      <c r="B15" s="183"/>
    </row>
    <row r="16" spans="1:11" ht="45" customHeight="1">
      <c r="A16" s="180" t="s">
        <v>181</v>
      </c>
      <c r="B16" s="179"/>
      <c r="C16" s="179"/>
      <c r="D16" s="179"/>
      <c r="E16" s="179"/>
      <c r="F16" s="184" t="s">
        <v>9</v>
      </c>
      <c r="G16" s="184" t="s">
        <v>37</v>
      </c>
      <c r="H16" s="184" t="s">
        <v>29</v>
      </c>
      <c r="I16" s="184" t="s">
        <v>30</v>
      </c>
      <c r="J16" s="184" t="s">
        <v>33</v>
      </c>
      <c r="K16" s="184" t="s">
        <v>34</v>
      </c>
    </row>
    <row r="17" spans="1:11" ht="18" customHeight="1">
      <c r="A17" s="185" t="s">
        <v>184</v>
      </c>
      <c r="B17" s="181" t="s">
        <v>182</v>
      </c>
    </row>
    <row r="18" spans="1:11" ht="18" customHeight="1">
      <c r="A18" s="182" t="s">
        <v>185</v>
      </c>
      <c r="B18" s="186" t="s">
        <v>183</v>
      </c>
      <c r="F18" s="187" t="s">
        <v>73</v>
      </c>
      <c r="G18" s="187" t="s">
        <v>73</v>
      </c>
      <c r="H18" s="188">
        <f>+'[12]CB List'!$AW$161</f>
        <v>0</v>
      </c>
      <c r="I18" s="189">
        <v>0</v>
      </c>
      <c r="J18" s="188"/>
      <c r="K18" s="190">
        <f>(H18+I18)-J18</f>
        <v>0</v>
      </c>
    </row>
    <row r="19" spans="1:11" ht="45" customHeight="1">
      <c r="A19" s="180" t="s">
        <v>8</v>
      </c>
      <c r="B19" s="179"/>
      <c r="C19" s="179"/>
      <c r="D19" s="179"/>
      <c r="E19" s="179"/>
      <c r="F19" s="184" t="s">
        <v>9</v>
      </c>
      <c r="G19" s="184" t="s">
        <v>37</v>
      </c>
      <c r="H19" s="184" t="s">
        <v>29</v>
      </c>
      <c r="I19" s="184" t="s">
        <v>30</v>
      </c>
      <c r="J19" s="184" t="s">
        <v>33</v>
      </c>
      <c r="K19" s="184" t="s">
        <v>34</v>
      </c>
    </row>
    <row r="20" spans="1:11" ht="18" customHeight="1">
      <c r="A20" s="185" t="s">
        <v>74</v>
      </c>
      <c r="B20" s="181" t="s">
        <v>41</v>
      </c>
    </row>
    <row r="21" spans="1:11" ht="18" customHeight="1">
      <c r="A21" s="182" t="s">
        <v>75</v>
      </c>
      <c r="B21" s="186" t="s">
        <v>42</v>
      </c>
      <c r="F21" s="187"/>
      <c r="G21" s="187"/>
      <c r="H21" s="188">
        <f>+'[12]CB List'!$AW$162</f>
        <v>63832.021272847676</v>
      </c>
      <c r="I21" s="189">
        <f t="shared" ref="I21:I34" si="0">H21*F$114</f>
        <v>72438.650868786382</v>
      </c>
      <c r="J21" s="188">
        <f>-'[12]CB List'!$AY$162</f>
        <v>4627.9649712499995</v>
      </c>
      <c r="K21" s="190">
        <f t="shared" ref="K21:K34" si="1">(H21+I21)-J21</f>
        <v>131642.70717038403</v>
      </c>
    </row>
    <row r="22" spans="1:11" ht="18" customHeight="1">
      <c r="A22" s="182" t="s">
        <v>76</v>
      </c>
      <c r="B22" s="178" t="s">
        <v>6</v>
      </c>
      <c r="F22" s="187"/>
      <c r="G22" s="187"/>
      <c r="H22" s="188">
        <f>+'[12]CB List'!$AW$163</f>
        <v>3233.6089787500005</v>
      </c>
      <c r="I22" s="189">
        <f t="shared" si="0"/>
        <v>3669.6044898312257</v>
      </c>
      <c r="J22" s="188">
        <f>-'[12]CB List'!$AY$163</f>
        <v>455.86056375000004</v>
      </c>
      <c r="K22" s="190">
        <f t="shared" si="1"/>
        <v>6447.3529048312257</v>
      </c>
    </row>
    <row r="23" spans="1:11" ht="18" customHeight="1">
      <c r="A23" s="182" t="s">
        <v>77</v>
      </c>
      <c r="B23" s="178" t="s">
        <v>43</v>
      </c>
      <c r="F23" s="187"/>
      <c r="G23" s="187"/>
      <c r="H23" s="188">
        <f>+'[12]CB List'!$AW$164</f>
        <v>0</v>
      </c>
      <c r="I23" s="189">
        <f t="shared" si="0"/>
        <v>0</v>
      </c>
      <c r="J23" s="188">
        <f>-'[12]CB List'!$AY$164</f>
        <v>0</v>
      </c>
      <c r="K23" s="190">
        <f t="shared" si="1"/>
        <v>0</v>
      </c>
    </row>
    <row r="24" spans="1:11" ht="18" customHeight="1">
      <c r="A24" s="182" t="s">
        <v>78</v>
      </c>
      <c r="B24" s="178" t="s">
        <v>44</v>
      </c>
      <c r="F24" s="187"/>
      <c r="G24" s="187"/>
      <c r="H24" s="188">
        <f>+'[12]CB List'!$AW$165</f>
        <v>5795.189741354412</v>
      </c>
      <c r="I24" s="189">
        <f t="shared" si="0"/>
        <v>6576.569533932553</v>
      </c>
      <c r="J24" s="188">
        <f>-'[12]CB List'!$AY$165</f>
        <v>0</v>
      </c>
      <c r="K24" s="190">
        <f t="shared" si="1"/>
        <v>12371.759275286964</v>
      </c>
    </row>
    <row r="25" spans="1:11" ht="18" customHeight="1">
      <c r="A25" s="182" t="s">
        <v>79</v>
      </c>
      <c r="B25" s="178" t="s">
        <v>5</v>
      </c>
      <c r="F25" s="187"/>
      <c r="G25" s="187"/>
      <c r="H25" s="188">
        <f>+'[12]CB List'!$AW$166</f>
        <v>15316.38352625</v>
      </c>
      <c r="I25" s="189">
        <f t="shared" si="0"/>
        <v>17381.529469166344</v>
      </c>
      <c r="J25" s="188">
        <f>-'[12]CB List'!$AY$166</f>
        <v>1637.0936274999999</v>
      </c>
      <c r="K25" s="190">
        <f t="shared" si="1"/>
        <v>31060.819367916345</v>
      </c>
    </row>
    <row r="26" spans="1:11" ht="18" customHeight="1">
      <c r="A26" s="182" t="s">
        <v>80</v>
      </c>
      <c r="B26" s="178" t="s">
        <v>45</v>
      </c>
      <c r="F26" s="187"/>
      <c r="G26" s="187"/>
      <c r="H26" s="188">
        <f>+'[12]CB List'!$AW$167</f>
        <v>0</v>
      </c>
      <c r="I26" s="189">
        <f t="shared" si="0"/>
        <v>0</v>
      </c>
      <c r="J26" s="188">
        <f>-'[12]CB List'!$AY$167</f>
        <v>0</v>
      </c>
      <c r="K26" s="190">
        <f t="shared" si="1"/>
        <v>0</v>
      </c>
    </row>
    <row r="27" spans="1:11" ht="18" customHeight="1">
      <c r="A27" s="182" t="s">
        <v>81</v>
      </c>
      <c r="B27" s="178" t="s">
        <v>46</v>
      </c>
      <c r="F27" s="187"/>
      <c r="G27" s="187"/>
      <c r="H27" s="188">
        <f>+'[12]CB List'!$AW$168</f>
        <v>0</v>
      </c>
      <c r="I27" s="189">
        <f t="shared" si="0"/>
        <v>0</v>
      </c>
      <c r="J27" s="188">
        <f>-'[12]CB List'!$AY$168</f>
        <v>0</v>
      </c>
      <c r="K27" s="190">
        <f t="shared" si="1"/>
        <v>0</v>
      </c>
    </row>
    <row r="28" spans="1:11" ht="18" customHeight="1">
      <c r="A28" s="182" t="s">
        <v>82</v>
      </c>
      <c r="B28" s="178" t="s">
        <v>47</v>
      </c>
      <c r="F28" s="187"/>
      <c r="G28" s="187"/>
      <c r="H28" s="188">
        <f>+'[12]CB List'!$AW$169</f>
        <v>0</v>
      </c>
      <c r="I28" s="189">
        <f t="shared" si="0"/>
        <v>0</v>
      </c>
      <c r="J28" s="188">
        <f>-'[12]CB List'!$AY$169</f>
        <v>0</v>
      </c>
      <c r="K28" s="190">
        <f t="shared" si="1"/>
        <v>0</v>
      </c>
    </row>
    <row r="29" spans="1:11" ht="18" customHeight="1">
      <c r="A29" s="182" t="s">
        <v>83</v>
      </c>
      <c r="B29" s="178" t="s">
        <v>48</v>
      </c>
      <c r="F29" s="187"/>
      <c r="G29" s="187"/>
      <c r="H29" s="188">
        <f>+'[12]CB List'!$AW$170</f>
        <v>33803.226916474312</v>
      </c>
      <c r="I29" s="189">
        <f t="shared" si="0"/>
        <v>38360.99976176746</v>
      </c>
      <c r="J29" s="188">
        <f>-'[12]CB List'!$AY$170</f>
        <v>6189.2121187499997</v>
      </c>
      <c r="K29" s="190">
        <f t="shared" si="1"/>
        <v>65975.01455949177</v>
      </c>
    </row>
    <row r="30" spans="1:11" ht="18" customHeight="1">
      <c r="A30" s="182" t="s">
        <v>84</v>
      </c>
      <c r="B30" s="699" t="s">
        <v>199</v>
      </c>
      <c r="C30" s="700"/>
      <c r="D30" s="701"/>
      <c r="F30" s="187"/>
      <c r="G30" s="187"/>
      <c r="H30" s="188">
        <f>+'[12]CB List'!$AW$171</f>
        <v>2952.6769063373799</v>
      </c>
      <c r="I30" s="189">
        <f t="shared" si="0"/>
        <v>3350.7936499808684</v>
      </c>
      <c r="J30" s="188">
        <f>-'[12]CB List'!$AY$171</f>
        <v>402.53860750000001</v>
      </c>
      <c r="K30" s="190">
        <f t="shared" si="1"/>
        <v>5900.9319488182491</v>
      </c>
    </row>
    <row r="31" spans="1:11" ht="18" customHeight="1">
      <c r="A31" s="182" t="s">
        <v>133</v>
      </c>
      <c r="B31" s="699"/>
      <c r="C31" s="700"/>
      <c r="D31" s="701"/>
      <c r="F31" s="187"/>
      <c r="G31" s="187"/>
      <c r="H31" s="188">
        <f>+'[12]CB List'!$AW$172</f>
        <v>0</v>
      </c>
      <c r="I31" s="189">
        <f t="shared" si="0"/>
        <v>0</v>
      </c>
      <c r="J31" s="188">
        <f>-'[12]CB List'!$AY$172</f>
        <v>0</v>
      </c>
      <c r="K31" s="190">
        <f t="shared" si="1"/>
        <v>0</v>
      </c>
    </row>
    <row r="32" spans="1:11" ht="18" customHeight="1">
      <c r="A32" s="182" t="s">
        <v>134</v>
      </c>
      <c r="B32" s="192"/>
      <c r="C32" s="193"/>
      <c r="D32" s="194"/>
      <c r="F32" s="187"/>
      <c r="G32" s="191"/>
      <c r="H32" s="188"/>
      <c r="I32" s="189">
        <f t="shared" si="0"/>
        <v>0</v>
      </c>
      <c r="J32" s="188"/>
      <c r="K32" s="190">
        <f t="shared" si="1"/>
        <v>0</v>
      </c>
    </row>
    <row r="33" spans="1:11" ht="18" customHeight="1">
      <c r="A33" s="182" t="s">
        <v>135</v>
      </c>
      <c r="B33" s="192"/>
      <c r="C33" s="193"/>
      <c r="D33" s="194"/>
      <c r="F33" s="187"/>
      <c r="G33" s="191"/>
      <c r="H33" s="188"/>
      <c r="I33" s="189">
        <f t="shared" si="0"/>
        <v>0</v>
      </c>
      <c r="J33" s="188"/>
      <c r="K33" s="190">
        <f t="shared" si="1"/>
        <v>0</v>
      </c>
    </row>
    <row r="34" spans="1:11" ht="18" customHeight="1">
      <c r="A34" s="182" t="s">
        <v>136</v>
      </c>
      <c r="B34" s="699"/>
      <c r="C34" s="700"/>
      <c r="D34" s="701"/>
      <c r="F34" s="187"/>
      <c r="G34" s="191" t="s">
        <v>85</v>
      </c>
      <c r="H34" s="188"/>
      <c r="I34" s="189">
        <f t="shared" si="0"/>
        <v>0</v>
      </c>
      <c r="J34" s="188"/>
      <c r="K34" s="190">
        <f t="shared" si="1"/>
        <v>0</v>
      </c>
    </row>
    <row r="35" spans="1:11" ht="18" customHeight="1">
      <c r="K35" s="195"/>
    </row>
    <row r="36" spans="1:11" ht="18" customHeight="1">
      <c r="A36" s="185" t="s">
        <v>137</v>
      </c>
      <c r="B36" s="181" t="s">
        <v>138</v>
      </c>
      <c r="E36" s="181" t="s">
        <v>7</v>
      </c>
      <c r="F36" s="196">
        <f t="shared" ref="F36:K36" si="2">SUM(F21:F34)</f>
        <v>0</v>
      </c>
      <c r="G36" s="196">
        <f t="shared" si="2"/>
        <v>0</v>
      </c>
      <c r="H36" s="196">
        <f t="shared" si="2"/>
        <v>124933.10734201377</v>
      </c>
      <c r="I36" s="190">
        <f t="shared" si="2"/>
        <v>141778.14777346482</v>
      </c>
      <c r="J36" s="190">
        <f t="shared" si="2"/>
        <v>13312.669888750001</v>
      </c>
      <c r="K36" s="190">
        <f t="shared" si="2"/>
        <v>253398.58522672858</v>
      </c>
    </row>
    <row r="37" spans="1:11" ht="18" customHeight="1" thickBot="1">
      <c r="B37" s="181"/>
      <c r="F37" s="197"/>
      <c r="G37" s="197"/>
      <c r="H37" s="198"/>
      <c r="I37" s="198"/>
      <c r="J37" s="198"/>
      <c r="K37" s="199"/>
    </row>
    <row r="38" spans="1:11" ht="42.75" customHeight="1">
      <c r="F38" s="184" t="s">
        <v>9</v>
      </c>
      <c r="G38" s="184" t="s">
        <v>37</v>
      </c>
      <c r="H38" s="184" t="s">
        <v>29</v>
      </c>
      <c r="I38" s="184" t="s">
        <v>30</v>
      </c>
      <c r="J38" s="184" t="s">
        <v>33</v>
      </c>
      <c r="K38" s="184" t="s">
        <v>34</v>
      </c>
    </row>
    <row r="39" spans="1:11" ht="18.75" customHeight="1">
      <c r="A39" s="185" t="s">
        <v>86</v>
      </c>
      <c r="B39" s="181" t="s">
        <v>49</v>
      </c>
    </row>
    <row r="40" spans="1:11" ht="18" customHeight="1">
      <c r="A40" s="182" t="s">
        <v>87</v>
      </c>
      <c r="B40" s="178" t="s">
        <v>31</v>
      </c>
      <c r="F40" s="187"/>
      <c r="G40" s="187"/>
      <c r="H40" s="188">
        <f>+'[12]CB List'!$AW$173</f>
        <v>0</v>
      </c>
      <c r="I40" s="189">
        <v>0</v>
      </c>
      <c r="J40" s="188">
        <f>-'[12]CB List'!$AY$173</f>
        <v>0</v>
      </c>
      <c r="K40" s="190">
        <f t="shared" ref="K40:K47" si="3">(H40+I40)-J40</f>
        <v>0</v>
      </c>
    </row>
    <row r="41" spans="1:11" ht="18" customHeight="1">
      <c r="A41" s="182" t="s">
        <v>88</v>
      </c>
      <c r="B41" s="702" t="s">
        <v>50</v>
      </c>
      <c r="C41" s="703"/>
      <c r="F41" s="187"/>
      <c r="G41" s="187"/>
      <c r="H41" s="188">
        <f>+'[12]CB List'!$AW$174</f>
        <v>0</v>
      </c>
      <c r="I41" s="189">
        <v>0</v>
      </c>
      <c r="J41" s="188">
        <f>-'[12]CB List'!$AY$174</f>
        <v>0</v>
      </c>
      <c r="K41" s="190">
        <f t="shared" si="3"/>
        <v>0</v>
      </c>
    </row>
    <row r="42" spans="1:11" ht="18" customHeight="1">
      <c r="A42" s="182" t="s">
        <v>89</v>
      </c>
      <c r="B42" s="186" t="s">
        <v>11</v>
      </c>
      <c r="F42" s="187"/>
      <c r="G42" s="187"/>
      <c r="H42" s="188">
        <f>+'[12]CB List'!$AW$175</f>
        <v>13035.371080767216</v>
      </c>
      <c r="I42" s="189">
        <v>0</v>
      </c>
      <c r="J42" s="188">
        <f>-'[12]CB List'!$AY$175</f>
        <v>2080.17070625</v>
      </c>
      <c r="K42" s="190">
        <f t="shared" si="3"/>
        <v>10955.200374517215</v>
      </c>
    </row>
    <row r="43" spans="1:11" ht="18" customHeight="1">
      <c r="A43" s="182" t="s">
        <v>90</v>
      </c>
      <c r="B43" s="200" t="s">
        <v>10</v>
      </c>
      <c r="C43" s="201"/>
      <c r="D43" s="201"/>
      <c r="F43" s="187"/>
      <c r="G43" s="187"/>
      <c r="H43" s="188">
        <f>+'[12]CB List'!$AW$176</f>
        <v>0</v>
      </c>
      <c r="I43" s="189">
        <v>0</v>
      </c>
      <c r="J43" s="188">
        <f>-'[12]CB List'!$AY$176</f>
        <v>0</v>
      </c>
      <c r="K43" s="190">
        <f t="shared" si="3"/>
        <v>0</v>
      </c>
    </row>
    <row r="44" spans="1:11" ht="18" customHeight="1">
      <c r="A44" s="182" t="s">
        <v>91</v>
      </c>
      <c r="B44" s="699"/>
      <c r="C44" s="700"/>
      <c r="D44" s="701"/>
      <c r="F44" s="202"/>
      <c r="G44" s="202"/>
      <c r="H44" s="202">
        <f>+'[12]CB List'!$AW$177</f>
        <v>0</v>
      </c>
      <c r="I44" s="203">
        <v>0</v>
      </c>
      <c r="J44" s="202">
        <f>-'[12]CB List'!$AY$177</f>
        <v>0</v>
      </c>
      <c r="K44" s="204">
        <f t="shared" si="3"/>
        <v>0</v>
      </c>
    </row>
    <row r="45" spans="1:11" ht="18" customHeight="1">
      <c r="A45" s="182" t="s">
        <v>139</v>
      </c>
      <c r="B45" s="699"/>
      <c r="C45" s="700"/>
      <c r="D45" s="701"/>
      <c r="F45" s="187"/>
      <c r="G45" s="187"/>
      <c r="H45" s="188">
        <f>+'[12]CB List'!$AW$178</f>
        <v>0</v>
      </c>
      <c r="I45" s="189">
        <v>0</v>
      </c>
      <c r="J45" s="188">
        <f>-'[12]CB List'!$AY$178</f>
        <v>0</v>
      </c>
      <c r="K45" s="190">
        <f t="shared" si="3"/>
        <v>0</v>
      </c>
    </row>
    <row r="46" spans="1:11" ht="18" customHeight="1">
      <c r="A46" s="182" t="s">
        <v>140</v>
      </c>
      <c r="B46" s="699"/>
      <c r="C46" s="700"/>
      <c r="D46" s="701"/>
      <c r="F46" s="187"/>
      <c r="G46" s="187"/>
      <c r="H46" s="188"/>
      <c r="I46" s="189">
        <v>0</v>
      </c>
      <c r="J46" s="188"/>
      <c r="K46" s="190">
        <f t="shared" si="3"/>
        <v>0</v>
      </c>
    </row>
    <row r="47" spans="1:11" ht="18" customHeight="1">
      <c r="A47" s="182" t="s">
        <v>141</v>
      </c>
      <c r="B47" s="699"/>
      <c r="C47" s="700"/>
      <c r="D47" s="701"/>
      <c r="F47" s="187"/>
      <c r="G47" s="187"/>
      <c r="H47" s="188"/>
      <c r="I47" s="189">
        <v>0</v>
      </c>
      <c r="J47" s="188"/>
      <c r="K47" s="190">
        <f t="shared" si="3"/>
        <v>0</v>
      </c>
    </row>
    <row r="49" spans="1:11" ht="18" customHeight="1">
      <c r="A49" s="185" t="s">
        <v>142</v>
      </c>
      <c r="B49" s="181" t="s">
        <v>143</v>
      </c>
      <c r="E49" s="181" t="s">
        <v>7</v>
      </c>
      <c r="F49" s="205">
        <f t="shared" ref="F49:K49" si="4">SUM(F40:F47)</f>
        <v>0</v>
      </c>
      <c r="G49" s="205">
        <f t="shared" si="4"/>
        <v>0</v>
      </c>
      <c r="H49" s="190">
        <f t="shared" si="4"/>
        <v>13035.371080767216</v>
      </c>
      <c r="I49" s="190">
        <f t="shared" si="4"/>
        <v>0</v>
      </c>
      <c r="J49" s="190">
        <f t="shared" si="4"/>
        <v>2080.17070625</v>
      </c>
      <c r="K49" s="190">
        <f t="shared" si="4"/>
        <v>10955.200374517215</v>
      </c>
    </row>
    <row r="50" spans="1:11" ht="18" customHeight="1" thickBot="1">
      <c r="G50" s="206"/>
      <c r="H50" s="206"/>
      <c r="I50" s="206"/>
      <c r="J50" s="206"/>
      <c r="K50" s="206"/>
    </row>
    <row r="51" spans="1:11" ht="42.75" customHeight="1">
      <c r="F51" s="184" t="s">
        <v>9</v>
      </c>
      <c r="G51" s="184" t="s">
        <v>37</v>
      </c>
      <c r="H51" s="184" t="s">
        <v>29</v>
      </c>
      <c r="I51" s="184" t="s">
        <v>30</v>
      </c>
      <c r="J51" s="184" t="s">
        <v>33</v>
      </c>
      <c r="K51" s="184" t="s">
        <v>34</v>
      </c>
    </row>
    <row r="52" spans="1:11" ht="18" customHeight="1">
      <c r="A52" s="185" t="s">
        <v>92</v>
      </c>
      <c r="B52" s="704" t="s">
        <v>38</v>
      </c>
      <c r="C52" s="705"/>
    </row>
    <row r="53" spans="1:11" ht="18" customHeight="1">
      <c r="A53" s="182" t="s">
        <v>51</v>
      </c>
      <c r="B53" s="706" t="s">
        <v>192</v>
      </c>
      <c r="C53" s="707"/>
      <c r="D53" s="693"/>
      <c r="F53" s="187"/>
      <c r="G53" s="187"/>
      <c r="H53" s="188">
        <f>+'[12]CB List'!$AW$179</f>
        <v>0</v>
      </c>
      <c r="I53" s="189">
        <v>0</v>
      </c>
      <c r="J53" s="188"/>
      <c r="K53" s="190">
        <f t="shared" ref="K53:K62" si="5">(H53+I53)-J53</f>
        <v>0</v>
      </c>
    </row>
    <row r="54" spans="1:11" ht="18" customHeight="1">
      <c r="A54" s="182" t="s">
        <v>93</v>
      </c>
      <c r="B54" s="207" t="s">
        <v>193</v>
      </c>
      <c r="C54" s="208"/>
      <c r="D54" s="209"/>
      <c r="F54" s="187"/>
      <c r="G54" s="187"/>
      <c r="H54" s="188">
        <f>+'[12]CB List'!$AW$180</f>
        <v>79392.869475916392</v>
      </c>
      <c r="I54" s="189">
        <v>0</v>
      </c>
      <c r="J54" s="188"/>
      <c r="K54" s="190">
        <f t="shared" si="5"/>
        <v>79392.869475916392</v>
      </c>
    </row>
    <row r="55" spans="1:11" ht="18" customHeight="1">
      <c r="A55" s="182" t="s">
        <v>94</v>
      </c>
      <c r="B55" s="706" t="s">
        <v>194</v>
      </c>
      <c r="C55" s="707"/>
      <c r="D55" s="693"/>
      <c r="F55" s="187"/>
      <c r="G55" s="191"/>
      <c r="H55" s="188">
        <f>+'[12]CB List'!$AW$181</f>
        <v>0</v>
      </c>
      <c r="I55" s="189">
        <v>0</v>
      </c>
      <c r="J55" s="188"/>
      <c r="K55" s="190">
        <f t="shared" si="5"/>
        <v>0</v>
      </c>
    </row>
    <row r="56" spans="1:11" ht="18" customHeight="1">
      <c r="A56" s="182" t="s">
        <v>95</v>
      </c>
      <c r="B56" s="706" t="s">
        <v>195</v>
      </c>
      <c r="C56" s="707"/>
      <c r="D56" s="693"/>
      <c r="F56" s="187"/>
      <c r="G56" s="187"/>
      <c r="H56" s="188">
        <f>+'[12]CB List'!$AW$182</f>
        <v>0</v>
      </c>
      <c r="I56" s="189">
        <v>0</v>
      </c>
      <c r="J56" s="188"/>
      <c r="K56" s="190">
        <f t="shared" si="5"/>
        <v>0</v>
      </c>
    </row>
    <row r="57" spans="1:11" ht="18" customHeight="1">
      <c r="A57" s="182" t="s">
        <v>96</v>
      </c>
      <c r="B57" s="706" t="s">
        <v>196</v>
      </c>
      <c r="C57" s="707"/>
      <c r="D57" s="693"/>
      <c r="F57" s="187"/>
      <c r="G57" s="187"/>
      <c r="H57" s="188">
        <f>+'[12]CB List'!$AW$183</f>
        <v>598269.32999999996</v>
      </c>
      <c r="I57" s="189">
        <v>0</v>
      </c>
      <c r="J57" s="188"/>
      <c r="K57" s="190">
        <f t="shared" si="5"/>
        <v>598269.32999999996</v>
      </c>
    </row>
    <row r="58" spans="1:11" ht="18" customHeight="1">
      <c r="A58" s="182" t="s">
        <v>97</v>
      </c>
      <c r="B58" s="207"/>
      <c r="C58" s="208"/>
      <c r="D58" s="209"/>
      <c r="F58" s="187"/>
      <c r="G58" s="187"/>
      <c r="H58" s="188">
        <f>+'[12]CB List'!$AW$184</f>
        <v>0</v>
      </c>
      <c r="I58" s="189">
        <v>0</v>
      </c>
      <c r="J58" s="188"/>
      <c r="K58" s="190">
        <f t="shared" si="5"/>
        <v>0</v>
      </c>
    </row>
    <row r="59" spans="1:11" ht="18" customHeight="1">
      <c r="A59" s="182" t="s">
        <v>98</v>
      </c>
      <c r="B59" s="706"/>
      <c r="C59" s="707"/>
      <c r="D59" s="693"/>
      <c r="F59" s="187"/>
      <c r="G59" s="187"/>
      <c r="H59" s="188"/>
      <c r="I59" s="189">
        <v>0</v>
      </c>
      <c r="J59" s="188"/>
      <c r="K59" s="190">
        <f t="shared" si="5"/>
        <v>0</v>
      </c>
    </row>
    <row r="60" spans="1:11" ht="18" customHeight="1">
      <c r="A60" s="182" t="s">
        <v>99</v>
      </c>
      <c r="B60" s="207"/>
      <c r="C60" s="208"/>
      <c r="D60" s="209"/>
      <c r="F60" s="187"/>
      <c r="G60" s="187"/>
      <c r="H60" s="188"/>
      <c r="I60" s="189">
        <v>0</v>
      </c>
      <c r="J60" s="188"/>
      <c r="K60" s="190">
        <f t="shared" si="5"/>
        <v>0</v>
      </c>
    </row>
    <row r="61" spans="1:11" ht="18" customHeight="1">
      <c r="A61" s="182" t="s">
        <v>100</v>
      </c>
      <c r="B61" s="207"/>
      <c r="C61" s="208"/>
      <c r="D61" s="209"/>
      <c r="F61" s="187"/>
      <c r="G61" s="187"/>
      <c r="H61" s="188"/>
      <c r="I61" s="189">
        <v>0</v>
      </c>
      <c r="J61" s="188"/>
      <c r="K61" s="190">
        <f t="shared" si="5"/>
        <v>0</v>
      </c>
    </row>
    <row r="62" spans="1:11" ht="18" customHeight="1">
      <c r="A62" s="182" t="s">
        <v>101</v>
      </c>
      <c r="B62" s="706"/>
      <c r="C62" s="707"/>
      <c r="D62" s="693"/>
      <c r="F62" s="187"/>
      <c r="G62" s="187"/>
      <c r="H62" s="188"/>
      <c r="I62" s="189">
        <v>0</v>
      </c>
      <c r="J62" s="188"/>
      <c r="K62" s="190">
        <f t="shared" si="5"/>
        <v>0</v>
      </c>
    </row>
    <row r="63" spans="1:11" ht="18" customHeight="1">
      <c r="A63" s="182"/>
      <c r="I63" s="212"/>
    </row>
    <row r="64" spans="1:11" ht="18" customHeight="1">
      <c r="A64" s="182" t="s">
        <v>144</v>
      </c>
      <c r="B64" s="181" t="s">
        <v>145</v>
      </c>
      <c r="E64" s="181" t="s">
        <v>7</v>
      </c>
      <c r="F64" s="196">
        <f t="shared" ref="F64:K64" si="6">SUM(F53:F62)</f>
        <v>0</v>
      </c>
      <c r="G64" s="196">
        <f t="shared" si="6"/>
        <v>0</v>
      </c>
      <c r="H64" s="190">
        <f t="shared" si="6"/>
        <v>677662.19947591634</v>
      </c>
      <c r="I64" s="190">
        <f t="shared" si="6"/>
        <v>0</v>
      </c>
      <c r="J64" s="190">
        <f t="shared" si="6"/>
        <v>0</v>
      </c>
      <c r="K64" s="190">
        <f t="shared" si="6"/>
        <v>677662.19947591634</v>
      </c>
    </row>
    <row r="65" spans="1:11" ht="18" customHeight="1">
      <c r="F65" s="213"/>
      <c r="G65" s="213"/>
      <c r="H65" s="213"/>
      <c r="I65" s="213"/>
      <c r="J65" s="213"/>
      <c r="K65" s="213"/>
    </row>
    <row r="66" spans="1:11" ht="42.75" customHeight="1">
      <c r="F66" s="214" t="s">
        <v>9</v>
      </c>
      <c r="G66" s="214" t="s">
        <v>37</v>
      </c>
      <c r="H66" s="214" t="s">
        <v>29</v>
      </c>
      <c r="I66" s="214" t="s">
        <v>30</v>
      </c>
      <c r="J66" s="214" t="s">
        <v>33</v>
      </c>
      <c r="K66" s="214" t="s">
        <v>34</v>
      </c>
    </row>
    <row r="67" spans="1:11" ht="18" customHeight="1">
      <c r="A67" s="185" t="s">
        <v>102</v>
      </c>
      <c r="B67" s="181" t="s">
        <v>12</v>
      </c>
      <c r="F67" s="215"/>
      <c r="G67" s="215"/>
      <c r="H67" s="215"/>
      <c r="I67" s="216"/>
      <c r="J67" s="215"/>
      <c r="K67" s="217"/>
    </row>
    <row r="68" spans="1:11" ht="18" customHeight="1">
      <c r="A68" s="182" t="s">
        <v>103</v>
      </c>
      <c r="B68" s="178" t="s">
        <v>52</v>
      </c>
      <c r="F68" s="218"/>
      <c r="G68" s="218"/>
      <c r="H68" s="218">
        <f>+'[12]CB List'!$AW$185</f>
        <v>48.471451711205418</v>
      </c>
      <c r="I68" s="189">
        <v>0</v>
      </c>
      <c r="J68" s="219"/>
      <c r="K68" s="190">
        <f>(H68+I68)-J68</f>
        <v>48.471451711205418</v>
      </c>
    </row>
    <row r="69" spans="1:11" ht="18" customHeight="1">
      <c r="A69" s="182" t="s">
        <v>104</v>
      </c>
      <c r="B69" s="186" t="s">
        <v>53</v>
      </c>
      <c r="F69" s="218"/>
      <c r="G69" s="218"/>
      <c r="H69" s="218">
        <f>+'[12]CB List'!$AW$186</f>
        <v>0</v>
      </c>
      <c r="I69" s="189">
        <v>0</v>
      </c>
      <c r="J69" s="219"/>
      <c r="K69" s="190">
        <f>(H69+I69)-J69</f>
        <v>0</v>
      </c>
    </row>
    <row r="70" spans="1:11" ht="18" customHeight="1">
      <c r="A70" s="182" t="s">
        <v>178</v>
      </c>
      <c r="B70" s="207"/>
      <c r="C70" s="208"/>
      <c r="D70" s="209"/>
      <c r="E70" s="181"/>
      <c r="F70" s="220"/>
      <c r="G70" s="220"/>
      <c r="H70" s="221">
        <f>+'[12]CB List'!$AW$187</f>
        <v>0</v>
      </c>
      <c r="I70" s="189">
        <v>0</v>
      </c>
      <c r="J70" s="221"/>
      <c r="K70" s="190">
        <f>(H70+I70)-J70</f>
        <v>0</v>
      </c>
    </row>
    <row r="71" spans="1:11" ht="18" customHeight="1">
      <c r="A71" s="182" t="s">
        <v>179</v>
      </c>
      <c r="B71" s="207"/>
      <c r="C71" s="208"/>
      <c r="D71" s="209"/>
      <c r="E71" s="181"/>
      <c r="F71" s="220"/>
      <c r="G71" s="220"/>
      <c r="H71" s="221"/>
      <c r="I71" s="189">
        <v>0</v>
      </c>
      <c r="J71" s="221"/>
      <c r="K71" s="190">
        <f>(H71+I71)-J71</f>
        <v>0</v>
      </c>
    </row>
    <row r="72" spans="1:11" ht="18" customHeight="1">
      <c r="A72" s="182" t="s">
        <v>180</v>
      </c>
      <c r="B72" s="222"/>
      <c r="C72" s="223"/>
      <c r="D72" s="224"/>
      <c r="E72" s="181"/>
      <c r="F72" s="187"/>
      <c r="G72" s="187"/>
      <c r="H72" s="188"/>
      <c r="I72" s="189">
        <v>0</v>
      </c>
      <c r="J72" s="188"/>
      <c r="K72" s="190">
        <f>(H72+I72)-J72</f>
        <v>0</v>
      </c>
    </row>
    <row r="73" spans="1:11" ht="18" customHeight="1">
      <c r="A73" s="182"/>
      <c r="B73" s="186"/>
      <c r="E73" s="181"/>
      <c r="F73" s="225"/>
      <c r="G73" s="225"/>
      <c r="H73" s="226"/>
      <c r="I73" s="216"/>
      <c r="J73" s="226"/>
      <c r="K73" s="217"/>
    </row>
    <row r="74" spans="1:11" ht="18" customHeight="1">
      <c r="A74" s="185" t="s">
        <v>146</v>
      </c>
      <c r="B74" s="181" t="s">
        <v>147</v>
      </c>
      <c r="E74" s="181" t="s">
        <v>7</v>
      </c>
      <c r="F74" s="227">
        <f t="shared" ref="F74:K74" si="7">SUM(F68:F72)</f>
        <v>0</v>
      </c>
      <c r="G74" s="227">
        <f t="shared" si="7"/>
        <v>0</v>
      </c>
      <c r="H74" s="227">
        <f t="shared" si="7"/>
        <v>48.471451711205418</v>
      </c>
      <c r="I74" s="228">
        <f t="shared" si="7"/>
        <v>0</v>
      </c>
      <c r="J74" s="227">
        <f t="shared" si="7"/>
        <v>0</v>
      </c>
      <c r="K74" s="229">
        <f t="shared" si="7"/>
        <v>48.471451711205418</v>
      </c>
    </row>
    <row r="75" spans="1:11" ht="42.75" customHeight="1">
      <c r="F75" s="184" t="s">
        <v>9</v>
      </c>
      <c r="G75" s="184" t="s">
        <v>37</v>
      </c>
      <c r="H75" s="184" t="s">
        <v>29</v>
      </c>
      <c r="I75" s="184" t="s">
        <v>30</v>
      </c>
      <c r="J75" s="184" t="s">
        <v>33</v>
      </c>
      <c r="K75" s="184" t="s">
        <v>34</v>
      </c>
    </row>
    <row r="76" spans="1:11" ht="18" customHeight="1">
      <c r="A76" s="185" t="s">
        <v>105</v>
      </c>
      <c r="B76" s="181" t="s">
        <v>106</v>
      </c>
    </row>
    <row r="77" spans="1:11" ht="18" customHeight="1">
      <c r="A77" s="182" t="s">
        <v>107</v>
      </c>
      <c r="B77" s="186" t="s">
        <v>54</v>
      </c>
      <c r="F77" s="187"/>
      <c r="G77" s="187"/>
      <c r="H77" s="188">
        <f>+'[12]CB List'!$AW$188</f>
        <v>4286.1159836279567</v>
      </c>
      <c r="I77" s="189">
        <v>0</v>
      </c>
      <c r="J77" s="188"/>
      <c r="K77" s="190">
        <f>(H77+I77)-J77</f>
        <v>4286.1159836279567</v>
      </c>
    </row>
    <row r="78" spans="1:11" ht="18" customHeight="1">
      <c r="A78" s="182" t="s">
        <v>108</v>
      </c>
      <c r="B78" s="186" t="s">
        <v>55</v>
      </c>
      <c r="F78" s="187"/>
      <c r="G78" s="187"/>
      <c r="H78" s="188">
        <f>+'[12]CB List'!$AW$189</f>
        <v>142.4680512060724</v>
      </c>
      <c r="I78" s="189">
        <v>0</v>
      </c>
      <c r="J78" s="188"/>
      <c r="K78" s="190">
        <f>(H78+I78)-J78</f>
        <v>142.4680512060724</v>
      </c>
    </row>
    <row r="79" spans="1:11" ht="18" customHeight="1">
      <c r="A79" s="182" t="s">
        <v>109</v>
      </c>
      <c r="B79" s="186" t="s">
        <v>13</v>
      </c>
      <c r="F79" s="187"/>
      <c r="G79" s="187"/>
      <c r="H79" s="188">
        <f>+'[12]CB List'!$AW$190</f>
        <v>0</v>
      </c>
      <c r="I79" s="189">
        <v>0</v>
      </c>
      <c r="J79" s="188"/>
      <c r="K79" s="190">
        <f>(H79+I79)-J79</f>
        <v>0</v>
      </c>
    </row>
    <row r="80" spans="1:11" ht="18" customHeight="1">
      <c r="A80" s="182" t="s">
        <v>110</v>
      </c>
      <c r="B80" s="186" t="s">
        <v>56</v>
      </c>
      <c r="F80" s="187"/>
      <c r="G80" s="187"/>
      <c r="H80" s="188">
        <f>+'[12]CB List'!$AW$191</f>
        <v>0</v>
      </c>
      <c r="I80" s="189">
        <v>0</v>
      </c>
      <c r="J80" s="188"/>
      <c r="K80" s="190">
        <f>(H80+I80)-J80</f>
        <v>0</v>
      </c>
    </row>
    <row r="81" spans="1:11" ht="18" customHeight="1">
      <c r="A81" s="182"/>
      <c r="K81" s="230"/>
    </row>
    <row r="82" spans="1:11" ht="18" customHeight="1">
      <c r="A82" s="182" t="s">
        <v>148</v>
      </c>
      <c r="B82" s="181" t="s">
        <v>149</v>
      </c>
      <c r="E82" s="181" t="s">
        <v>7</v>
      </c>
      <c r="F82" s="227">
        <f t="shared" ref="F82:K82" si="8">SUM(F77:F80)</f>
        <v>0</v>
      </c>
      <c r="G82" s="227">
        <f t="shared" si="8"/>
        <v>0</v>
      </c>
      <c r="H82" s="229">
        <f t="shared" si="8"/>
        <v>4428.5840348340289</v>
      </c>
      <c r="I82" s="229">
        <f t="shared" si="8"/>
        <v>0</v>
      </c>
      <c r="J82" s="229">
        <f t="shared" si="8"/>
        <v>0</v>
      </c>
      <c r="K82" s="229">
        <f t="shared" si="8"/>
        <v>4428.5840348340289</v>
      </c>
    </row>
    <row r="83" spans="1:11" ht="18" customHeight="1" thickBot="1">
      <c r="A83" s="182"/>
      <c r="F83" s="206"/>
      <c r="G83" s="206"/>
      <c r="H83" s="206"/>
      <c r="I83" s="206"/>
      <c r="J83" s="206"/>
      <c r="K83" s="206"/>
    </row>
    <row r="84" spans="1:11" ht="42.75" customHeight="1">
      <c r="F84" s="184" t="s">
        <v>9</v>
      </c>
      <c r="G84" s="184" t="s">
        <v>37</v>
      </c>
      <c r="H84" s="184" t="s">
        <v>29</v>
      </c>
      <c r="I84" s="184" t="s">
        <v>30</v>
      </c>
      <c r="J84" s="184" t="s">
        <v>33</v>
      </c>
      <c r="K84" s="184" t="s">
        <v>34</v>
      </c>
    </row>
    <row r="85" spans="1:11" ht="18" customHeight="1">
      <c r="A85" s="185" t="s">
        <v>111</v>
      </c>
      <c r="B85" s="181" t="s">
        <v>57</v>
      </c>
    </row>
    <row r="86" spans="1:11" ht="18" customHeight="1">
      <c r="A86" s="182" t="s">
        <v>112</v>
      </c>
      <c r="B86" s="186" t="s">
        <v>113</v>
      </c>
      <c r="F86" s="187"/>
      <c r="G86" s="187"/>
      <c r="H86" s="188">
        <f>+'[12]CB List'!$AW$192</f>
        <v>0</v>
      </c>
      <c r="I86" s="189">
        <f t="shared" ref="I86:I96" si="9">H86*F$114</f>
        <v>0</v>
      </c>
      <c r="J86" s="188"/>
      <c r="K86" s="190">
        <f t="shared" ref="K86:K96" si="10">(H86+I86)-J86</f>
        <v>0</v>
      </c>
    </row>
    <row r="87" spans="1:11" ht="18" customHeight="1">
      <c r="A87" s="182" t="s">
        <v>114</v>
      </c>
      <c r="B87" s="186" t="s">
        <v>14</v>
      </c>
      <c r="F87" s="187"/>
      <c r="G87" s="187"/>
      <c r="H87" s="188">
        <f>+'[12]CB List'!$AW$193</f>
        <v>28.037408342756073</v>
      </c>
      <c r="I87" s="189">
        <f t="shared" si="9"/>
        <v>31.817761582781522</v>
      </c>
      <c r="J87" s="188"/>
      <c r="K87" s="190">
        <f t="shared" si="10"/>
        <v>59.855169925537595</v>
      </c>
    </row>
    <row r="88" spans="1:11" ht="18" customHeight="1">
      <c r="A88" s="182" t="s">
        <v>115</v>
      </c>
      <c r="B88" s="186" t="s">
        <v>116</v>
      </c>
      <c r="F88" s="187"/>
      <c r="G88" s="187"/>
      <c r="H88" s="188">
        <f>+'[12]CB List'!$AW$194</f>
        <v>4613.9686437338651</v>
      </c>
      <c r="I88" s="189">
        <f t="shared" si="9"/>
        <v>5236.0814688025084</v>
      </c>
      <c r="J88" s="188"/>
      <c r="K88" s="190">
        <f t="shared" si="10"/>
        <v>9850.0501125363735</v>
      </c>
    </row>
    <row r="89" spans="1:11" ht="18" customHeight="1">
      <c r="A89" s="182" t="s">
        <v>117</v>
      </c>
      <c r="B89" s="186" t="s">
        <v>58</v>
      </c>
      <c r="F89" s="187"/>
      <c r="G89" s="187"/>
      <c r="H89" s="188">
        <f>+'[12]CB List'!$AW$195</f>
        <v>15.967066446044138</v>
      </c>
      <c r="I89" s="189">
        <f t="shared" si="9"/>
        <v>18.119945579346766</v>
      </c>
      <c r="J89" s="188"/>
      <c r="K89" s="190">
        <f t="shared" si="10"/>
        <v>34.087012025390905</v>
      </c>
    </row>
    <row r="90" spans="1:11" ht="18" customHeight="1">
      <c r="A90" s="182" t="s">
        <v>118</v>
      </c>
      <c r="B90" s="702" t="s">
        <v>59</v>
      </c>
      <c r="C90" s="703"/>
      <c r="F90" s="187"/>
      <c r="G90" s="187"/>
      <c r="H90" s="188">
        <f>+'[12]CB List'!$AW$196</f>
        <v>13.49597282939445</v>
      </c>
      <c r="I90" s="189">
        <f t="shared" si="9"/>
        <v>15.315668287305005</v>
      </c>
      <c r="J90" s="188"/>
      <c r="K90" s="190">
        <f t="shared" si="10"/>
        <v>28.811641116699455</v>
      </c>
    </row>
    <row r="91" spans="1:11" ht="18" customHeight="1">
      <c r="A91" s="182" t="s">
        <v>119</v>
      </c>
      <c r="B91" s="186" t="s">
        <v>60</v>
      </c>
      <c r="F91" s="187"/>
      <c r="G91" s="187"/>
      <c r="H91" s="188">
        <f>+'[12]CB List'!$AW$197</f>
        <v>3019.1061471728458</v>
      </c>
      <c r="I91" s="189">
        <f t="shared" si="9"/>
        <v>3426.1797099614846</v>
      </c>
      <c r="J91" s="188"/>
      <c r="K91" s="190">
        <f t="shared" si="10"/>
        <v>6445.2858571343304</v>
      </c>
    </row>
    <row r="92" spans="1:11" ht="18" customHeight="1">
      <c r="A92" s="182" t="s">
        <v>120</v>
      </c>
      <c r="B92" s="186" t="s">
        <v>121</v>
      </c>
      <c r="F92" s="231"/>
      <c r="G92" s="231"/>
      <c r="H92" s="232">
        <f>+'[12]CB List'!$AW$198</f>
        <v>27740.019181053598</v>
      </c>
      <c r="I92" s="189">
        <f t="shared" si="9"/>
        <v>31480.274703513762</v>
      </c>
      <c r="J92" s="232"/>
      <c r="K92" s="190">
        <f t="shared" si="10"/>
        <v>59220.293884567363</v>
      </c>
    </row>
    <row r="93" spans="1:11" ht="18" customHeight="1">
      <c r="A93" s="182" t="s">
        <v>122</v>
      </c>
      <c r="B93" s="186" t="s">
        <v>123</v>
      </c>
      <c r="F93" s="187"/>
      <c r="G93" s="187"/>
      <c r="H93" s="188">
        <f>+'[12]CB List'!$AW$199</f>
        <v>77.174154489213336</v>
      </c>
      <c r="I93" s="189">
        <f t="shared" si="9"/>
        <v>87.579736966842702</v>
      </c>
      <c r="J93" s="188"/>
      <c r="K93" s="190">
        <f t="shared" si="10"/>
        <v>164.75389145605604</v>
      </c>
    </row>
    <row r="94" spans="1:11" ht="18" customHeight="1">
      <c r="A94" s="182" t="s">
        <v>124</v>
      </c>
      <c r="B94" s="706"/>
      <c r="C94" s="707"/>
      <c r="D94" s="693"/>
      <c r="F94" s="187"/>
      <c r="G94" s="187"/>
      <c r="H94" s="188">
        <f>+'[12]CB List'!$AW$200</f>
        <v>0</v>
      </c>
      <c r="I94" s="189">
        <f t="shared" si="9"/>
        <v>0</v>
      </c>
      <c r="J94" s="188"/>
      <c r="K94" s="190">
        <f t="shared" si="10"/>
        <v>0</v>
      </c>
    </row>
    <row r="95" spans="1:11" ht="18" customHeight="1">
      <c r="A95" s="182" t="s">
        <v>125</v>
      </c>
      <c r="B95" s="706"/>
      <c r="C95" s="707"/>
      <c r="D95" s="693"/>
      <c r="F95" s="187"/>
      <c r="G95" s="187"/>
      <c r="H95" s="188"/>
      <c r="I95" s="189">
        <f t="shared" si="9"/>
        <v>0</v>
      </c>
      <c r="J95" s="188"/>
      <c r="K95" s="190">
        <f t="shared" si="10"/>
        <v>0</v>
      </c>
    </row>
    <row r="96" spans="1:11" ht="18" customHeight="1">
      <c r="A96" s="182" t="s">
        <v>126</v>
      </c>
      <c r="B96" s="706"/>
      <c r="C96" s="707"/>
      <c r="D96" s="693"/>
      <c r="F96" s="187"/>
      <c r="G96" s="187"/>
      <c r="H96" s="188"/>
      <c r="I96" s="189">
        <f t="shared" si="9"/>
        <v>0</v>
      </c>
      <c r="J96" s="188"/>
      <c r="K96" s="190">
        <f t="shared" si="10"/>
        <v>0</v>
      </c>
    </row>
    <row r="97" spans="1:11" ht="18" customHeight="1">
      <c r="A97" s="182"/>
      <c r="B97" s="186"/>
    </row>
    <row r="98" spans="1:11" ht="18" customHeight="1">
      <c r="A98" s="185" t="s">
        <v>150</v>
      </c>
      <c r="B98" s="181" t="s">
        <v>151</v>
      </c>
      <c r="E98" s="181" t="s">
        <v>7</v>
      </c>
      <c r="F98" s="196">
        <f t="shared" ref="F98:K98" si="11">SUM(F86:F96)</f>
        <v>0</v>
      </c>
      <c r="G98" s="196">
        <f t="shared" si="11"/>
        <v>0</v>
      </c>
      <c r="H98" s="196">
        <f t="shared" si="11"/>
        <v>35507.768574067719</v>
      </c>
      <c r="I98" s="196">
        <f t="shared" si="11"/>
        <v>40295.368994694029</v>
      </c>
      <c r="J98" s="196">
        <f t="shared" si="11"/>
        <v>0</v>
      </c>
      <c r="K98" s="196">
        <f t="shared" si="11"/>
        <v>75803.137568761755</v>
      </c>
    </row>
    <row r="99" spans="1:11" ht="18" customHeight="1" thickBot="1">
      <c r="B99" s="181"/>
      <c r="F99" s="206"/>
      <c r="G99" s="206"/>
      <c r="H99" s="206"/>
      <c r="I99" s="206"/>
      <c r="J99" s="206"/>
      <c r="K99" s="206"/>
    </row>
    <row r="100" spans="1:11" ht="42.75" customHeight="1">
      <c r="F100" s="184" t="s">
        <v>9</v>
      </c>
      <c r="G100" s="184" t="s">
        <v>37</v>
      </c>
      <c r="H100" s="184" t="s">
        <v>29</v>
      </c>
      <c r="I100" s="184" t="s">
        <v>30</v>
      </c>
      <c r="J100" s="184" t="s">
        <v>33</v>
      </c>
      <c r="K100" s="184" t="s">
        <v>34</v>
      </c>
    </row>
    <row r="101" spans="1:11" ht="18" customHeight="1">
      <c r="A101" s="185" t="s">
        <v>130</v>
      </c>
      <c r="B101" s="181" t="s">
        <v>63</v>
      </c>
    </row>
    <row r="102" spans="1:11" ht="18" customHeight="1">
      <c r="A102" s="182" t="s">
        <v>131</v>
      </c>
      <c r="B102" s="186" t="s">
        <v>152</v>
      </c>
      <c r="F102" s="187">
        <f>+'[12]CB List'!$AU$201</f>
        <v>170.03997509359294</v>
      </c>
      <c r="G102" s="187">
        <f>+'[12]CB List'!$AV$201</f>
        <v>25.708877819374635</v>
      </c>
      <c r="H102" s="188">
        <f>+'[12]CB List'!$AW$201</f>
        <v>6862.7460426582174</v>
      </c>
      <c r="I102" s="189">
        <f>H102*F$114</f>
        <v>7788.0670966114003</v>
      </c>
      <c r="J102" s="188"/>
      <c r="K102" s="190">
        <f>(H102+I102)-J102</f>
        <v>14650.813139269618</v>
      </c>
    </row>
    <row r="103" spans="1:11" ht="18" customHeight="1">
      <c r="A103" s="182" t="s">
        <v>132</v>
      </c>
      <c r="B103" s="702" t="s">
        <v>62</v>
      </c>
      <c r="C103" s="702"/>
      <c r="F103" s="187">
        <f>+'[12]CB List'!$AU$202</f>
        <v>0</v>
      </c>
      <c r="G103" s="187">
        <f>+'[12]CB List'!$AV$202</f>
        <v>0</v>
      </c>
      <c r="H103" s="188">
        <f>+'[12]CB List'!$AW$202</f>
        <v>0</v>
      </c>
      <c r="I103" s="189">
        <f>H103*F$114</f>
        <v>0</v>
      </c>
      <c r="J103" s="188"/>
      <c r="K103" s="190">
        <f>(H103+I103)-J103</f>
        <v>0</v>
      </c>
    </row>
    <row r="104" spans="1:11" ht="18" customHeight="1">
      <c r="A104" s="182" t="s">
        <v>128</v>
      </c>
      <c r="B104" s="706"/>
      <c r="C104" s="707"/>
      <c r="D104" s="693"/>
      <c r="F104" s="187">
        <f>+'[12]CB List'!$AU$203</f>
        <v>0</v>
      </c>
      <c r="G104" s="187">
        <f>+'[12]CB List'!$AV$203</f>
        <v>0</v>
      </c>
      <c r="H104" s="188">
        <f>+'[12]CB List'!$AW$203</f>
        <v>0</v>
      </c>
      <c r="I104" s="189">
        <f>H104*F$114</f>
        <v>0</v>
      </c>
      <c r="J104" s="188"/>
      <c r="K104" s="190">
        <f>(H104+I104)-J104</f>
        <v>0</v>
      </c>
    </row>
    <row r="105" spans="1:11" ht="18" customHeight="1">
      <c r="A105" s="182" t="s">
        <v>127</v>
      </c>
      <c r="B105" s="706"/>
      <c r="C105" s="707"/>
      <c r="D105" s="693"/>
      <c r="F105" s="187">
        <f>+'[12]CB List'!$AU$204</f>
        <v>0</v>
      </c>
      <c r="G105" s="187">
        <f>+'[12]CB List'!$AV$204</f>
        <v>0</v>
      </c>
      <c r="H105" s="188">
        <f>+'[12]CB List'!$AW$204</f>
        <v>0</v>
      </c>
      <c r="I105" s="189">
        <f>H105*F$114</f>
        <v>0</v>
      </c>
      <c r="J105" s="188"/>
      <c r="K105" s="190">
        <f>(H105+I105)-J105</f>
        <v>0</v>
      </c>
    </row>
    <row r="106" spans="1:11" ht="18" customHeight="1">
      <c r="A106" s="182" t="s">
        <v>129</v>
      </c>
      <c r="B106" s="706"/>
      <c r="C106" s="707"/>
      <c r="D106" s="693"/>
      <c r="F106" s="187"/>
      <c r="G106" s="187"/>
      <c r="H106" s="188"/>
      <c r="I106" s="189">
        <f>H106*F$114</f>
        <v>0</v>
      </c>
      <c r="J106" s="188"/>
      <c r="K106" s="190">
        <f>(H106+I106)-J106</f>
        <v>0</v>
      </c>
    </row>
    <row r="107" spans="1:11" ht="18" customHeight="1">
      <c r="B107" s="181"/>
    </row>
    <row r="108" spans="1:11" s="201" customFormat="1" ht="18" customHeight="1">
      <c r="A108" s="185" t="s">
        <v>153</v>
      </c>
      <c r="B108" s="233" t="s">
        <v>154</v>
      </c>
      <c r="C108" s="178"/>
      <c r="D108" s="178"/>
      <c r="E108" s="181" t="s">
        <v>7</v>
      </c>
      <c r="F108" s="196">
        <f t="shared" ref="F108:K108" si="12">SUM(F102:F106)</f>
        <v>170.03997509359294</v>
      </c>
      <c r="G108" s="196">
        <f t="shared" si="12"/>
        <v>25.708877819374635</v>
      </c>
      <c r="H108" s="190">
        <f t="shared" si="12"/>
        <v>6862.7460426582174</v>
      </c>
      <c r="I108" s="190">
        <f t="shared" si="12"/>
        <v>7788.0670966114003</v>
      </c>
      <c r="J108" s="190">
        <f t="shared" si="12"/>
        <v>0</v>
      </c>
      <c r="K108" s="190">
        <f t="shared" si="12"/>
        <v>14650.813139269618</v>
      </c>
    </row>
    <row r="109" spans="1:11" s="201" customFormat="1" ht="18" customHeight="1" thickBot="1">
      <c r="A109" s="234"/>
      <c r="B109" s="235"/>
      <c r="C109" s="236"/>
      <c r="D109" s="236"/>
      <c r="E109" s="236"/>
      <c r="F109" s="206"/>
      <c r="G109" s="206"/>
      <c r="H109" s="206"/>
      <c r="I109" s="206"/>
      <c r="J109" s="206"/>
      <c r="K109" s="206"/>
    </row>
    <row r="110" spans="1:11" s="201" customFormat="1" ht="18" customHeight="1">
      <c r="A110" s="185" t="s">
        <v>156</v>
      </c>
      <c r="B110" s="181" t="s">
        <v>39</v>
      </c>
      <c r="C110" s="178"/>
      <c r="D110" s="178"/>
      <c r="E110" s="178"/>
      <c r="F110" s="178"/>
      <c r="G110" s="178"/>
      <c r="H110" s="178"/>
      <c r="I110" s="178"/>
      <c r="J110" s="178"/>
      <c r="K110" s="178"/>
    </row>
    <row r="111" spans="1:11" ht="18" customHeight="1">
      <c r="A111" s="185" t="s">
        <v>155</v>
      </c>
      <c r="B111" s="181" t="s">
        <v>164</v>
      </c>
      <c r="E111" s="181" t="s">
        <v>7</v>
      </c>
      <c r="F111" s="188">
        <f>+'[12]CB List'!$AZ$206</f>
        <v>756000</v>
      </c>
    </row>
    <row r="112" spans="1:11" ht="18" customHeight="1">
      <c r="B112" s="181"/>
      <c r="E112" s="181"/>
      <c r="F112" s="237"/>
    </row>
    <row r="113" spans="1:6" ht="18" customHeight="1">
      <c r="A113" s="185"/>
      <c r="B113" s="181" t="s">
        <v>15</v>
      </c>
    </row>
    <row r="114" spans="1:6" ht="18" customHeight="1">
      <c r="A114" s="182" t="s">
        <v>171</v>
      </c>
      <c r="B114" s="186" t="s">
        <v>35</v>
      </c>
      <c r="F114" s="238">
        <f>+'[12]CB List'!$I$216</f>
        <v>1.1348324778742314</v>
      </c>
    </row>
    <row r="115" spans="1:6" ht="18" customHeight="1">
      <c r="A115" s="182"/>
      <c r="B115" s="181"/>
    </row>
    <row r="116" spans="1:6" ht="18" customHeight="1">
      <c r="A116" s="182" t="s">
        <v>170</v>
      </c>
      <c r="B116" s="181" t="s">
        <v>16</v>
      </c>
    </row>
    <row r="117" spans="1:6" ht="18" customHeight="1">
      <c r="A117" s="182" t="s">
        <v>172</v>
      </c>
      <c r="B117" s="186" t="s">
        <v>17</v>
      </c>
      <c r="F117" s="188">
        <f>+'[13]P&amp;L_108'!$K$52</f>
        <v>32969458.226999998</v>
      </c>
    </row>
    <row r="118" spans="1:6" ht="18" customHeight="1">
      <c r="A118" s="182" t="s">
        <v>173</v>
      </c>
      <c r="B118" s="178" t="s">
        <v>18</v>
      </c>
      <c r="F118" s="188">
        <f>+'[13]P&amp;L_108'!$K$68</f>
        <v>360155.04</v>
      </c>
    </row>
    <row r="119" spans="1:6" ht="18" customHeight="1">
      <c r="A119" s="182" t="s">
        <v>174</v>
      </c>
      <c r="B119" s="181" t="s">
        <v>19</v>
      </c>
      <c r="F119" s="229">
        <f>SUM(F117:F118)</f>
        <v>33329613.266999997</v>
      </c>
    </row>
    <row r="120" spans="1:6" ht="18" customHeight="1">
      <c r="A120" s="182"/>
      <c r="B120" s="181"/>
    </row>
    <row r="121" spans="1:6" ht="18" customHeight="1">
      <c r="A121" s="182" t="s">
        <v>167</v>
      </c>
      <c r="B121" s="181" t="s">
        <v>36</v>
      </c>
      <c r="F121" s="188">
        <f>+'[13]P&amp;L_108'!$K$274</f>
        <v>33160122.263000004</v>
      </c>
    </row>
    <row r="122" spans="1:6" ht="18" customHeight="1">
      <c r="A122" s="182"/>
    </row>
    <row r="123" spans="1:6" ht="18" customHeight="1">
      <c r="A123" s="182" t="s">
        <v>175</v>
      </c>
      <c r="B123" s="181" t="s">
        <v>20</v>
      </c>
      <c r="F123" s="188">
        <f>+'[13]P&amp;L_108'!$K$276</f>
        <v>169491.00399999978</v>
      </c>
    </row>
    <row r="124" spans="1:6" ht="18" customHeight="1">
      <c r="A124" s="182"/>
    </row>
    <row r="125" spans="1:6" ht="18" customHeight="1">
      <c r="A125" s="182" t="s">
        <v>176</v>
      </c>
      <c r="B125" s="181" t="s">
        <v>21</v>
      </c>
      <c r="F125" s="188">
        <f>+'[13]P&amp;L_108'!$K$290</f>
        <v>46531.338000000003</v>
      </c>
    </row>
    <row r="126" spans="1:6" ht="18" customHeight="1">
      <c r="A126" s="182"/>
    </row>
    <row r="127" spans="1:6" ht="18" customHeight="1">
      <c r="A127" s="182" t="s">
        <v>177</v>
      </c>
      <c r="B127" s="181" t="s">
        <v>22</v>
      </c>
      <c r="F127" s="188">
        <f>+'[13]P&amp;L_108'!$K$292</f>
        <v>216022.34199999977</v>
      </c>
    </row>
    <row r="128" spans="1:6" ht="18" customHeight="1">
      <c r="A128" s="182"/>
    </row>
    <row r="129" spans="1:11" ht="42.75" customHeight="1">
      <c r="F129" s="184" t="s">
        <v>9</v>
      </c>
      <c r="G129" s="184" t="s">
        <v>37</v>
      </c>
      <c r="H129" s="184" t="s">
        <v>29</v>
      </c>
      <c r="I129" s="184" t="s">
        <v>30</v>
      </c>
      <c r="J129" s="184" t="s">
        <v>33</v>
      </c>
      <c r="K129" s="184" t="s">
        <v>34</v>
      </c>
    </row>
    <row r="130" spans="1:11" ht="18" customHeight="1">
      <c r="A130" s="185" t="s">
        <v>157</v>
      </c>
      <c r="B130" s="181" t="s">
        <v>23</v>
      </c>
    </row>
    <row r="131" spans="1:11" ht="18" customHeight="1">
      <c r="A131" s="182" t="s">
        <v>158</v>
      </c>
      <c r="B131" s="178" t="s">
        <v>24</v>
      </c>
      <c r="F131" s="187"/>
      <c r="G131" s="187"/>
      <c r="H131" s="188"/>
      <c r="I131" s="189">
        <v>0</v>
      </c>
      <c r="J131" s="188"/>
      <c r="K131" s="190">
        <f>(H131+I131)-J131</f>
        <v>0</v>
      </c>
    </row>
    <row r="132" spans="1:11" ht="18" customHeight="1">
      <c r="A132" s="182" t="s">
        <v>159</v>
      </c>
      <c r="B132" s="178" t="s">
        <v>25</v>
      </c>
      <c r="F132" s="187"/>
      <c r="G132" s="187"/>
      <c r="H132" s="188"/>
      <c r="I132" s="189">
        <v>0</v>
      </c>
      <c r="J132" s="188"/>
      <c r="K132" s="190">
        <f>(H132+I132)-J132</f>
        <v>0</v>
      </c>
    </row>
    <row r="133" spans="1:11" ht="18" customHeight="1">
      <c r="A133" s="182" t="s">
        <v>160</v>
      </c>
      <c r="B133" s="699"/>
      <c r="C133" s="700"/>
      <c r="D133" s="701"/>
      <c r="F133" s="187"/>
      <c r="G133" s="187"/>
      <c r="H133" s="188"/>
      <c r="I133" s="189">
        <v>0</v>
      </c>
      <c r="J133" s="188"/>
      <c r="K133" s="190">
        <f>(H133+I133)-J133</f>
        <v>0</v>
      </c>
    </row>
    <row r="134" spans="1:11" ht="18" customHeight="1">
      <c r="A134" s="182" t="s">
        <v>161</v>
      </c>
      <c r="B134" s="699"/>
      <c r="C134" s="700"/>
      <c r="D134" s="701"/>
      <c r="F134" s="187"/>
      <c r="G134" s="187"/>
      <c r="H134" s="188"/>
      <c r="I134" s="189">
        <v>0</v>
      </c>
      <c r="J134" s="188"/>
      <c r="K134" s="190">
        <f>(H134+I134)-J134</f>
        <v>0</v>
      </c>
    </row>
    <row r="135" spans="1:11" ht="18" customHeight="1">
      <c r="A135" s="182" t="s">
        <v>162</v>
      </c>
      <c r="B135" s="699"/>
      <c r="C135" s="700"/>
      <c r="D135" s="701"/>
      <c r="F135" s="187"/>
      <c r="G135" s="187"/>
      <c r="H135" s="188"/>
      <c r="I135" s="189">
        <v>0</v>
      </c>
      <c r="J135" s="188"/>
      <c r="K135" s="190">
        <f>(H135+I135)-J135</f>
        <v>0</v>
      </c>
    </row>
    <row r="136" spans="1:11" ht="18" customHeight="1">
      <c r="A136" s="185"/>
    </row>
    <row r="137" spans="1:11" ht="18" customHeight="1">
      <c r="A137" s="185" t="s">
        <v>163</v>
      </c>
      <c r="B137" s="181" t="s">
        <v>27</v>
      </c>
      <c r="F137" s="196">
        <f t="shared" ref="F137:K137" si="13">SUM(F131:F135)</f>
        <v>0</v>
      </c>
      <c r="G137" s="196">
        <f t="shared" si="13"/>
        <v>0</v>
      </c>
      <c r="H137" s="190">
        <f t="shared" si="13"/>
        <v>0</v>
      </c>
      <c r="I137" s="190">
        <f t="shared" si="13"/>
        <v>0</v>
      </c>
      <c r="J137" s="190">
        <f t="shared" si="13"/>
        <v>0</v>
      </c>
      <c r="K137" s="190">
        <f t="shared" si="13"/>
        <v>0</v>
      </c>
    </row>
    <row r="138" spans="1:11" ht="18" customHeight="1">
      <c r="A138" s="178"/>
    </row>
    <row r="139" spans="1:11" ht="42.75" customHeight="1">
      <c r="F139" s="184" t="s">
        <v>9</v>
      </c>
      <c r="G139" s="184" t="s">
        <v>37</v>
      </c>
      <c r="H139" s="184" t="s">
        <v>29</v>
      </c>
      <c r="I139" s="184" t="s">
        <v>30</v>
      </c>
      <c r="J139" s="184" t="s">
        <v>33</v>
      </c>
      <c r="K139" s="184" t="s">
        <v>34</v>
      </c>
    </row>
    <row r="140" spans="1:11" ht="18" customHeight="1">
      <c r="A140" s="185" t="s">
        <v>166</v>
      </c>
      <c r="B140" s="181" t="s">
        <v>26</v>
      </c>
    </row>
    <row r="141" spans="1:11" ht="18" customHeight="1">
      <c r="A141" s="182" t="s">
        <v>137</v>
      </c>
      <c r="B141" s="181" t="s">
        <v>64</v>
      </c>
      <c r="F141" s="239">
        <f t="shared" ref="F141:K141" si="14">F36</f>
        <v>0</v>
      </c>
      <c r="G141" s="239">
        <f t="shared" si="14"/>
        <v>0</v>
      </c>
      <c r="H141" s="239">
        <f t="shared" si="14"/>
        <v>124933.10734201377</v>
      </c>
      <c r="I141" s="239">
        <f t="shared" si="14"/>
        <v>141778.14777346482</v>
      </c>
      <c r="J141" s="239">
        <f t="shared" si="14"/>
        <v>13312.669888750001</v>
      </c>
      <c r="K141" s="239">
        <f t="shared" si="14"/>
        <v>253398.58522672858</v>
      </c>
    </row>
    <row r="142" spans="1:11" ht="18" customHeight="1">
      <c r="A142" s="182" t="s">
        <v>142</v>
      </c>
      <c r="B142" s="181" t="s">
        <v>65</v>
      </c>
      <c r="F142" s="239">
        <f t="shared" ref="F142:K142" si="15">F49</f>
        <v>0</v>
      </c>
      <c r="G142" s="239">
        <f t="shared" si="15"/>
        <v>0</v>
      </c>
      <c r="H142" s="239">
        <f t="shared" si="15"/>
        <v>13035.371080767216</v>
      </c>
      <c r="I142" s="239">
        <f t="shared" si="15"/>
        <v>0</v>
      </c>
      <c r="J142" s="239">
        <f t="shared" si="15"/>
        <v>2080.17070625</v>
      </c>
      <c r="K142" s="239">
        <f t="shared" si="15"/>
        <v>10955.200374517215</v>
      </c>
    </row>
    <row r="143" spans="1:11" ht="18" customHeight="1">
      <c r="A143" s="182" t="s">
        <v>144</v>
      </c>
      <c r="B143" s="181" t="s">
        <v>66</v>
      </c>
      <c r="F143" s="239">
        <f t="shared" ref="F143:K143" si="16">F64</f>
        <v>0</v>
      </c>
      <c r="G143" s="239">
        <f t="shared" si="16"/>
        <v>0</v>
      </c>
      <c r="H143" s="239">
        <f t="shared" si="16"/>
        <v>677662.19947591634</v>
      </c>
      <c r="I143" s="239">
        <f t="shared" si="16"/>
        <v>0</v>
      </c>
      <c r="J143" s="239">
        <f t="shared" si="16"/>
        <v>0</v>
      </c>
      <c r="K143" s="239">
        <f t="shared" si="16"/>
        <v>677662.19947591634</v>
      </c>
    </row>
    <row r="144" spans="1:11" ht="18" customHeight="1">
      <c r="A144" s="182" t="s">
        <v>146</v>
      </c>
      <c r="B144" s="181" t="s">
        <v>67</v>
      </c>
      <c r="F144" s="239">
        <f t="shared" ref="F144:K144" si="17">F74</f>
        <v>0</v>
      </c>
      <c r="G144" s="239">
        <f t="shared" si="17"/>
        <v>0</v>
      </c>
      <c r="H144" s="239">
        <f t="shared" si="17"/>
        <v>48.471451711205418</v>
      </c>
      <c r="I144" s="239">
        <f t="shared" si="17"/>
        <v>0</v>
      </c>
      <c r="J144" s="239">
        <f t="shared" si="17"/>
        <v>0</v>
      </c>
      <c r="K144" s="239">
        <f t="shared" si="17"/>
        <v>48.471451711205418</v>
      </c>
    </row>
    <row r="145" spans="1:11" ht="18" customHeight="1">
      <c r="A145" s="182" t="s">
        <v>148</v>
      </c>
      <c r="B145" s="181" t="s">
        <v>68</v>
      </c>
      <c r="F145" s="239">
        <f t="shared" ref="F145:K145" si="18">F82</f>
        <v>0</v>
      </c>
      <c r="G145" s="239">
        <f t="shared" si="18"/>
        <v>0</v>
      </c>
      <c r="H145" s="239">
        <f t="shared" si="18"/>
        <v>4428.5840348340289</v>
      </c>
      <c r="I145" s="239">
        <f t="shared" si="18"/>
        <v>0</v>
      </c>
      <c r="J145" s="239">
        <f t="shared" si="18"/>
        <v>0</v>
      </c>
      <c r="K145" s="239">
        <f t="shared" si="18"/>
        <v>4428.5840348340289</v>
      </c>
    </row>
    <row r="146" spans="1:11" ht="18" customHeight="1">
      <c r="A146" s="182" t="s">
        <v>150</v>
      </c>
      <c r="B146" s="181" t="s">
        <v>69</v>
      </c>
      <c r="F146" s="239">
        <f t="shared" ref="F146:K146" si="19">F98</f>
        <v>0</v>
      </c>
      <c r="G146" s="239">
        <f t="shared" si="19"/>
        <v>0</v>
      </c>
      <c r="H146" s="239">
        <f t="shared" si="19"/>
        <v>35507.768574067719</v>
      </c>
      <c r="I146" s="239">
        <f t="shared" si="19"/>
        <v>40295.368994694029</v>
      </c>
      <c r="J146" s="239">
        <f t="shared" si="19"/>
        <v>0</v>
      </c>
      <c r="K146" s="239">
        <f t="shared" si="19"/>
        <v>75803.137568761755</v>
      </c>
    </row>
    <row r="147" spans="1:11" ht="18" customHeight="1">
      <c r="A147" s="182" t="s">
        <v>153</v>
      </c>
      <c r="B147" s="181" t="s">
        <v>61</v>
      </c>
      <c r="F147" s="196">
        <f t="shared" ref="F147:K147" si="20">F108</f>
        <v>170.03997509359294</v>
      </c>
      <c r="G147" s="196">
        <f t="shared" si="20"/>
        <v>25.708877819374635</v>
      </c>
      <c r="H147" s="196">
        <f t="shared" si="20"/>
        <v>6862.7460426582174</v>
      </c>
      <c r="I147" s="196">
        <f t="shared" si="20"/>
        <v>7788.0670966114003</v>
      </c>
      <c r="J147" s="196">
        <f t="shared" si="20"/>
        <v>0</v>
      </c>
      <c r="K147" s="196">
        <f t="shared" si="20"/>
        <v>14650.813139269618</v>
      </c>
    </row>
    <row r="148" spans="1:11" ht="18" customHeight="1">
      <c r="A148" s="182" t="s">
        <v>155</v>
      </c>
      <c r="B148" s="181" t="s">
        <v>70</v>
      </c>
      <c r="F148" s="240" t="s">
        <v>73</v>
      </c>
      <c r="G148" s="240" t="s">
        <v>73</v>
      </c>
      <c r="H148" s="241" t="s">
        <v>73</v>
      </c>
      <c r="I148" s="241" t="s">
        <v>73</v>
      </c>
      <c r="J148" s="241" t="s">
        <v>73</v>
      </c>
      <c r="K148" s="242">
        <f>F111</f>
        <v>756000</v>
      </c>
    </row>
    <row r="149" spans="1:11" ht="18" customHeight="1">
      <c r="A149" s="182" t="s">
        <v>163</v>
      </c>
      <c r="B149" s="181" t="s">
        <v>71</v>
      </c>
      <c r="F149" s="196">
        <f t="shared" ref="F149:K149" si="21">F137</f>
        <v>0</v>
      </c>
      <c r="G149" s="196">
        <f t="shared" si="21"/>
        <v>0</v>
      </c>
      <c r="H149" s="196">
        <f t="shared" si="21"/>
        <v>0</v>
      </c>
      <c r="I149" s="196">
        <f t="shared" si="21"/>
        <v>0</v>
      </c>
      <c r="J149" s="196">
        <f t="shared" si="21"/>
        <v>0</v>
      </c>
      <c r="K149" s="196">
        <f t="shared" si="21"/>
        <v>0</v>
      </c>
    </row>
    <row r="150" spans="1:11" ht="18" customHeight="1">
      <c r="A150" s="182" t="s">
        <v>185</v>
      </c>
      <c r="B150" s="181" t="s">
        <v>186</v>
      </c>
      <c r="F150" s="240" t="s">
        <v>73</v>
      </c>
      <c r="G150" s="240" t="s">
        <v>73</v>
      </c>
      <c r="H150" s="196">
        <f>H18</f>
        <v>0</v>
      </c>
      <c r="I150" s="196">
        <f>I18</f>
        <v>0</v>
      </c>
      <c r="J150" s="196">
        <f>J18</f>
        <v>0</v>
      </c>
      <c r="K150" s="196">
        <f>K18</f>
        <v>0</v>
      </c>
    </row>
    <row r="151" spans="1:11" ht="18" customHeight="1">
      <c r="B151" s="181"/>
      <c r="F151" s="213"/>
      <c r="G151" s="213"/>
      <c r="H151" s="213"/>
      <c r="I151" s="213"/>
      <c r="J151" s="213"/>
      <c r="K151" s="213"/>
    </row>
    <row r="152" spans="1:11" ht="18" customHeight="1">
      <c r="A152" s="185" t="s">
        <v>165</v>
      </c>
      <c r="B152" s="181" t="s">
        <v>26</v>
      </c>
      <c r="F152" s="243">
        <f t="shared" ref="F152:K152" si="22">SUM(F141:F150)</f>
        <v>170.03997509359294</v>
      </c>
      <c r="G152" s="243">
        <f t="shared" si="22"/>
        <v>25.708877819374635</v>
      </c>
      <c r="H152" s="243">
        <f t="shared" si="22"/>
        <v>862478.2480019686</v>
      </c>
      <c r="I152" s="243">
        <f t="shared" si="22"/>
        <v>189861.58386477025</v>
      </c>
      <c r="J152" s="243">
        <f t="shared" si="22"/>
        <v>15392.840595000001</v>
      </c>
      <c r="K152" s="243">
        <f t="shared" si="22"/>
        <v>1792946.9912717389</v>
      </c>
    </row>
    <row r="154" spans="1:11" ht="18" customHeight="1">
      <c r="A154" s="185" t="s">
        <v>168</v>
      </c>
      <c r="B154" s="181" t="s">
        <v>28</v>
      </c>
      <c r="F154" s="64">
        <f>K152/F121</f>
        <v>5.406937215283749E-2</v>
      </c>
    </row>
    <row r="155" spans="1:11" ht="18" customHeight="1">
      <c r="A155" s="185" t="s">
        <v>169</v>
      </c>
      <c r="B155" s="181" t="s">
        <v>72</v>
      </c>
      <c r="F155" s="64">
        <f>K152/F127</f>
        <v>8.2998220215191481</v>
      </c>
      <c r="G155" s="181"/>
    </row>
    <row r="156" spans="1:11" ht="18" customHeight="1">
      <c r="G156" s="181"/>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hyperlinks>
    <hyperlink ref="C11" r:id="rId1"/>
  </hyperlinks>
  <printOptions headings="1" gridLines="1"/>
  <pageMargins left="0.17" right="0.16" top="0.35" bottom="0.32" header="0.17" footer="0.17"/>
  <pageSetup scale="61" fitToHeight="0"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13"/>
  <sheetViews>
    <sheetView tabSelected="1" zoomScaleNormal="100" workbookViewId="0">
      <selection activeCell="D4" sqref="D4"/>
    </sheetView>
  </sheetViews>
  <sheetFormatPr defaultColWidth="9.140625" defaultRowHeight="15"/>
  <cols>
    <col min="1" max="1" width="15.7109375" style="70" bestFit="1" customWidth="1"/>
    <col min="2" max="2" width="8.85546875" style="70" bestFit="1" customWidth="1"/>
    <col min="3" max="3" width="10.7109375" style="70" bestFit="1" customWidth="1"/>
    <col min="4" max="4" width="13.85546875" style="70" bestFit="1" customWidth="1"/>
    <col min="5" max="5" width="14" style="70" bestFit="1" customWidth="1"/>
    <col min="6" max="6" width="12" style="70" bestFit="1" customWidth="1"/>
    <col min="7" max="7" width="16.140625" style="70" bestFit="1" customWidth="1"/>
    <col min="8" max="16384" width="9.140625" style="70"/>
  </cols>
  <sheetData>
    <row r="1" spans="1:7">
      <c r="A1" s="797" t="s">
        <v>1023</v>
      </c>
      <c r="B1" s="631"/>
      <c r="C1" s="631"/>
      <c r="D1" s="631"/>
      <c r="E1" s="631"/>
      <c r="F1" s="631"/>
      <c r="G1" s="631"/>
    </row>
    <row r="2" spans="1:7" ht="75" customHeight="1">
      <c r="A2" s="98" t="s">
        <v>265</v>
      </c>
      <c r="B2" s="98" t="s">
        <v>266</v>
      </c>
      <c r="C2" s="98" t="s">
        <v>267</v>
      </c>
      <c r="D2" s="98" t="s">
        <v>268</v>
      </c>
      <c r="E2" s="98" t="s">
        <v>269</v>
      </c>
      <c r="F2" s="98" t="s">
        <v>270</v>
      </c>
      <c r="G2" s="98" t="s">
        <v>271</v>
      </c>
    </row>
    <row r="3" spans="1:7" ht="36" customHeight="1">
      <c r="A3" s="597" t="s">
        <v>272</v>
      </c>
      <c r="B3" s="99">
        <f>'Attachment III-All'!G118</f>
        <v>0</v>
      </c>
      <c r="C3" s="99">
        <f>'Attachment III-All'!H118</f>
        <v>0</v>
      </c>
      <c r="D3" s="598">
        <f>'Attachment III-All'!L118</f>
        <v>59270451.324722946</v>
      </c>
      <c r="E3" s="599">
        <f>D3/D13</f>
        <v>3.9563079854595604E-2</v>
      </c>
      <c r="F3" s="600">
        <f>D3</f>
        <v>59270451.324722946</v>
      </c>
      <c r="G3" s="599">
        <f>F3/F13</f>
        <v>8.1789745257366028E-2</v>
      </c>
    </row>
    <row r="4" spans="1:7" ht="36" customHeight="1">
      <c r="A4" s="597" t="s">
        <v>64</v>
      </c>
      <c r="B4" s="99">
        <f>'Attachment III-All'!G109</f>
        <v>1012489.6263239929</v>
      </c>
      <c r="C4" s="99">
        <f>'Attachment III-All'!H109</f>
        <v>13494384.014800301</v>
      </c>
      <c r="D4" s="598">
        <f>'Attachment III-All'!L109</f>
        <v>86287119.515813619</v>
      </c>
      <c r="E4" s="599">
        <f>D4/D13</f>
        <v>5.7596730301987906E-2</v>
      </c>
      <c r="F4" s="600">
        <f>D4</f>
        <v>86287119.515813619</v>
      </c>
      <c r="G4" s="599">
        <f>F4/F13</f>
        <v>0.11907116221412173</v>
      </c>
    </row>
    <row r="5" spans="1:7" ht="36" customHeight="1">
      <c r="A5" s="597" t="s">
        <v>273</v>
      </c>
      <c r="B5" s="99">
        <f>'Attachment III-All'!G110</f>
        <v>6594984.1769428477</v>
      </c>
      <c r="C5" s="99">
        <f>'Attachment III-All'!H110</f>
        <v>225259.59244663682</v>
      </c>
      <c r="D5" s="598">
        <f>'Attachment III-All'!L110</f>
        <v>420486081.10513693</v>
      </c>
      <c r="E5" s="599">
        <f>D5/D13</f>
        <v>0.28067483936248327</v>
      </c>
      <c r="F5" s="601">
        <f>D5-'DME_NSPI-all'!E54</f>
        <v>110938099.87313718</v>
      </c>
      <c r="G5" s="599">
        <f>F5/F13</f>
        <v>0.1530880687621039</v>
      </c>
    </row>
    <row r="6" spans="1:7" ht="36" customHeight="1">
      <c r="A6" s="597" t="s">
        <v>274</v>
      </c>
      <c r="B6" s="99">
        <f>'Attachment III-All'!G111</f>
        <v>2553468.9455105043</v>
      </c>
      <c r="C6" s="99">
        <f>'Attachment III-All'!H111</f>
        <v>858131.38685491262</v>
      </c>
      <c r="D6" s="598">
        <f>'Attachment III-All'!L111</f>
        <v>393614095.95343757</v>
      </c>
      <c r="E6" s="599">
        <f>D6/D13</f>
        <v>0.26273776497471441</v>
      </c>
      <c r="F6" s="601">
        <f>D6</f>
        <v>393614095.95343757</v>
      </c>
      <c r="G6" s="599">
        <f>F6/F13</f>
        <v>0.54316435792537088</v>
      </c>
    </row>
    <row r="7" spans="1:7" ht="36" customHeight="1">
      <c r="A7" s="597" t="s">
        <v>67</v>
      </c>
      <c r="B7" s="99">
        <f>'Attachment III-All'!G112</f>
        <v>128704.32353069747</v>
      </c>
      <c r="C7" s="99">
        <f>'Attachment III-All'!H112</f>
        <v>4440</v>
      </c>
      <c r="D7" s="598">
        <f>'Attachment III-All'!L112</f>
        <v>9998832.5372998808</v>
      </c>
      <c r="E7" s="599">
        <f>D7/D13</f>
        <v>6.6742297600983066E-3</v>
      </c>
      <c r="F7" s="601">
        <f t="shared" ref="F7:F11" si="0">D7</f>
        <v>9998832.5372998808</v>
      </c>
      <c r="G7" s="599">
        <f>F7/F13</f>
        <v>1.3797802240721215E-2</v>
      </c>
    </row>
    <row r="8" spans="1:7" ht="36" customHeight="1">
      <c r="A8" s="597" t="s">
        <v>68</v>
      </c>
      <c r="B8" s="99">
        <f>'Attachment III-All'!G113</f>
        <v>46548.006445601153</v>
      </c>
      <c r="C8" s="99">
        <f>'Attachment III-All'!H113</f>
        <v>178978.00990621652</v>
      </c>
      <c r="D8" s="598">
        <f>'Attachment III-All'!L113</f>
        <v>16484643.394073419</v>
      </c>
      <c r="E8" s="599">
        <f>D8/D13</f>
        <v>1.1003514371793206E-2</v>
      </c>
      <c r="F8" s="601">
        <f t="shared" si="0"/>
        <v>16484643.394073419</v>
      </c>
      <c r="G8" s="599">
        <f>F8/F13</f>
        <v>2.2747840681574039E-2</v>
      </c>
    </row>
    <row r="9" spans="1:7" ht="36" customHeight="1">
      <c r="A9" s="597" t="s">
        <v>25</v>
      </c>
      <c r="B9" s="99">
        <f>'Attachment III-All'!G114</f>
        <v>177076.62068452488</v>
      </c>
      <c r="C9" s="99">
        <f>'Attachment III-All'!H114</f>
        <v>583446.79841001681</v>
      </c>
      <c r="D9" s="598">
        <f>'Attachment III-All'!L114</f>
        <v>17530347.490520179</v>
      </c>
      <c r="E9" s="599">
        <f>D9/D13</f>
        <v>1.1701522801750009E-2</v>
      </c>
      <c r="F9" s="601">
        <f t="shared" si="0"/>
        <v>17530347.490520179</v>
      </c>
      <c r="G9" s="599">
        <f>F9/F13</f>
        <v>2.4190850980152435E-2</v>
      </c>
    </row>
    <row r="10" spans="1:7" ht="36" customHeight="1">
      <c r="A10" s="597" t="s">
        <v>61</v>
      </c>
      <c r="B10" s="99">
        <f>'Attachment III-All'!G115</f>
        <v>78721.616666704969</v>
      </c>
      <c r="C10" s="99">
        <f>'Attachment III-All'!H115</f>
        <v>1560.6155844616028</v>
      </c>
      <c r="D10" s="598">
        <f>'Attachment III-All'!L115</f>
        <v>8529825.2973066885</v>
      </c>
      <c r="E10" s="599">
        <f>D10/D13</f>
        <v>5.6936660990521259E-3</v>
      </c>
      <c r="F10" s="601">
        <f t="shared" si="0"/>
        <v>8529825.2973066885</v>
      </c>
      <c r="G10" s="599">
        <f>F10/F13</f>
        <v>1.1770658440482385E-2</v>
      </c>
    </row>
    <row r="11" spans="1:7" ht="36" customHeight="1">
      <c r="A11" s="597" t="s">
        <v>275</v>
      </c>
      <c r="B11" s="99">
        <f>'Attachment III-All'!G117</f>
        <v>40924</v>
      </c>
      <c r="C11" s="99">
        <f>'Attachment III-All'!H117</f>
        <v>13702</v>
      </c>
      <c r="D11" s="598">
        <f>'Attachment III-All'!L117</f>
        <v>2090806.4473761511</v>
      </c>
      <c r="E11" s="599">
        <f>D11/D13</f>
        <v>1.3956151942366313E-3</v>
      </c>
      <c r="F11" s="601">
        <f t="shared" si="0"/>
        <v>2090806.4473761511</v>
      </c>
      <c r="G11" s="599">
        <f>F11/F13</f>
        <v>2.8851902236489879E-3</v>
      </c>
    </row>
    <row r="12" spans="1:7" ht="36" customHeight="1">
      <c r="A12" s="597" t="s">
        <v>276</v>
      </c>
      <c r="B12" s="99">
        <f>'Attachment III-All'!G116</f>
        <v>0</v>
      </c>
      <c r="C12" s="99">
        <f>'Attachment III-All'!H116</f>
        <v>0</v>
      </c>
      <c r="D12" s="598">
        <f>'Attachment III-All'!L116</f>
        <v>483833108.27399999</v>
      </c>
      <c r="E12" s="599">
        <f>D12/D13</f>
        <v>0.32295903727928871</v>
      </c>
      <c r="F12" s="601">
        <f>D12-'Rate Support-Attachment I'!E57</f>
        <v>19924269.77510643</v>
      </c>
      <c r="G12" s="599">
        <f>F12/F13</f>
        <v>2.7494323274458544E-2</v>
      </c>
    </row>
    <row r="13" spans="1:7">
      <c r="A13" s="597" t="s">
        <v>215</v>
      </c>
      <c r="B13" s="598">
        <f t="shared" ref="B13:G13" si="1">SUM(B3:B12)</f>
        <v>10632917.316104874</v>
      </c>
      <c r="C13" s="602">
        <f t="shared" si="1"/>
        <v>15359902.418002544</v>
      </c>
      <c r="D13" s="602">
        <f t="shared" si="1"/>
        <v>1498125311.3396871</v>
      </c>
      <c r="E13" s="599">
        <f t="shared" si="1"/>
        <v>1.0000000000000002</v>
      </c>
      <c r="F13" s="600">
        <f t="shared" si="1"/>
        <v>724668491.60879397</v>
      </c>
      <c r="G13" s="599">
        <f t="shared" si="1"/>
        <v>1</v>
      </c>
    </row>
  </sheetData>
  <mergeCells count="1">
    <mergeCell ref="A1:G1"/>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118" zoomScale="70" zoomScaleNormal="70" zoomScaleSheetLayoutView="70" workbookViewId="0">
      <selection activeCell="A36" sqref="A36:XFD36"/>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53" t="s">
        <v>191</v>
      </c>
      <c r="D5" s="665"/>
      <c r="E5" s="665"/>
      <c r="F5" s="665"/>
      <c r="G5" s="675"/>
    </row>
    <row r="6" spans="1:11" ht="18" customHeight="1">
      <c r="B6" s="5" t="s">
        <v>3</v>
      </c>
      <c r="C6" s="671">
        <v>3478</v>
      </c>
      <c r="D6" s="795"/>
      <c r="E6" s="795"/>
      <c r="F6" s="795"/>
      <c r="G6" s="796"/>
    </row>
    <row r="7" spans="1:11" ht="18" customHeight="1">
      <c r="B7" s="5" t="s">
        <v>4</v>
      </c>
      <c r="C7" s="676" t="s">
        <v>200</v>
      </c>
      <c r="D7" s="660"/>
      <c r="E7" s="660"/>
      <c r="F7" s="660"/>
      <c r="G7" s="661"/>
    </row>
    <row r="9" spans="1:11" ht="18" customHeight="1">
      <c r="B9" s="5" t="s">
        <v>1</v>
      </c>
      <c r="C9" s="727" t="s">
        <v>188</v>
      </c>
      <c r="D9" s="683"/>
      <c r="E9" s="683"/>
      <c r="F9" s="683"/>
      <c r="G9" s="684"/>
    </row>
    <row r="10" spans="1:11" ht="18" customHeight="1">
      <c r="B10" s="5" t="s">
        <v>2</v>
      </c>
      <c r="C10" s="728" t="s">
        <v>189</v>
      </c>
      <c r="D10" s="678"/>
      <c r="E10" s="678"/>
      <c r="F10" s="678"/>
      <c r="G10" s="679"/>
    </row>
    <row r="11" spans="1:11" ht="18" customHeight="1">
      <c r="B11" s="5" t="s">
        <v>32</v>
      </c>
      <c r="C11" s="728" t="s">
        <v>190</v>
      </c>
      <c r="D11" s="678"/>
      <c r="E11" s="678"/>
      <c r="F11" s="678"/>
      <c r="G11" s="679"/>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1" t="s">
        <v>183</v>
      </c>
      <c r="F18" s="14" t="s">
        <v>73</v>
      </c>
      <c r="G18" s="14" t="s">
        <v>73</v>
      </c>
      <c r="H18" s="15">
        <f>+'[12]CB List '!$AI$161</f>
        <v>0</v>
      </c>
      <c r="I18" s="50">
        <v>0</v>
      </c>
      <c r="J18" s="15"/>
      <c r="K18" s="16">
        <f>(H18+I18)-J18</f>
        <v>0</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1" t="s">
        <v>42</v>
      </c>
      <c r="F21" s="14"/>
      <c r="G21" s="14"/>
      <c r="H21" s="15">
        <f>+'[12]CB List '!$AI$162</f>
        <v>15722.76111165861</v>
      </c>
      <c r="I21" s="50">
        <f t="shared" ref="I21:I34" si="0">H21*F$114</f>
        <v>16122.193730010378</v>
      </c>
      <c r="J21" s="15">
        <f>-'[12]CB List '!$AK$162</f>
        <v>1139.9408455500002</v>
      </c>
      <c r="K21" s="16">
        <f t="shared" ref="K21:K34" si="1">(H21+I21)-J21</f>
        <v>30705.013996118985</v>
      </c>
    </row>
    <row r="22" spans="1:11" ht="18" customHeight="1">
      <c r="A22" s="5" t="s">
        <v>76</v>
      </c>
      <c r="B22" t="s">
        <v>6</v>
      </c>
      <c r="F22" s="14"/>
      <c r="G22" s="14"/>
      <c r="H22" s="15">
        <f>+'[12]CB List '!$AI$163</f>
        <v>796.48894844999995</v>
      </c>
      <c r="I22" s="50">
        <f t="shared" si="0"/>
        <v>816.72354108346065</v>
      </c>
      <c r="J22" s="15">
        <f>-'[12]CB List '!$AK$163</f>
        <v>112.28565465000001</v>
      </c>
      <c r="K22" s="16">
        <f t="shared" si="1"/>
        <v>1500.9268348834605</v>
      </c>
    </row>
    <row r="23" spans="1:11" ht="18" customHeight="1">
      <c r="A23" s="5" t="s">
        <v>77</v>
      </c>
      <c r="B23" t="s">
        <v>43</v>
      </c>
      <c r="F23" s="14"/>
      <c r="G23" s="14"/>
      <c r="H23" s="15">
        <f>+'[12]CB List '!$AI$164</f>
        <v>0</v>
      </c>
      <c r="I23" s="50">
        <f t="shared" si="0"/>
        <v>0</v>
      </c>
      <c r="J23" s="15">
        <f>-'[12]CB List '!$AK$164</f>
        <v>0</v>
      </c>
      <c r="K23" s="16">
        <f t="shared" si="1"/>
        <v>0</v>
      </c>
    </row>
    <row r="24" spans="1:11" ht="18" customHeight="1">
      <c r="A24" s="5" t="s">
        <v>78</v>
      </c>
      <c r="B24" t="s">
        <v>44</v>
      </c>
      <c r="F24" s="14"/>
      <c r="G24" s="14"/>
      <c r="H24" s="15">
        <f>+'[12]CB List '!$AI$165</f>
        <v>1426.9158154764643</v>
      </c>
      <c r="I24" s="50">
        <f t="shared" si="0"/>
        <v>1463.1662371610298</v>
      </c>
      <c r="J24" s="15">
        <f>-'[12]CB List '!$AK$165</f>
        <v>0</v>
      </c>
      <c r="K24" s="16">
        <f t="shared" si="1"/>
        <v>2890.0820526374941</v>
      </c>
    </row>
    <row r="25" spans="1:11" ht="18" customHeight="1">
      <c r="A25" s="5" t="s">
        <v>79</v>
      </c>
      <c r="B25" t="s">
        <v>5</v>
      </c>
      <c r="F25" s="14"/>
      <c r="G25" s="14"/>
      <c r="H25" s="15">
        <f>+'[12]CB List '!$AI$166</f>
        <v>3772.6671001500008</v>
      </c>
      <c r="I25" s="50">
        <f t="shared" si="0"/>
        <v>3868.5107173925908</v>
      </c>
      <c r="J25" s="15">
        <f>-'[12]CB List '!$AK$166</f>
        <v>403.24200930000006</v>
      </c>
      <c r="K25" s="16">
        <f t="shared" si="1"/>
        <v>7237.9358082425915</v>
      </c>
    </row>
    <row r="26" spans="1:11" ht="18" customHeight="1">
      <c r="A26" s="5" t="s">
        <v>80</v>
      </c>
      <c r="B26" t="s">
        <v>45</v>
      </c>
      <c r="F26" s="14"/>
      <c r="G26" s="14"/>
      <c r="H26" s="15">
        <f>+'[12]CB List '!$AI$167</f>
        <v>0</v>
      </c>
      <c r="I26" s="50">
        <f t="shared" si="0"/>
        <v>0</v>
      </c>
      <c r="J26" s="15">
        <f>-'[12]CB List '!$AK$167</f>
        <v>0</v>
      </c>
      <c r="K26" s="16">
        <f t="shared" si="1"/>
        <v>0</v>
      </c>
    </row>
    <row r="27" spans="1:11" ht="18" customHeight="1">
      <c r="A27" s="5" t="s">
        <v>81</v>
      </c>
      <c r="B27" t="s">
        <v>46</v>
      </c>
      <c r="F27" s="14"/>
      <c r="G27" s="14"/>
      <c r="H27" s="15">
        <f>+'[12]CB List '!$AI$168</f>
        <v>0</v>
      </c>
      <c r="I27" s="50">
        <f t="shared" si="0"/>
        <v>0</v>
      </c>
      <c r="J27" s="15">
        <f>-'[12]CB List '!$AK$168</f>
        <v>0</v>
      </c>
      <c r="K27" s="16">
        <f t="shared" si="1"/>
        <v>0</v>
      </c>
    </row>
    <row r="28" spans="1:11" ht="18" customHeight="1">
      <c r="A28" s="5" t="s">
        <v>82</v>
      </c>
      <c r="B28" t="s">
        <v>47</v>
      </c>
      <c r="F28" s="14"/>
      <c r="G28" s="14"/>
      <c r="H28" s="15">
        <f>+'[12]CB List '!$AI$169</f>
        <v>0</v>
      </c>
      <c r="I28" s="50">
        <f t="shared" si="0"/>
        <v>0</v>
      </c>
      <c r="J28" s="15">
        <f>-'[12]CB List '!$AK$169</f>
        <v>0</v>
      </c>
      <c r="K28" s="16">
        <f t="shared" si="1"/>
        <v>0</v>
      </c>
    </row>
    <row r="29" spans="1:11" ht="18" customHeight="1">
      <c r="A29" s="5" t="s">
        <v>83</v>
      </c>
      <c r="B29" t="s">
        <v>48</v>
      </c>
      <c r="F29" s="14"/>
      <c r="G29" s="14"/>
      <c r="H29" s="15">
        <f>+'[12]CB List '!$AI$170</f>
        <v>5986.2593560200357</v>
      </c>
      <c r="I29" s="50">
        <f t="shared" si="0"/>
        <v>6138.3387033895515</v>
      </c>
      <c r="J29" s="15">
        <f>-'[12]CB List '!$AK$170</f>
        <v>1524.5006692499999</v>
      </c>
      <c r="K29" s="16">
        <f t="shared" si="1"/>
        <v>10600.097390159588</v>
      </c>
    </row>
    <row r="30" spans="1:11" ht="18" customHeight="1">
      <c r="A30" s="5" t="s">
        <v>84</v>
      </c>
      <c r="B30" s="636" t="s">
        <v>199</v>
      </c>
      <c r="C30" s="637"/>
      <c r="D30" s="638"/>
      <c r="F30" s="14"/>
      <c r="G30" s="14"/>
      <c r="H30" s="15">
        <f>+'[12]CB List '!$AI$171</f>
        <v>727.25942322305957</v>
      </c>
      <c r="I30" s="50">
        <f t="shared" si="0"/>
        <v>745.73525794292823</v>
      </c>
      <c r="J30" s="15">
        <f>-'[12]CB List '!$AK$171</f>
        <v>99.151614900000013</v>
      </c>
      <c r="K30" s="16">
        <f t="shared" si="1"/>
        <v>1373.843066265988</v>
      </c>
    </row>
    <row r="31" spans="1:11" ht="18" customHeight="1">
      <c r="A31" s="5" t="s">
        <v>133</v>
      </c>
      <c r="B31" s="636"/>
      <c r="C31" s="637"/>
      <c r="D31" s="638"/>
      <c r="F31" s="14"/>
      <c r="G31" s="14"/>
      <c r="H31" s="15">
        <f>+'[12]CB List '!$AI$172</f>
        <v>0</v>
      </c>
      <c r="I31" s="50">
        <f t="shared" si="0"/>
        <v>0</v>
      </c>
      <c r="J31" s="15">
        <f>-'[12]CB List '!$AK$172</f>
        <v>0</v>
      </c>
      <c r="K31" s="16">
        <f t="shared" si="1"/>
        <v>0</v>
      </c>
    </row>
    <row r="32" spans="1:11" ht="18" customHeight="1">
      <c r="A32" s="5" t="s">
        <v>134</v>
      </c>
      <c r="B32" s="29"/>
      <c r="C32" s="30"/>
      <c r="D32" s="31"/>
      <c r="F32" s="14"/>
      <c r="G32" s="52"/>
      <c r="H32" s="15"/>
      <c r="I32" s="50">
        <f t="shared" si="0"/>
        <v>0</v>
      </c>
      <c r="J32" s="15"/>
      <c r="K32" s="16">
        <f t="shared" si="1"/>
        <v>0</v>
      </c>
    </row>
    <row r="33" spans="1:11" ht="18" customHeight="1">
      <c r="A33" s="5" t="s">
        <v>135</v>
      </c>
      <c r="B33" s="29"/>
      <c r="C33" s="30"/>
      <c r="D33" s="31"/>
      <c r="F33" s="14"/>
      <c r="G33" s="52"/>
      <c r="H33" s="15"/>
      <c r="I33" s="50">
        <f t="shared" si="0"/>
        <v>0</v>
      </c>
      <c r="J33" s="15"/>
      <c r="K33" s="16">
        <f t="shared" si="1"/>
        <v>0</v>
      </c>
    </row>
    <row r="34" spans="1:11" ht="18" customHeight="1">
      <c r="A34" s="5" t="s">
        <v>136</v>
      </c>
      <c r="B34" s="636"/>
      <c r="C34" s="637"/>
      <c r="D34" s="638"/>
      <c r="F34" s="14"/>
      <c r="G34" s="5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0</v>
      </c>
      <c r="G36" s="18">
        <f t="shared" si="2"/>
        <v>0</v>
      </c>
      <c r="H36" s="18">
        <f t="shared" si="2"/>
        <v>28432.351754978168</v>
      </c>
      <c r="I36" s="16">
        <f t="shared" si="2"/>
        <v>29154.668186979939</v>
      </c>
      <c r="J36" s="16">
        <f t="shared" si="2"/>
        <v>3279.12079365</v>
      </c>
      <c r="K36" s="16">
        <f t="shared" si="2"/>
        <v>54307.899148308104</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c r="G40" s="14"/>
      <c r="H40" s="15">
        <f>+'[12]CB List '!$AI$173</f>
        <v>0</v>
      </c>
      <c r="I40" s="50">
        <v>0</v>
      </c>
      <c r="J40" s="15">
        <f>-'[12]CB List '!$AK$173</f>
        <v>0</v>
      </c>
      <c r="K40" s="16">
        <f t="shared" ref="K40:K47" si="3">(H40+I40)-J40</f>
        <v>0</v>
      </c>
    </row>
    <row r="41" spans="1:11" ht="18" customHeight="1">
      <c r="A41" s="5" t="s">
        <v>88</v>
      </c>
      <c r="B41" s="794" t="s">
        <v>50</v>
      </c>
      <c r="C41" s="649"/>
      <c r="F41" s="14"/>
      <c r="G41" s="14"/>
      <c r="H41" s="15">
        <f>+'[12]CB List '!$AI$174</f>
        <v>0</v>
      </c>
      <c r="I41" s="50">
        <v>0</v>
      </c>
      <c r="J41" s="68">
        <f>-'[12]CB List '!$AK$174</f>
        <v>0</v>
      </c>
      <c r="K41" s="16">
        <f t="shared" si="3"/>
        <v>0</v>
      </c>
    </row>
    <row r="42" spans="1:11" ht="18" customHeight="1">
      <c r="A42" s="5" t="s">
        <v>89</v>
      </c>
      <c r="B42" s="1" t="s">
        <v>11</v>
      </c>
      <c r="F42" s="14"/>
      <c r="G42" s="14"/>
      <c r="H42" s="15">
        <f>+'[12]CB List '!$AI$175</f>
        <v>3207.516858</v>
      </c>
      <c r="I42" s="50">
        <v>0</v>
      </c>
      <c r="J42" s="15">
        <f>-'[12]CB List '!$AK$175</f>
        <v>512.37888974999998</v>
      </c>
      <c r="K42" s="16">
        <f t="shared" si="3"/>
        <v>2695.1379682500001</v>
      </c>
    </row>
    <row r="43" spans="1:11" ht="18" customHeight="1">
      <c r="A43" s="5" t="s">
        <v>90</v>
      </c>
      <c r="B43" s="47" t="s">
        <v>10</v>
      </c>
      <c r="C43" s="10"/>
      <c r="D43" s="10"/>
      <c r="F43" s="14"/>
      <c r="G43" s="14"/>
      <c r="H43" s="15">
        <f>+'[12]CB List '!$AI$176</f>
        <v>0</v>
      </c>
      <c r="I43" s="50">
        <v>0</v>
      </c>
      <c r="J43" s="15">
        <f>-'[12]CB List '!$AK$176</f>
        <v>0</v>
      </c>
      <c r="K43" s="16">
        <f t="shared" si="3"/>
        <v>0</v>
      </c>
    </row>
    <row r="44" spans="1:11" ht="18" customHeight="1">
      <c r="A44" s="5" t="s">
        <v>91</v>
      </c>
      <c r="B44" s="636"/>
      <c r="C44" s="637"/>
      <c r="D44" s="638"/>
      <c r="F44" s="54"/>
      <c r="G44" s="54"/>
      <c r="H44" s="54">
        <f>+'[12]CB List '!$AI$177</f>
        <v>0</v>
      </c>
      <c r="I44" s="55">
        <v>0</v>
      </c>
      <c r="J44" s="54">
        <f>-'[12]CB List '!$AK$177</f>
        <v>0</v>
      </c>
      <c r="K44" s="56">
        <f t="shared" si="3"/>
        <v>0</v>
      </c>
    </row>
    <row r="45" spans="1:11" ht="18" customHeight="1">
      <c r="A45" s="5" t="s">
        <v>139</v>
      </c>
      <c r="B45" s="636"/>
      <c r="C45" s="637"/>
      <c r="D45" s="638"/>
      <c r="F45" s="14"/>
      <c r="G45" s="14"/>
      <c r="H45" s="15">
        <f>+'[12]CB List '!$AI$178</f>
        <v>0</v>
      </c>
      <c r="I45" s="50">
        <v>0</v>
      </c>
      <c r="J45" s="15">
        <f>-'[12]CB List '!$AK$178</f>
        <v>0</v>
      </c>
      <c r="K45" s="16">
        <f t="shared" si="3"/>
        <v>0</v>
      </c>
    </row>
    <row r="46" spans="1:11" ht="18" customHeight="1">
      <c r="A46" s="5" t="s">
        <v>140</v>
      </c>
      <c r="B46" s="636"/>
      <c r="C46" s="637"/>
      <c r="D46" s="638"/>
      <c r="F46" s="14"/>
      <c r="G46" s="14"/>
      <c r="H46" s="15"/>
      <c r="I46" s="50">
        <v>0</v>
      </c>
      <c r="J46" s="15"/>
      <c r="K46" s="16">
        <f t="shared" si="3"/>
        <v>0</v>
      </c>
    </row>
    <row r="47" spans="1:11" ht="18" customHeight="1">
      <c r="A47" s="5" t="s">
        <v>141</v>
      </c>
      <c r="B47" s="636"/>
      <c r="C47" s="637"/>
      <c r="D47" s="638"/>
      <c r="F47" s="14"/>
      <c r="G47" s="14"/>
      <c r="H47" s="15"/>
      <c r="I47" s="50">
        <v>0</v>
      </c>
      <c r="J47" s="15"/>
      <c r="K47" s="16">
        <f t="shared" si="3"/>
        <v>0</v>
      </c>
    </row>
    <row r="49" spans="1:11" ht="18" customHeight="1">
      <c r="A49" s="6" t="s">
        <v>142</v>
      </c>
      <c r="B49" s="2" t="s">
        <v>143</v>
      </c>
      <c r="E49" s="2" t="s">
        <v>7</v>
      </c>
      <c r="F49" s="23">
        <f t="shared" ref="F49:K49" si="4">SUM(F40:F47)</f>
        <v>0</v>
      </c>
      <c r="G49" s="23">
        <f t="shared" si="4"/>
        <v>0</v>
      </c>
      <c r="H49" s="16">
        <f t="shared" si="4"/>
        <v>3207.516858</v>
      </c>
      <c r="I49" s="16">
        <f t="shared" si="4"/>
        <v>0</v>
      </c>
      <c r="J49" s="16">
        <f t="shared" si="4"/>
        <v>512.37888974999998</v>
      </c>
      <c r="K49" s="16">
        <f t="shared" si="4"/>
        <v>2695.1379682500001</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42" t="s">
        <v>192</v>
      </c>
      <c r="C53" s="643"/>
      <c r="D53" s="644"/>
      <c r="F53" s="14"/>
      <c r="G53" s="14"/>
      <c r="H53" s="15">
        <f>+'[12]CB List '!$AI$179</f>
        <v>0</v>
      </c>
      <c r="I53" s="50">
        <v>0</v>
      </c>
      <c r="J53" s="15"/>
      <c r="K53" s="16">
        <f t="shared" ref="K53:K62" si="5">(H53+I53)-J53</f>
        <v>0</v>
      </c>
    </row>
    <row r="54" spans="1:11" ht="18" customHeight="1">
      <c r="A54" s="5" t="s">
        <v>93</v>
      </c>
      <c r="B54" s="65" t="s">
        <v>193</v>
      </c>
      <c r="C54" s="66"/>
      <c r="D54" s="67"/>
      <c r="F54" s="14"/>
      <c r="G54" s="14"/>
      <c r="H54" s="15">
        <f>+'[12]CB List '!$AI$180</f>
        <v>501212.70179670758</v>
      </c>
      <c r="I54" s="50">
        <v>0</v>
      </c>
      <c r="J54" s="15"/>
      <c r="K54" s="16">
        <f t="shared" si="5"/>
        <v>501212.70179670758</v>
      </c>
    </row>
    <row r="55" spans="1:11" ht="18" customHeight="1">
      <c r="A55" s="5" t="s">
        <v>94</v>
      </c>
      <c r="B55" s="642" t="s">
        <v>194</v>
      </c>
      <c r="C55" s="643"/>
      <c r="D55" s="644"/>
      <c r="F55" s="14"/>
      <c r="G55" s="14"/>
      <c r="H55" s="15">
        <f>+'[12]CB List '!$AI$181</f>
        <v>0</v>
      </c>
      <c r="I55" s="50">
        <v>0</v>
      </c>
      <c r="J55" s="15"/>
      <c r="K55" s="16">
        <f t="shared" si="5"/>
        <v>0</v>
      </c>
    </row>
    <row r="56" spans="1:11" ht="18" customHeight="1">
      <c r="A56" s="5" t="s">
        <v>95</v>
      </c>
      <c r="B56" s="642" t="s">
        <v>195</v>
      </c>
      <c r="C56" s="643"/>
      <c r="D56" s="644"/>
      <c r="F56" s="14"/>
      <c r="G56" s="14"/>
      <c r="H56" s="15">
        <f>+'[12]CB List '!$AI$182</f>
        <v>0</v>
      </c>
      <c r="I56" s="50">
        <v>0</v>
      </c>
      <c r="J56" s="15"/>
      <c r="K56" s="16">
        <f t="shared" si="5"/>
        <v>0</v>
      </c>
    </row>
    <row r="57" spans="1:11" ht="18" customHeight="1">
      <c r="A57" s="5" t="s">
        <v>96</v>
      </c>
      <c r="B57" s="642" t="s">
        <v>196</v>
      </c>
      <c r="C57" s="643"/>
      <c r="D57" s="644"/>
      <c r="F57" s="14"/>
      <c r="G57" s="14"/>
      <c r="H57" s="15">
        <f>+'[12]CB List '!$AI$183</f>
        <v>324565.93</v>
      </c>
      <c r="I57" s="50">
        <v>0</v>
      </c>
      <c r="J57" s="15"/>
      <c r="K57" s="16">
        <f t="shared" si="5"/>
        <v>324565.93</v>
      </c>
    </row>
    <row r="58" spans="1:11" ht="18" customHeight="1">
      <c r="A58" s="5" t="s">
        <v>97</v>
      </c>
      <c r="B58" s="65"/>
      <c r="C58" s="66"/>
      <c r="D58" s="67"/>
      <c r="F58" s="14"/>
      <c r="G58" s="14"/>
      <c r="H58" s="15">
        <f>+'[12]CB List '!$AI$184</f>
        <v>0</v>
      </c>
      <c r="I58" s="50">
        <v>0</v>
      </c>
      <c r="J58" s="15"/>
      <c r="K58" s="16">
        <f t="shared" si="5"/>
        <v>0</v>
      </c>
    </row>
    <row r="59" spans="1:11" ht="18" customHeight="1">
      <c r="A59" s="5" t="s">
        <v>98</v>
      </c>
      <c r="B59" s="642"/>
      <c r="C59" s="643"/>
      <c r="D59" s="644"/>
      <c r="F59" s="14"/>
      <c r="G59" s="14"/>
      <c r="H59" s="15"/>
      <c r="I59" s="50">
        <v>0</v>
      </c>
      <c r="J59" s="15"/>
      <c r="K59" s="16">
        <f t="shared" si="5"/>
        <v>0</v>
      </c>
    </row>
    <row r="60" spans="1:11" ht="18" customHeight="1">
      <c r="A60" s="5" t="s">
        <v>99</v>
      </c>
      <c r="B60" s="26"/>
      <c r="C60" s="27"/>
      <c r="D60" s="28"/>
      <c r="F60" s="14"/>
      <c r="G60" s="14"/>
      <c r="H60" s="15"/>
      <c r="I60" s="50">
        <v>0</v>
      </c>
      <c r="J60" s="15"/>
      <c r="K60" s="16">
        <f t="shared" si="5"/>
        <v>0</v>
      </c>
    </row>
    <row r="61" spans="1:11" ht="18" customHeight="1">
      <c r="A61" s="5" t="s">
        <v>100</v>
      </c>
      <c r="B61" s="26"/>
      <c r="C61" s="27"/>
      <c r="D61" s="28"/>
      <c r="F61" s="14"/>
      <c r="G61" s="14"/>
      <c r="H61" s="15"/>
      <c r="I61" s="50">
        <v>0</v>
      </c>
      <c r="J61" s="15"/>
      <c r="K61" s="16">
        <f t="shared" si="5"/>
        <v>0</v>
      </c>
    </row>
    <row r="62" spans="1:11" ht="18" customHeight="1">
      <c r="A62" s="5" t="s">
        <v>101</v>
      </c>
      <c r="B62" s="642"/>
      <c r="C62" s="643"/>
      <c r="D62" s="644"/>
      <c r="F62" s="14"/>
      <c r="G62" s="14"/>
      <c r="H62" s="15"/>
      <c r="I62" s="50">
        <v>0</v>
      </c>
      <c r="J62" s="15"/>
      <c r="K62" s="16">
        <f t="shared" si="5"/>
        <v>0</v>
      </c>
    </row>
    <row r="63" spans="1:11" ht="18" customHeight="1">
      <c r="A63" s="5"/>
      <c r="I63" s="46"/>
    </row>
    <row r="64" spans="1:11" ht="18" customHeight="1">
      <c r="A64" s="5" t="s">
        <v>144</v>
      </c>
      <c r="B64" s="2" t="s">
        <v>145</v>
      </c>
      <c r="E64" s="2" t="s">
        <v>7</v>
      </c>
      <c r="F64" s="18">
        <f t="shared" ref="F64:K64" si="6">SUM(F53:F62)</f>
        <v>0</v>
      </c>
      <c r="G64" s="18">
        <f t="shared" si="6"/>
        <v>0</v>
      </c>
      <c r="H64" s="16">
        <f t="shared" si="6"/>
        <v>825778.63179670763</v>
      </c>
      <c r="I64" s="16">
        <f t="shared" si="6"/>
        <v>0</v>
      </c>
      <c r="J64" s="16">
        <f t="shared" si="6"/>
        <v>0</v>
      </c>
      <c r="K64" s="16">
        <f t="shared" si="6"/>
        <v>825778.63179670763</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69"/>
      <c r="G68" s="69"/>
      <c r="H68" s="69">
        <f>+'[12]CB List '!$AI$185</f>
        <v>11.934843229077439</v>
      </c>
      <c r="I68" s="50">
        <f>+'[12]CB List '!$AJ$185</f>
        <v>0</v>
      </c>
      <c r="J68" s="51"/>
      <c r="K68" s="16">
        <f>(H68+I68)-J68</f>
        <v>11.934843229077439</v>
      </c>
    </row>
    <row r="69" spans="1:11" ht="18" customHeight="1">
      <c r="A69" s="5" t="s">
        <v>104</v>
      </c>
      <c r="B69" s="1" t="s">
        <v>53</v>
      </c>
      <c r="F69" s="69"/>
      <c r="G69" s="69"/>
      <c r="H69" s="69">
        <f>+'[12]CB List '!$AI$186</f>
        <v>0</v>
      </c>
      <c r="I69" s="50">
        <f>+'[12]CB List '!$AJ$186</f>
        <v>0</v>
      </c>
      <c r="J69" s="51"/>
      <c r="K69" s="16">
        <f>(H69+I69)-J69</f>
        <v>0</v>
      </c>
    </row>
    <row r="70" spans="1:11" ht="18" customHeight="1">
      <c r="A70" s="5" t="s">
        <v>178</v>
      </c>
      <c r="B70" s="26"/>
      <c r="C70" s="27"/>
      <c r="D70" s="28"/>
      <c r="E70" s="2"/>
      <c r="F70" s="35"/>
      <c r="G70" s="35"/>
      <c r="H70" s="36">
        <f>+'[12]CB List '!$AI$187</f>
        <v>0</v>
      </c>
      <c r="I70" s="50">
        <f>+'[12]CB List '!$AJ$187</f>
        <v>0</v>
      </c>
      <c r="J70" s="36"/>
      <c r="K70" s="16">
        <f>(H70+I70)-J70</f>
        <v>0</v>
      </c>
    </row>
    <row r="71" spans="1:11" ht="18" customHeight="1">
      <c r="A71" s="5" t="s">
        <v>179</v>
      </c>
      <c r="B71" s="26"/>
      <c r="C71" s="27"/>
      <c r="D71" s="28"/>
      <c r="E71" s="2"/>
      <c r="F71" s="35"/>
      <c r="G71" s="35"/>
      <c r="H71" s="36"/>
      <c r="I71" s="50">
        <v>0</v>
      </c>
      <c r="J71" s="36"/>
      <c r="K71" s="16">
        <f>(H71+I71)-J71</f>
        <v>0</v>
      </c>
    </row>
    <row r="72" spans="1:11" ht="18" customHeight="1">
      <c r="A72" s="5" t="s">
        <v>180</v>
      </c>
      <c r="B72" s="32"/>
      <c r="C72" s="33"/>
      <c r="D72" s="34"/>
      <c r="E72" s="2"/>
      <c r="F72" s="14"/>
      <c r="G72" s="14"/>
      <c r="H72" s="15"/>
      <c r="I72" s="50">
        <v>0</v>
      </c>
      <c r="J72" s="15"/>
      <c r="K72" s="16">
        <f>(H72+I72)-J72</f>
        <v>0</v>
      </c>
    </row>
    <row r="73" spans="1:11" ht="18" customHeight="1">
      <c r="A73" s="5"/>
      <c r="B73" s="1"/>
      <c r="E73" s="2"/>
      <c r="F73" s="61"/>
      <c r="G73" s="61"/>
      <c r="H73" s="62"/>
      <c r="I73" s="59"/>
      <c r="J73" s="62"/>
      <c r="K73" s="60"/>
    </row>
    <row r="74" spans="1:11" ht="18" customHeight="1">
      <c r="A74" s="6" t="s">
        <v>146</v>
      </c>
      <c r="B74" s="2" t="s">
        <v>147</v>
      </c>
      <c r="E74" s="2" t="s">
        <v>7</v>
      </c>
      <c r="F74" s="21">
        <f t="shared" ref="F74:K74" si="7">SUM(F68:F72)</f>
        <v>0</v>
      </c>
      <c r="G74" s="21">
        <f t="shared" si="7"/>
        <v>0</v>
      </c>
      <c r="H74" s="21">
        <f t="shared" si="7"/>
        <v>11.934843229077439</v>
      </c>
      <c r="I74" s="53">
        <f t="shared" si="7"/>
        <v>0</v>
      </c>
      <c r="J74" s="21">
        <f t="shared" si="7"/>
        <v>0</v>
      </c>
      <c r="K74" s="17">
        <f t="shared" si="7"/>
        <v>11.934843229077439</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1" t="s">
        <v>54</v>
      </c>
      <c r="F77" s="14"/>
      <c r="G77" s="14"/>
      <c r="H77" s="15">
        <f>+'[12]CB List '!$AI$188</f>
        <v>17786.652886745018</v>
      </c>
      <c r="I77" s="50">
        <v>0</v>
      </c>
      <c r="J77" s="15"/>
      <c r="K77" s="16">
        <f>(H77+I77)-J77</f>
        <v>17786.652886745018</v>
      </c>
    </row>
    <row r="78" spans="1:11" ht="18" customHeight="1">
      <c r="A78" s="5" t="s">
        <v>108</v>
      </c>
      <c r="B78" s="1" t="s">
        <v>55</v>
      </c>
      <c r="F78" s="14"/>
      <c r="G78" s="14"/>
      <c r="H78" s="15">
        <f>+'[12]CB List '!$AI$189</f>
        <v>35.079078432131531</v>
      </c>
      <c r="I78" s="50">
        <v>0</v>
      </c>
      <c r="J78" s="15"/>
      <c r="K78" s="16">
        <f>(H78+I78)-J78</f>
        <v>35.079078432131531</v>
      </c>
    </row>
    <row r="79" spans="1:11" ht="18" customHeight="1">
      <c r="A79" s="5" t="s">
        <v>109</v>
      </c>
      <c r="B79" s="1" t="s">
        <v>13</v>
      </c>
      <c r="F79" s="14"/>
      <c r="G79" s="14"/>
      <c r="H79" s="15">
        <f>+'[12]CB List '!$AI$190</f>
        <v>0</v>
      </c>
      <c r="I79" s="50">
        <v>0</v>
      </c>
      <c r="J79" s="15"/>
      <c r="K79" s="16">
        <f>(H79+I79)-J79</f>
        <v>0</v>
      </c>
    </row>
    <row r="80" spans="1:11" ht="18" customHeight="1">
      <c r="A80" s="5" t="s">
        <v>110</v>
      </c>
      <c r="B80" s="1" t="s">
        <v>56</v>
      </c>
      <c r="F80" s="14"/>
      <c r="G80" s="14"/>
      <c r="H80" s="15">
        <f>+'[12]CB List '!$AI$191</f>
        <v>0</v>
      </c>
      <c r="I80" s="50">
        <v>0</v>
      </c>
      <c r="J80" s="15"/>
      <c r="K80" s="16">
        <f>(H80+I80)-J80</f>
        <v>0</v>
      </c>
    </row>
    <row r="81" spans="1:11" ht="18" customHeight="1">
      <c r="A81" s="5"/>
      <c r="K81" s="40"/>
    </row>
    <row r="82" spans="1:11" ht="18" customHeight="1">
      <c r="A82" s="5" t="s">
        <v>148</v>
      </c>
      <c r="B82" s="2" t="s">
        <v>149</v>
      </c>
      <c r="E82" s="2" t="s">
        <v>7</v>
      </c>
      <c r="F82" s="21">
        <f t="shared" ref="F82:K82" si="8">SUM(F77:F80)</f>
        <v>0</v>
      </c>
      <c r="G82" s="21">
        <f t="shared" si="8"/>
        <v>0</v>
      </c>
      <c r="H82" s="17">
        <f t="shared" si="8"/>
        <v>17821.73196517715</v>
      </c>
      <c r="I82" s="17">
        <f t="shared" si="8"/>
        <v>0</v>
      </c>
      <c r="J82" s="17">
        <f t="shared" si="8"/>
        <v>0</v>
      </c>
      <c r="K82" s="17">
        <f t="shared" si="8"/>
        <v>17821.73196517715</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1" t="s">
        <v>113</v>
      </c>
      <c r="F86" s="14"/>
      <c r="G86" s="14"/>
      <c r="H86" s="15">
        <f>+'[12]CB List '!$AI$192</f>
        <v>0</v>
      </c>
      <c r="I86" s="50">
        <f t="shared" ref="I86:I96" si="9">H86*F$114</f>
        <v>0</v>
      </c>
      <c r="J86" s="15"/>
      <c r="K86" s="16">
        <f t="shared" ref="K86:K96" si="10">(H86+I86)-J86</f>
        <v>0</v>
      </c>
    </row>
    <row r="87" spans="1:11" ht="18" customHeight="1">
      <c r="A87" s="5" t="s">
        <v>114</v>
      </c>
      <c r="B87" s="1" t="s">
        <v>14</v>
      </c>
      <c r="F87" s="14"/>
      <c r="G87" s="14"/>
      <c r="H87" s="15">
        <f>+'[12]CB List '!$AI$193</f>
        <v>6.9034877501526362</v>
      </c>
      <c r="I87" s="50">
        <f t="shared" si="9"/>
        <v>7.0788690440755033</v>
      </c>
      <c r="J87" s="15"/>
      <c r="K87" s="16">
        <f t="shared" si="10"/>
        <v>13.982356794228139</v>
      </c>
    </row>
    <row r="88" spans="1:11" ht="18" customHeight="1">
      <c r="A88" s="5" t="s">
        <v>115</v>
      </c>
      <c r="B88" s="1" t="s">
        <v>116</v>
      </c>
      <c r="F88" s="14"/>
      <c r="G88" s="14"/>
      <c r="H88" s="15">
        <f>+'[12]CB List '!$AI$194</f>
        <v>1776.661683819912</v>
      </c>
      <c r="I88" s="50">
        <f t="shared" si="9"/>
        <v>1821.7973074711058</v>
      </c>
      <c r="J88" s="15"/>
      <c r="K88" s="16">
        <f t="shared" si="10"/>
        <v>3598.4589912910178</v>
      </c>
    </row>
    <row r="89" spans="1:11" ht="18" customHeight="1">
      <c r="A89" s="5" t="s">
        <v>117</v>
      </c>
      <c r="B89" s="1" t="s">
        <v>58</v>
      </c>
      <c r="F89" s="14"/>
      <c r="G89" s="14"/>
      <c r="H89" s="15">
        <f>+'[12]CB List '!$AI$195</f>
        <v>3.9314777695784504</v>
      </c>
      <c r="I89" s="50">
        <f t="shared" si="9"/>
        <v>4.031355930185371</v>
      </c>
      <c r="J89" s="15"/>
      <c r="K89" s="16">
        <f t="shared" si="10"/>
        <v>7.9628336997638218</v>
      </c>
    </row>
    <row r="90" spans="1:11" ht="18" customHeight="1">
      <c r="A90" s="5" t="s">
        <v>118</v>
      </c>
      <c r="B90" s="794" t="s">
        <v>59</v>
      </c>
      <c r="C90" s="649"/>
      <c r="F90" s="14"/>
      <c r="G90" s="14"/>
      <c r="H90" s="15">
        <f>+'[12]CB List '!$AI$196</f>
        <v>3.3230347814294046</v>
      </c>
      <c r="I90" s="50">
        <f t="shared" si="9"/>
        <v>3.4074556076566829</v>
      </c>
      <c r="J90" s="15"/>
      <c r="K90" s="16">
        <f t="shared" si="10"/>
        <v>6.7304903890860874</v>
      </c>
    </row>
    <row r="91" spans="1:11" ht="18" customHeight="1">
      <c r="A91" s="5" t="s">
        <v>119</v>
      </c>
      <c r="B91" s="1" t="s">
        <v>60</v>
      </c>
      <c r="F91" s="14"/>
      <c r="G91" s="14"/>
      <c r="H91" s="15">
        <f>+'[12]CB List '!$AI$197</f>
        <v>743.37692159779203</v>
      </c>
      <c r="I91" s="50">
        <f t="shared" si="9"/>
        <v>762.26221713255063</v>
      </c>
      <c r="J91" s="15"/>
      <c r="K91" s="16">
        <f t="shared" si="10"/>
        <v>1505.6391387303427</v>
      </c>
    </row>
    <row r="92" spans="1:11" ht="18" customHeight="1">
      <c r="A92" s="5" t="s">
        <v>120</v>
      </c>
      <c r="B92" s="1" t="s">
        <v>121</v>
      </c>
      <c r="F92" s="38"/>
      <c r="G92" s="38"/>
      <c r="H92" s="39">
        <f>+'[12]CB List '!$AI$198</f>
        <v>6832.5791213439152</v>
      </c>
      <c r="I92" s="50">
        <f t="shared" si="9"/>
        <v>7006.1590001675095</v>
      </c>
      <c r="J92" s="39"/>
      <c r="K92" s="16">
        <f t="shared" si="10"/>
        <v>13838.738121511426</v>
      </c>
    </row>
    <row r="93" spans="1:11" ht="18" customHeight="1">
      <c r="A93" s="5" t="s">
        <v>122</v>
      </c>
      <c r="B93" s="1" t="s">
        <v>123</v>
      </c>
      <c r="F93" s="14"/>
      <c r="G93" s="14"/>
      <c r="H93" s="15">
        <f>+'[12]CB List '!$AI$199</f>
        <v>19.002142552962511</v>
      </c>
      <c r="I93" s="50">
        <f t="shared" si="9"/>
        <v>19.484886995895963</v>
      </c>
      <c r="J93" s="15"/>
      <c r="K93" s="16">
        <f t="shared" si="10"/>
        <v>38.487029548858473</v>
      </c>
    </row>
    <row r="94" spans="1:11" ht="18" customHeight="1">
      <c r="A94" s="5" t="s">
        <v>124</v>
      </c>
      <c r="B94" s="642"/>
      <c r="C94" s="643"/>
      <c r="D94" s="644"/>
      <c r="F94" s="14"/>
      <c r="G94" s="14"/>
      <c r="H94" s="15">
        <f>+'[12]CB List '!$AI$200</f>
        <v>0</v>
      </c>
      <c r="I94" s="50">
        <f t="shared" si="9"/>
        <v>0</v>
      </c>
      <c r="J94" s="15"/>
      <c r="K94" s="16">
        <f t="shared" si="10"/>
        <v>0</v>
      </c>
    </row>
    <row r="95" spans="1:11" ht="18" customHeight="1">
      <c r="A95" s="5" t="s">
        <v>125</v>
      </c>
      <c r="B95" s="642"/>
      <c r="C95" s="643"/>
      <c r="D95" s="644"/>
      <c r="F95" s="14"/>
      <c r="G95" s="14"/>
      <c r="H95" s="15"/>
      <c r="I95" s="50">
        <f t="shared" si="9"/>
        <v>0</v>
      </c>
      <c r="J95" s="15"/>
      <c r="K95" s="16">
        <f t="shared" si="10"/>
        <v>0</v>
      </c>
    </row>
    <row r="96" spans="1:11" ht="18" customHeight="1">
      <c r="A96" s="5" t="s">
        <v>126</v>
      </c>
      <c r="B96" s="642"/>
      <c r="C96" s="643"/>
      <c r="D96" s="644"/>
      <c r="F96" s="14"/>
      <c r="G96" s="14"/>
      <c r="H96" s="15"/>
      <c r="I96" s="50">
        <f t="shared" si="9"/>
        <v>0</v>
      </c>
      <c r="J96" s="15"/>
      <c r="K96" s="16">
        <f t="shared" si="10"/>
        <v>0</v>
      </c>
    </row>
    <row r="97" spans="1:11" ht="18" customHeight="1">
      <c r="A97" s="5"/>
      <c r="B97" s="1"/>
    </row>
    <row r="98" spans="1:11" ht="18" customHeight="1">
      <c r="A98" s="6" t="s">
        <v>150</v>
      </c>
      <c r="B98" s="2" t="s">
        <v>151</v>
      </c>
      <c r="E98" s="2" t="s">
        <v>7</v>
      </c>
      <c r="F98" s="18">
        <f t="shared" ref="F98:K98" si="11">SUM(F86:F96)</f>
        <v>0</v>
      </c>
      <c r="G98" s="18">
        <f t="shared" si="11"/>
        <v>0</v>
      </c>
      <c r="H98" s="18">
        <f t="shared" si="11"/>
        <v>9385.7778696157438</v>
      </c>
      <c r="I98" s="18">
        <f t="shared" si="11"/>
        <v>9624.2210923489783</v>
      </c>
      <c r="J98" s="18">
        <f t="shared" si="11"/>
        <v>0</v>
      </c>
      <c r="K98" s="18">
        <f t="shared" si="11"/>
        <v>19009.998961964724</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1" t="s">
        <v>152</v>
      </c>
      <c r="F102" s="14">
        <f>+'[12]CB List '!$AG$201</f>
        <v>34.342898903008475</v>
      </c>
      <c r="G102" s="14">
        <f>+'[12]CB List '!$AH$201</f>
        <v>4.6335273712888885</v>
      </c>
      <c r="H102" s="15">
        <f>+'[12]CB List '!$AI$201</f>
        <v>1678.2215257510068</v>
      </c>
      <c r="I102" s="50">
        <f>H102*F$114</f>
        <v>1720.8563030299138</v>
      </c>
      <c r="J102" s="15"/>
      <c r="K102" s="16">
        <f>(H102+I102)-J102</f>
        <v>3399.0778287809208</v>
      </c>
    </row>
    <row r="103" spans="1:11" ht="18" customHeight="1">
      <c r="A103" s="5" t="s">
        <v>132</v>
      </c>
      <c r="B103" s="794" t="s">
        <v>62</v>
      </c>
      <c r="C103" s="794"/>
      <c r="F103" s="14">
        <f>+'[12]CB List '!$AG$202</f>
        <v>7.5353323916920294</v>
      </c>
      <c r="G103" s="14">
        <f>+'[12]CB List '!$AH$202</f>
        <v>1.696619870800224</v>
      </c>
      <c r="H103" s="15">
        <f>+'[12]CB List '!$AI$202</f>
        <v>12.145458109590569</v>
      </c>
      <c r="I103" s="50">
        <f>H103*F$114</f>
        <v>12.454010284322663</v>
      </c>
      <c r="J103" s="15"/>
      <c r="K103" s="16">
        <f>(H103+I103)-J103</f>
        <v>24.599468393913234</v>
      </c>
    </row>
    <row r="104" spans="1:11" ht="18" customHeight="1">
      <c r="A104" s="5" t="s">
        <v>128</v>
      </c>
      <c r="B104" s="642" t="s">
        <v>197</v>
      </c>
      <c r="C104" s="643"/>
      <c r="D104" s="644"/>
      <c r="F104" s="14">
        <f>+'[12]CB List '!$AG$203</f>
        <v>0</v>
      </c>
      <c r="G104" s="14">
        <f>+'[12]CB List '!$AH$203</f>
        <v>0</v>
      </c>
      <c r="H104" s="15">
        <f>+'[12]CB List '!$AI$203</f>
        <v>0</v>
      </c>
      <c r="I104" s="50">
        <f>H104*F$114</f>
        <v>0</v>
      </c>
      <c r="J104" s="15"/>
      <c r="K104" s="16">
        <f>(H104+I104)-J104</f>
        <v>0</v>
      </c>
    </row>
    <row r="105" spans="1:11" ht="18" customHeight="1">
      <c r="A105" s="5" t="s">
        <v>127</v>
      </c>
      <c r="B105" s="642" t="s">
        <v>198</v>
      </c>
      <c r="C105" s="643"/>
      <c r="D105" s="644"/>
      <c r="F105" s="14">
        <f>+'[12]CB List '!$AG$204</f>
        <v>0</v>
      </c>
      <c r="G105" s="14">
        <f>+'[12]CB List '!$AH$204</f>
        <v>0</v>
      </c>
      <c r="H105" s="15">
        <f>+'[12]CB List '!$AI$204</f>
        <v>0</v>
      </c>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2">SUM(F102:F106)</f>
        <v>41.878231294700505</v>
      </c>
      <c r="G108" s="18">
        <f t="shared" si="12"/>
        <v>6.3301472420891125</v>
      </c>
      <c r="H108" s="16">
        <f t="shared" si="12"/>
        <v>1690.3669838605974</v>
      </c>
      <c r="I108" s="16">
        <f t="shared" si="12"/>
        <v>1733.3103133142365</v>
      </c>
      <c r="J108" s="16">
        <f t="shared" si="12"/>
        <v>0</v>
      </c>
      <c r="K108" s="16">
        <f t="shared" si="12"/>
        <v>3423.6772971748342</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f>+'[12]CB List '!$AL$206</f>
        <v>161347.31</v>
      </c>
    </row>
    <row r="112" spans="1:11" ht="18" customHeight="1">
      <c r="B112" s="2"/>
      <c r="E112" s="2"/>
      <c r="F112" s="22"/>
    </row>
    <row r="113" spans="1:6" ht="18" customHeight="1">
      <c r="A113" s="6"/>
      <c r="B113" s="2" t="s">
        <v>15</v>
      </c>
    </row>
    <row r="114" spans="1:6" ht="18" customHeight="1">
      <c r="A114" s="5" t="s">
        <v>171</v>
      </c>
      <c r="B114" s="1" t="s">
        <v>35</v>
      </c>
      <c r="F114" s="25">
        <f>+'[12]CB List '!$I$215</f>
        <v>1.0254047374704169</v>
      </c>
    </row>
    <row r="115" spans="1:6" ht="18" customHeight="1">
      <c r="A115" s="5"/>
      <c r="B115" s="2"/>
    </row>
    <row r="116" spans="1:6" ht="18" customHeight="1">
      <c r="A116" s="5" t="s">
        <v>170</v>
      </c>
      <c r="B116" s="2" t="s">
        <v>16</v>
      </c>
    </row>
    <row r="117" spans="1:6" ht="18" customHeight="1">
      <c r="A117" s="5" t="s">
        <v>172</v>
      </c>
      <c r="B117" s="1" t="s">
        <v>17</v>
      </c>
      <c r="F117" s="15">
        <f>+'[13]P&amp;L_116'!$K$41</f>
        <v>6485546.290000001</v>
      </c>
    </row>
    <row r="118" spans="1:6" ht="18" customHeight="1">
      <c r="A118" s="5" t="s">
        <v>173</v>
      </c>
      <c r="B118" t="s">
        <v>18</v>
      </c>
      <c r="F118" s="15">
        <f>+'[13]P&amp;L_116'!$K$52</f>
        <v>2165065.2599999998</v>
      </c>
    </row>
    <row r="119" spans="1:6" ht="18" customHeight="1">
      <c r="A119" s="5" t="s">
        <v>174</v>
      </c>
      <c r="B119" s="2" t="s">
        <v>19</v>
      </c>
      <c r="F119" s="17">
        <f>SUM(F117:F118)</f>
        <v>8650611.5500000007</v>
      </c>
    </row>
    <row r="120" spans="1:6" ht="18" customHeight="1">
      <c r="A120" s="5"/>
      <c r="B120" s="2"/>
    </row>
    <row r="121" spans="1:6" ht="18" customHeight="1">
      <c r="A121" s="5" t="s">
        <v>167</v>
      </c>
      <c r="B121" s="2" t="s">
        <v>36</v>
      </c>
      <c r="F121" s="15">
        <f>+'[13]P&amp;L_116'!$K$213</f>
        <v>9317745.1960000005</v>
      </c>
    </row>
    <row r="122" spans="1:6" ht="18" customHeight="1">
      <c r="A122" s="5"/>
    </row>
    <row r="123" spans="1:6" ht="18" customHeight="1">
      <c r="A123" s="5" t="s">
        <v>175</v>
      </c>
      <c r="B123" s="2" t="s">
        <v>20</v>
      </c>
      <c r="F123" s="15">
        <f>+'[13]P&amp;L_116'!$K$215</f>
        <v>-667133.64599999972</v>
      </c>
    </row>
    <row r="124" spans="1:6" ht="18" customHeight="1">
      <c r="A124" s="5"/>
    </row>
    <row r="125" spans="1:6" ht="18" customHeight="1">
      <c r="A125" s="5" t="s">
        <v>176</v>
      </c>
      <c r="B125" s="2" t="s">
        <v>21</v>
      </c>
      <c r="F125" s="15">
        <f>+'[13]P&amp;L_116'!$K$223</f>
        <v>0</v>
      </c>
    </row>
    <row r="126" spans="1:6" ht="18" customHeight="1">
      <c r="A126" s="5"/>
    </row>
    <row r="127" spans="1:6" ht="18" customHeight="1">
      <c r="A127" s="5" t="s">
        <v>177</v>
      </c>
      <c r="B127" s="2" t="s">
        <v>22</v>
      </c>
      <c r="F127" s="15">
        <f>+'[13]P&amp;L_116'!$K$225</f>
        <v>-667133.64599999972</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3">SUM(F131:F135)</f>
        <v>0</v>
      </c>
      <c r="G137" s="18">
        <f t="shared" si="13"/>
        <v>0</v>
      </c>
      <c r="H137" s="16">
        <f t="shared" si="13"/>
        <v>0</v>
      </c>
      <c r="I137" s="16">
        <f t="shared" si="13"/>
        <v>0</v>
      </c>
      <c r="J137" s="16">
        <f t="shared" si="13"/>
        <v>0</v>
      </c>
      <c r="K137" s="16">
        <f t="shared" si="13"/>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4">F36</f>
        <v>0</v>
      </c>
      <c r="G141" s="41">
        <f t="shared" si="14"/>
        <v>0</v>
      </c>
      <c r="H141" s="41">
        <f t="shared" si="14"/>
        <v>28432.351754978168</v>
      </c>
      <c r="I141" s="41">
        <f t="shared" si="14"/>
        <v>29154.668186979939</v>
      </c>
      <c r="J141" s="41">
        <f t="shared" si="14"/>
        <v>3279.12079365</v>
      </c>
      <c r="K141" s="41">
        <f t="shared" si="14"/>
        <v>54307.899148308104</v>
      </c>
    </row>
    <row r="142" spans="1:11" ht="18" customHeight="1">
      <c r="A142" s="5" t="s">
        <v>142</v>
      </c>
      <c r="B142" s="2" t="s">
        <v>65</v>
      </c>
      <c r="F142" s="41">
        <f t="shared" ref="F142:K142" si="15">F49</f>
        <v>0</v>
      </c>
      <c r="G142" s="41">
        <f t="shared" si="15"/>
        <v>0</v>
      </c>
      <c r="H142" s="41">
        <f t="shared" si="15"/>
        <v>3207.516858</v>
      </c>
      <c r="I142" s="41">
        <f t="shared" si="15"/>
        <v>0</v>
      </c>
      <c r="J142" s="41">
        <f t="shared" si="15"/>
        <v>512.37888974999998</v>
      </c>
      <c r="K142" s="41">
        <f t="shared" si="15"/>
        <v>2695.1379682500001</v>
      </c>
    </row>
    <row r="143" spans="1:11" ht="18" customHeight="1">
      <c r="A143" s="5" t="s">
        <v>144</v>
      </c>
      <c r="B143" s="2" t="s">
        <v>66</v>
      </c>
      <c r="F143" s="41">
        <f t="shared" ref="F143:K143" si="16">F64</f>
        <v>0</v>
      </c>
      <c r="G143" s="41">
        <f t="shared" si="16"/>
        <v>0</v>
      </c>
      <c r="H143" s="41">
        <f t="shared" si="16"/>
        <v>825778.63179670763</v>
      </c>
      <c r="I143" s="41">
        <f t="shared" si="16"/>
        <v>0</v>
      </c>
      <c r="J143" s="41">
        <f t="shared" si="16"/>
        <v>0</v>
      </c>
      <c r="K143" s="41">
        <f t="shared" si="16"/>
        <v>825778.63179670763</v>
      </c>
    </row>
    <row r="144" spans="1:11" ht="18" customHeight="1">
      <c r="A144" s="5" t="s">
        <v>146</v>
      </c>
      <c r="B144" s="2" t="s">
        <v>67</v>
      </c>
      <c r="F144" s="41">
        <f t="shared" ref="F144:K144" si="17">F74</f>
        <v>0</v>
      </c>
      <c r="G144" s="41">
        <f t="shared" si="17"/>
        <v>0</v>
      </c>
      <c r="H144" s="41">
        <f t="shared" si="17"/>
        <v>11.934843229077439</v>
      </c>
      <c r="I144" s="41">
        <f t="shared" si="17"/>
        <v>0</v>
      </c>
      <c r="J144" s="41">
        <f t="shared" si="17"/>
        <v>0</v>
      </c>
      <c r="K144" s="41">
        <f t="shared" si="17"/>
        <v>11.934843229077439</v>
      </c>
    </row>
    <row r="145" spans="1:11" ht="18" customHeight="1">
      <c r="A145" s="5" t="s">
        <v>148</v>
      </c>
      <c r="B145" s="2" t="s">
        <v>68</v>
      </c>
      <c r="F145" s="41">
        <f t="shared" ref="F145:K145" si="18">F82</f>
        <v>0</v>
      </c>
      <c r="G145" s="41">
        <f t="shared" si="18"/>
        <v>0</v>
      </c>
      <c r="H145" s="41">
        <f t="shared" si="18"/>
        <v>17821.73196517715</v>
      </c>
      <c r="I145" s="41">
        <f t="shared" si="18"/>
        <v>0</v>
      </c>
      <c r="J145" s="41">
        <f t="shared" si="18"/>
        <v>0</v>
      </c>
      <c r="K145" s="41">
        <f t="shared" si="18"/>
        <v>17821.73196517715</v>
      </c>
    </row>
    <row r="146" spans="1:11" ht="18" customHeight="1">
      <c r="A146" s="5" t="s">
        <v>150</v>
      </c>
      <c r="B146" s="2" t="s">
        <v>69</v>
      </c>
      <c r="F146" s="41">
        <f t="shared" ref="F146:K146" si="19">F98</f>
        <v>0</v>
      </c>
      <c r="G146" s="41">
        <f t="shared" si="19"/>
        <v>0</v>
      </c>
      <c r="H146" s="41">
        <f t="shared" si="19"/>
        <v>9385.7778696157438</v>
      </c>
      <c r="I146" s="41">
        <f t="shared" si="19"/>
        <v>9624.2210923489783</v>
      </c>
      <c r="J146" s="41">
        <f t="shared" si="19"/>
        <v>0</v>
      </c>
      <c r="K146" s="41">
        <f t="shared" si="19"/>
        <v>19009.998961964724</v>
      </c>
    </row>
    <row r="147" spans="1:11" ht="18" customHeight="1">
      <c r="A147" s="5" t="s">
        <v>153</v>
      </c>
      <c r="B147" s="2" t="s">
        <v>61</v>
      </c>
      <c r="F147" s="18">
        <f t="shared" ref="F147:K147" si="20">F108</f>
        <v>41.878231294700505</v>
      </c>
      <c r="G147" s="18">
        <f t="shared" si="20"/>
        <v>6.3301472420891125</v>
      </c>
      <c r="H147" s="18">
        <f t="shared" si="20"/>
        <v>1690.3669838605974</v>
      </c>
      <c r="I147" s="18">
        <f t="shared" si="20"/>
        <v>1733.3103133142365</v>
      </c>
      <c r="J147" s="18">
        <f t="shared" si="20"/>
        <v>0</v>
      </c>
      <c r="K147" s="18">
        <f t="shared" si="20"/>
        <v>3423.6772971748342</v>
      </c>
    </row>
    <row r="148" spans="1:11" ht="18" customHeight="1">
      <c r="A148" s="5" t="s">
        <v>155</v>
      </c>
      <c r="B148" s="2" t="s">
        <v>70</v>
      </c>
      <c r="F148" s="42" t="s">
        <v>73</v>
      </c>
      <c r="G148" s="42" t="s">
        <v>73</v>
      </c>
      <c r="H148" s="43" t="s">
        <v>73</v>
      </c>
      <c r="I148" s="43" t="s">
        <v>73</v>
      </c>
      <c r="J148" s="43" t="s">
        <v>73</v>
      </c>
      <c r="K148" s="37">
        <f>F111</f>
        <v>161347.31</v>
      </c>
    </row>
    <row r="149" spans="1:11" ht="18" customHeight="1">
      <c r="A149" s="5" t="s">
        <v>163</v>
      </c>
      <c r="B149" s="2" t="s">
        <v>71</v>
      </c>
      <c r="F149" s="18">
        <f t="shared" ref="F149:K149" si="21">F137</f>
        <v>0</v>
      </c>
      <c r="G149" s="18">
        <f t="shared" si="21"/>
        <v>0</v>
      </c>
      <c r="H149" s="18">
        <f t="shared" si="21"/>
        <v>0</v>
      </c>
      <c r="I149" s="18">
        <f t="shared" si="21"/>
        <v>0</v>
      </c>
      <c r="J149" s="18">
        <f t="shared" si="21"/>
        <v>0</v>
      </c>
      <c r="K149" s="18">
        <f t="shared" si="21"/>
        <v>0</v>
      </c>
    </row>
    <row r="150" spans="1:11" ht="18" customHeight="1">
      <c r="A150" s="5" t="s">
        <v>185</v>
      </c>
      <c r="B150" s="2" t="s">
        <v>186</v>
      </c>
      <c r="F150" s="42" t="s">
        <v>73</v>
      </c>
      <c r="G150" s="42" t="s">
        <v>73</v>
      </c>
      <c r="H150" s="18">
        <f>H18</f>
        <v>0</v>
      </c>
      <c r="I150" s="18">
        <f>I18</f>
        <v>0</v>
      </c>
      <c r="J150" s="18">
        <f>J18</f>
        <v>0</v>
      </c>
      <c r="K150" s="18">
        <f>K18</f>
        <v>0</v>
      </c>
    </row>
    <row r="151" spans="1:11" ht="18" customHeight="1">
      <c r="B151" s="2"/>
      <c r="F151" s="48"/>
      <c r="G151" s="48"/>
      <c r="H151" s="48"/>
      <c r="I151" s="48"/>
      <c r="J151" s="48"/>
      <c r="K151" s="48"/>
    </row>
    <row r="152" spans="1:11" ht="18" customHeight="1">
      <c r="A152" s="6" t="s">
        <v>165</v>
      </c>
      <c r="B152" s="2" t="s">
        <v>26</v>
      </c>
      <c r="F152" s="49">
        <f t="shared" ref="F152:K152" si="22">SUM(F141:F150)</f>
        <v>41.878231294700505</v>
      </c>
      <c r="G152" s="49">
        <f t="shared" si="22"/>
        <v>6.3301472420891125</v>
      </c>
      <c r="H152" s="49">
        <f t="shared" si="22"/>
        <v>886328.31207156833</v>
      </c>
      <c r="I152" s="49">
        <f t="shared" si="22"/>
        <v>40512.199592643155</v>
      </c>
      <c r="J152" s="49">
        <f t="shared" si="22"/>
        <v>3791.4996833999999</v>
      </c>
      <c r="K152" s="49">
        <f t="shared" si="22"/>
        <v>1084396.3219808114</v>
      </c>
    </row>
    <row r="154" spans="1:11" ht="18" customHeight="1">
      <c r="A154" s="6" t="s">
        <v>168</v>
      </c>
      <c r="B154" s="2" t="s">
        <v>28</v>
      </c>
      <c r="F154" s="64">
        <f>K152/F121</f>
        <v>0.11637969263704809</v>
      </c>
    </row>
    <row r="155" spans="1:11" ht="18" customHeight="1">
      <c r="A155" s="6" t="s">
        <v>169</v>
      </c>
      <c r="B155" s="2" t="s">
        <v>72</v>
      </c>
      <c r="F155" s="64">
        <f>K152/F127</f>
        <v>-1.625455901501349</v>
      </c>
      <c r="G155" s="2"/>
    </row>
    <row r="156" spans="1:11" ht="18" customHeight="1">
      <c r="G156" s="2"/>
    </row>
  </sheetData>
  <sheetProtection password="EF72" sheet="1" objects="1" scenarios="1"/>
  <mergeCells count="34">
    <mergeCell ref="D2:H2"/>
    <mergeCell ref="B45:D45"/>
    <mergeCell ref="B46:D46"/>
    <mergeCell ref="B47:D47"/>
    <mergeCell ref="B34:D34"/>
    <mergeCell ref="B41:C41"/>
    <mergeCell ref="B44:D44"/>
    <mergeCell ref="B13:H13"/>
    <mergeCell ref="C5:G5"/>
    <mergeCell ref="C6:G6"/>
    <mergeCell ref="C7:G7"/>
    <mergeCell ref="C9:G9"/>
    <mergeCell ref="C10:G10"/>
    <mergeCell ref="C11:G11"/>
    <mergeCell ref="B30:D30"/>
    <mergeCell ref="B31:D31"/>
    <mergeCell ref="B52:C52"/>
    <mergeCell ref="B90:C90"/>
    <mergeCell ref="B53:D53"/>
    <mergeCell ref="B55:D55"/>
    <mergeCell ref="B56:D56"/>
    <mergeCell ref="B59:D59"/>
    <mergeCell ref="B62:D62"/>
    <mergeCell ref="B135:D135"/>
    <mergeCell ref="B133:D133"/>
    <mergeCell ref="B104:D104"/>
    <mergeCell ref="B105:D105"/>
    <mergeCell ref="B106:D106"/>
    <mergeCell ref="B103:C103"/>
    <mergeCell ref="B96:D96"/>
    <mergeCell ref="B95:D95"/>
    <mergeCell ref="B57:D57"/>
    <mergeCell ref="B134:D134"/>
    <mergeCell ref="B94:D94"/>
  </mergeCells>
  <phoneticPr fontId="0" type="noConversion"/>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view="pageBreakPreview" topLeftCell="A127" zoomScale="80" zoomScaleNormal="50" zoomScaleSheetLayoutView="80" workbookViewId="0">
      <selection activeCell="A36" sqref="A36:XFD36"/>
    </sheetView>
  </sheetViews>
  <sheetFormatPr defaultRowHeight="18" customHeight="1"/>
  <cols>
    <col min="1" max="1" width="8.28515625" style="8"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53" t="s">
        <v>759</v>
      </c>
      <c r="D5" s="654"/>
      <c r="E5" s="654"/>
      <c r="F5" s="654"/>
      <c r="G5" s="655"/>
    </row>
    <row r="6" spans="1:11" ht="18" customHeight="1">
      <c r="B6" s="5" t="s">
        <v>3</v>
      </c>
      <c r="C6" s="671">
        <v>4000</v>
      </c>
      <c r="D6" s="657"/>
      <c r="E6" s="657"/>
      <c r="F6" s="657"/>
      <c r="G6" s="658"/>
    </row>
    <row r="7" spans="1:11" ht="18" customHeight="1">
      <c r="B7" s="5" t="s">
        <v>4</v>
      </c>
      <c r="C7" s="659">
        <v>2485</v>
      </c>
      <c r="D7" s="660"/>
      <c r="E7" s="660"/>
      <c r="F7" s="660"/>
      <c r="G7" s="661"/>
    </row>
    <row r="9" spans="1:11" ht="18" customHeight="1">
      <c r="B9" s="5" t="s">
        <v>1</v>
      </c>
      <c r="C9" s="653" t="s">
        <v>760</v>
      </c>
      <c r="D9" s="654"/>
      <c r="E9" s="654"/>
      <c r="F9" s="654"/>
      <c r="G9" s="655"/>
    </row>
    <row r="10" spans="1:11" ht="18" customHeight="1">
      <c r="B10" s="5" t="s">
        <v>2</v>
      </c>
      <c r="C10" s="662" t="s">
        <v>761</v>
      </c>
      <c r="D10" s="663"/>
      <c r="E10" s="663"/>
      <c r="F10" s="663"/>
      <c r="G10" s="664"/>
    </row>
    <row r="11" spans="1:11" ht="18" customHeight="1">
      <c r="B11" s="5" t="s">
        <v>32</v>
      </c>
      <c r="C11" s="653" t="s">
        <v>762</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c r="I18" s="50">
        <v>0</v>
      </c>
      <c r="J18" s="15"/>
      <c r="K18" s="16">
        <f>(H18+I18)-J18</f>
        <v>0</v>
      </c>
    </row>
    <row r="19" spans="1:11" ht="45"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570</v>
      </c>
      <c r="G21" s="14">
        <v>27343</v>
      </c>
      <c r="H21" s="15">
        <v>30001.14</v>
      </c>
      <c r="I21" s="50">
        <f t="shared" ref="I21:I34" si="0">H21*F$114</f>
        <v>21390.812819999999</v>
      </c>
      <c r="J21" s="15">
        <v>2700</v>
      </c>
      <c r="K21" s="16">
        <f t="shared" ref="K21:K34" si="1">(H21+I21)-J21</f>
        <v>48691.952819999999</v>
      </c>
    </row>
    <row r="22" spans="1:11" ht="18" customHeight="1">
      <c r="A22" s="5" t="s">
        <v>76</v>
      </c>
      <c r="B22" t="s">
        <v>6</v>
      </c>
      <c r="F22" s="14"/>
      <c r="G22" s="14"/>
      <c r="H22" s="15"/>
      <c r="I22" s="50">
        <f t="shared" si="0"/>
        <v>0</v>
      </c>
      <c r="J22" s="15"/>
      <c r="K22" s="16">
        <f t="shared" si="1"/>
        <v>0</v>
      </c>
    </row>
    <row r="23" spans="1:11" ht="18" customHeight="1">
      <c r="A23" s="5" t="s">
        <v>77</v>
      </c>
      <c r="B23" t="s">
        <v>43</v>
      </c>
      <c r="F23" s="14"/>
      <c r="G23" s="14"/>
      <c r="H23" s="15"/>
      <c r="I23" s="50">
        <f t="shared" si="0"/>
        <v>0</v>
      </c>
      <c r="J23" s="15"/>
      <c r="K23" s="16">
        <f t="shared" si="1"/>
        <v>0</v>
      </c>
    </row>
    <row r="24" spans="1:11" ht="18" customHeight="1">
      <c r="A24" s="5" t="s">
        <v>78</v>
      </c>
      <c r="B24" t="s">
        <v>44</v>
      </c>
      <c r="F24" s="14"/>
      <c r="G24" s="14"/>
      <c r="H24" s="15"/>
      <c r="I24" s="50">
        <f t="shared" si="0"/>
        <v>0</v>
      </c>
      <c r="J24" s="15"/>
      <c r="K24" s="16">
        <f t="shared" si="1"/>
        <v>0</v>
      </c>
    </row>
    <row r="25" spans="1:11" ht="18" customHeight="1">
      <c r="A25" s="5" t="s">
        <v>79</v>
      </c>
      <c r="B25" t="s">
        <v>5</v>
      </c>
      <c r="F25" s="14"/>
      <c r="G25" s="14"/>
      <c r="H25" s="15"/>
      <c r="I25" s="50">
        <f t="shared" si="0"/>
        <v>0</v>
      </c>
      <c r="J25" s="15"/>
      <c r="K25" s="16">
        <f t="shared" si="1"/>
        <v>0</v>
      </c>
    </row>
    <row r="26" spans="1:11" ht="18" customHeight="1">
      <c r="A26" s="5" t="s">
        <v>80</v>
      </c>
      <c r="B26" t="s">
        <v>45</v>
      </c>
      <c r="F26" s="14"/>
      <c r="G26" s="14"/>
      <c r="H26" s="15"/>
      <c r="I26" s="50">
        <f t="shared" si="0"/>
        <v>0</v>
      </c>
      <c r="J26" s="15"/>
      <c r="K26" s="16">
        <f t="shared" si="1"/>
        <v>0</v>
      </c>
    </row>
    <row r="27" spans="1:11" ht="18" customHeight="1">
      <c r="A27" s="5" t="s">
        <v>81</v>
      </c>
      <c r="B27" t="s">
        <v>46</v>
      </c>
      <c r="F27" s="14">
        <v>2080</v>
      </c>
      <c r="G27" s="14">
        <v>3490</v>
      </c>
      <c r="H27" s="15">
        <v>42340</v>
      </c>
      <c r="I27" s="50">
        <f t="shared" si="0"/>
        <v>30188.42</v>
      </c>
      <c r="J27" s="15">
        <v>81673</v>
      </c>
      <c r="K27" s="16">
        <f t="shared" si="1"/>
        <v>-9144.5800000000017</v>
      </c>
    </row>
    <row r="28" spans="1:11" ht="18" customHeight="1">
      <c r="A28" s="5" t="s">
        <v>82</v>
      </c>
      <c r="B28" t="s">
        <v>47</v>
      </c>
      <c r="F28" s="14"/>
      <c r="G28" s="14"/>
      <c r="H28" s="15"/>
      <c r="I28" s="50">
        <f t="shared" si="0"/>
        <v>0</v>
      </c>
      <c r="J28" s="15"/>
      <c r="K28" s="16">
        <f t="shared" si="1"/>
        <v>0</v>
      </c>
    </row>
    <row r="29" spans="1:11" ht="18" customHeight="1">
      <c r="A29" s="5" t="s">
        <v>83</v>
      </c>
      <c r="B29" t="s">
        <v>48</v>
      </c>
      <c r="F29" s="14">
        <v>4808</v>
      </c>
      <c r="G29" s="14">
        <v>5764</v>
      </c>
      <c r="H29" s="15">
        <v>175275.58</v>
      </c>
      <c r="I29" s="50">
        <f t="shared" si="0"/>
        <v>124971.48853999999</v>
      </c>
      <c r="J29" s="15"/>
      <c r="K29" s="16">
        <f t="shared" si="1"/>
        <v>300247.06854000001</v>
      </c>
    </row>
    <row r="30" spans="1:11" ht="18" customHeight="1">
      <c r="A30" s="5" t="s">
        <v>84</v>
      </c>
      <c r="B30" s="636"/>
      <c r="C30" s="637"/>
      <c r="D30" s="638"/>
      <c r="F30" s="14"/>
      <c r="G30" s="14"/>
      <c r="H30" s="15"/>
      <c r="I30" s="50">
        <f t="shared" si="0"/>
        <v>0</v>
      </c>
      <c r="J30" s="15"/>
      <c r="K30" s="16">
        <f t="shared" si="1"/>
        <v>0</v>
      </c>
    </row>
    <row r="31" spans="1:11" ht="18" customHeight="1">
      <c r="A31" s="5" t="s">
        <v>133</v>
      </c>
      <c r="B31" s="636"/>
      <c r="C31" s="637"/>
      <c r="D31" s="638"/>
      <c r="F31" s="14"/>
      <c r="G31" s="14"/>
      <c r="H31" s="15"/>
      <c r="I31" s="50">
        <f t="shared" si="0"/>
        <v>0</v>
      </c>
      <c r="J31" s="15"/>
      <c r="K31" s="16">
        <f t="shared" si="1"/>
        <v>0</v>
      </c>
    </row>
    <row r="32" spans="1:11" ht="18" customHeight="1">
      <c r="A32" s="5" t="s">
        <v>134</v>
      </c>
      <c r="B32" s="363"/>
      <c r="C32" s="364"/>
      <c r="D32" s="365"/>
      <c r="F32" s="14"/>
      <c r="G32" s="342" t="s">
        <v>85</v>
      </c>
      <c r="H32" s="15"/>
      <c r="I32" s="50">
        <f t="shared" si="0"/>
        <v>0</v>
      </c>
      <c r="J32" s="15"/>
      <c r="K32" s="16">
        <f t="shared" si="1"/>
        <v>0</v>
      </c>
    </row>
    <row r="33" spans="1:11" ht="18" customHeight="1">
      <c r="A33" s="5" t="s">
        <v>135</v>
      </c>
      <c r="B33" s="363"/>
      <c r="C33" s="364"/>
      <c r="D33" s="365"/>
      <c r="F33" s="14"/>
      <c r="G33" s="342" t="s">
        <v>85</v>
      </c>
      <c r="H33" s="15"/>
      <c r="I33" s="50">
        <f t="shared" si="0"/>
        <v>0</v>
      </c>
      <c r="J33" s="15"/>
      <c r="K33" s="16">
        <f t="shared" si="1"/>
        <v>0</v>
      </c>
    </row>
    <row r="34" spans="1:11" ht="18" customHeight="1">
      <c r="A34" s="5" t="s">
        <v>136</v>
      </c>
      <c r="B34" s="636"/>
      <c r="C34" s="637"/>
      <c r="D34" s="638"/>
      <c r="F34" s="14"/>
      <c r="G34" s="342" t="s">
        <v>85</v>
      </c>
      <c r="H34" s="15"/>
      <c r="I34" s="50">
        <f t="shared" si="0"/>
        <v>0</v>
      </c>
      <c r="J34" s="15"/>
      <c r="K34" s="16">
        <f t="shared" si="1"/>
        <v>0</v>
      </c>
    </row>
    <row r="35" spans="1:11" ht="18" customHeight="1">
      <c r="K35" s="44"/>
    </row>
    <row r="36" spans="1:11" ht="18" customHeight="1">
      <c r="A36" s="6" t="s">
        <v>137</v>
      </c>
      <c r="B36" s="2" t="s">
        <v>138</v>
      </c>
      <c r="E36" s="2" t="s">
        <v>7</v>
      </c>
      <c r="F36" s="18">
        <f t="shared" ref="F36:K36" si="2">SUM(F21:F34)</f>
        <v>7458</v>
      </c>
      <c r="G36" s="18">
        <f t="shared" si="2"/>
        <v>36597</v>
      </c>
      <c r="H36" s="18">
        <f t="shared" si="2"/>
        <v>247616.71999999997</v>
      </c>
      <c r="I36" s="16">
        <f t="shared" si="2"/>
        <v>176550.72136</v>
      </c>
      <c r="J36" s="16">
        <f t="shared" si="2"/>
        <v>84373</v>
      </c>
      <c r="K36" s="16">
        <f t="shared" si="2"/>
        <v>339794.44136</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6341</v>
      </c>
      <c r="G40" s="14"/>
      <c r="H40" s="15">
        <v>412044.47</v>
      </c>
      <c r="I40" s="50">
        <f t="shared" ref="I40:I44" si="3">H40*F$114</f>
        <v>293787.70710999996</v>
      </c>
      <c r="J40" s="15"/>
      <c r="K40" s="16">
        <f t="shared" ref="K40:K47" si="4">(H40+I40)-J40</f>
        <v>705832.17710999993</v>
      </c>
    </row>
    <row r="41" spans="1:11" ht="18" customHeight="1">
      <c r="A41" s="5" t="s">
        <v>88</v>
      </c>
      <c r="B41" s="641" t="s">
        <v>50</v>
      </c>
      <c r="C41" s="649"/>
      <c r="F41" s="14">
        <v>152</v>
      </c>
      <c r="G41" s="14"/>
      <c r="H41" s="15">
        <v>4101.9799999999996</v>
      </c>
      <c r="I41" s="50">
        <f t="shared" si="3"/>
        <v>2924.7117399999997</v>
      </c>
      <c r="J41" s="15"/>
      <c r="K41" s="16">
        <f t="shared" si="4"/>
        <v>7026.6917399999993</v>
      </c>
    </row>
    <row r="42" spans="1:11" ht="18" customHeight="1">
      <c r="A42" s="5" t="s">
        <v>89</v>
      </c>
      <c r="B42" s="341" t="s">
        <v>11</v>
      </c>
      <c r="F42" s="14">
        <v>2835</v>
      </c>
      <c r="G42" s="14"/>
      <c r="H42" s="15">
        <v>122490.52</v>
      </c>
      <c r="I42" s="50">
        <f t="shared" si="3"/>
        <v>87335.740760000001</v>
      </c>
      <c r="J42" s="15"/>
      <c r="K42" s="16">
        <f t="shared" si="4"/>
        <v>209826.26076</v>
      </c>
    </row>
    <row r="43" spans="1:11" ht="18" customHeight="1">
      <c r="A43" s="5" t="s">
        <v>90</v>
      </c>
      <c r="B43" s="343" t="s">
        <v>10</v>
      </c>
      <c r="C43" s="10"/>
      <c r="D43" s="10"/>
      <c r="F43" s="14">
        <v>0</v>
      </c>
      <c r="G43" s="14">
        <v>4</v>
      </c>
      <c r="H43" s="15">
        <v>4000</v>
      </c>
      <c r="I43" s="50">
        <f t="shared" si="3"/>
        <v>2852</v>
      </c>
      <c r="J43" s="15"/>
      <c r="K43" s="16">
        <f t="shared" si="4"/>
        <v>6852</v>
      </c>
    </row>
    <row r="44" spans="1:11" ht="18" customHeight="1">
      <c r="A44" s="5" t="s">
        <v>91</v>
      </c>
      <c r="B44" s="636" t="s">
        <v>763</v>
      </c>
      <c r="C44" s="637"/>
      <c r="D44" s="638"/>
      <c r="F44" s="54">
        <v>1248</v>
      </c>
      <c r="G44" s="54">
        <v>6100</v>
      </c>
      <c r="H44" s="54">
        <v>84962.25</v>
      </c>
      <c r="I44" s="50">
        <f t="shared" si="3"/>
        <v>60578.08425</v>
      </c>
      <c r="J44" s="54">
        <v>2880</v>
      </c>
      <c r="K44" s="56">
        <f t="shared" si="4"/>
        <v>142660.33425000001</v>
      </c>
    </row>
    <row r="45" spans="1:11" ht="18" customHeight="1">
      <c r="A45" s="5" t="s">
        <v>139</v>
      </c>
      <c r="B45" s="636" t="s">
        <v>764</v>
      </c>
      <c r="C45" s="637"/>
      <c r="D45" s="638"/>
      <c r="F45" s="14">
        <v>255</v>
      </c>
      <c r="G45" s="14">
        <v>470</v>
      </c>
      <c r="H45" s="15">
        <v>1806034</v>
      </c>
      <c r="I45" s="50">
        <v>223948</v>
      </c>
      <c r="J45" s="15">
        <v>2029982</v>
      </c>
      <c r="K45" s="16">
        <f t="shared" si="4"/>
        <v>0</v>
      </c>
    </row>
    <row r="46" spans="1:11" ht="18" customHeight="1">
      <c r="A46" s="5" t="s">
        <v>140</v>
      </c>
      <c r="B46" s="636" t="s">
        <v>765</v>
      </c>
      <c r="C46" s="637"/>
      <c r="D46" s="638"/>
      <c r="F46" s="14">
        <v>368</v>
      </c>
      <c r="G46" s="14">
        <v>3000</v>
      </c>
      <c r="H46" s="15">
        <v>81984</v>
      </c>
      <c r="I46" s="50"/>
      <c r="J46" s="15">
        <v>81984</v>
      </c>
      <c r="K46" s="16">
        <f t="shared" si="4"/>
        <v>0</v>
      </c>
    </row>
    <row r="47" spans="1:11" ht="18" customHeight="1">
      <c r="A47" s="5" t="s">
        <v>141</v>
      </c>
      <c r="B47" s="636"/>
      <c r="C47" s="637"/>
      <c r="D47" s="638"/>
      <c r="F47" s="14"/>
      <c r="G47" s="14"/>
      <c r="H47" s="15"/>
      <c r="I47" s="50">
        <v>0</v>
      </c>
      <c r="J47" s="15"/>
      <c r="K47" s="16">
        <f t="shared" si="4"/>
        <v>0</v>
      </c>
    </row>
    <row r="49" spans="1:11" ht="18" customHeight="1">
      <c r="A49" s="6" t="s">
        <v>142</v>
      </c>
      <c r="B49" s="2" t="s">
        <v>143</v>
      </c>
      <c r="E49" s="2" t="s">
        <v>7</v>
      </c>
      <c r="F49" s="23">
        <f t="shared" ref="F49:K49" si="5">SUM(F40:F47)</f>
        <v>11199</v>
      </c>
      <c r="G49" s="23">
        <f t="shared" si="5"/>
        <v>9574</v>
      </c>
      <c r="H49" s="16">
        <f t="shared" si="5"/>
        <v>2515617.2199999997</v>
      </c>
      <c r="I49" s="16">
        <f t="shared" si="5"/>
        <v>671426.24386000005</v>
      </c>
      <c r="J49" s="16">
        <f t="shared" si="5"/>
        <v>2114846</v>
      </c>
      <c r="K49" s="16">
        <f t="shared" si="5"/>
        <v>1072197.46386</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69" t="s">
        <v>766</v>
      </c>
      <c r="C53" s="648"/>
      <c r="D53" s="644"/>
      <c r="F53" s="14">
        <v>7576</v>
      </c>
      <c r="G53" s="14">
        <v>3056</v>
      </c>
      <c r="H53" s="15">
        <v>459767.01</v>
      </c>
      <c r="I53" s="50"/>
      <c r="J53" s="15">
        <v>459767.01</v>
      </c>
      <c r="K53" s="16">
        <f t="shared" ref="K53:K62" si="6">(H53+I53)-J53</f>
        <v>0</v>
      </c>
    </row>
    <row r="54" spans="1:11" ht="18" customHeight="1">
      <c r="A54" s="5" t="s">
        <v>93</v>
      </c>
      <c r="B54" s="360" t="s">
        <v>767</v>
      </c>
      <c r="C54" s="361"/>
      <c r="D54" s="362"/>
      <c r="F54" s="14">
        <v>2989</v>
      </c>
      <c r="G54" s="14">
        <v>2435</v>
      </c>
      <c r="H54" s="15">
        <v>243452.73</v>
      </c>
      <c r="I54" s="50">
        <f t="shared" ref="I54:I57" si="7">H54*F$114</f>
        <v>173581.79649000001</v>
      </c>
      <c r="J54" s="15">
        <v>312638</v>
      </c>
      <c r="K54" s="16">
        <f t="shared" si="6"/>
        <v>104396.52649000002</v>
      </c>
    </row>
    <row r="55" spans="1:11" ht="18" customHeight="1">
      <c r="A55" s="5" t="s">
        <v>94</v>
      </c>
      <c r="B55" s="642" t="s">
        <v>768</v>
      </c>
      <c r="C55" s="643"/>
      <c r="D55" s="644"/>
      <c r="F55" s="14"/>
      <c r="G55" s="14"/>
      <c r="H55" s="15">
        <v>731818</v>
      </c>
      <c r="I55" s="50">
        <f t="shared" si="7"/>
        <v>521786.234</v>
      </c>
      <c r="J55" s="15"/>
      <c r="K55" s="16">
        <f t="shared" si="6"/>
        <v>1253604.2339999999</v>
      </c>
    </row>
    <row r="56" spans="1:11" ht="18" customHeight="1">
      <c r="A56" s="5" t="s">
        <v>95</v>
      </c>
      <c r="B56" s="642" t="s">
        <v>769</v>
      </c>
      <c r="C56" s="643"/>
      <c r="D56" s="644"/>
      <c r="F56" s="14">
        <v>3161</v>
      </c>
      <c r="G56" s="14">
        <v>2145</v>
      </c>
      <c r="H56" s="15">
        <v>119861.88</v>
      </c>
      <c r="I56" s="50">
        <f t="shared" si="7"/>
        <v>85461.520439999993</v>
      </c>
      <c r="J56" s="15"/>
      <c r="K56" s="16">
        <f t="shared" si="6"/>
        <v>205323.40044</v>
      </c>
    </row>
    <row r="57" spans="1:11" ht="18" customHeight="1">
      <c r="A57" s="5" t="s">
        <v>96</v>
      </c>
      <c r="B57" s="642" t="s">
        <v>770</v>
      </c>
      <c r="C57" s="643"/>
      <c r="D57" s="644"/>
      <c r="F57" s="14">
        <v>7510</v>
      </c>
      <c r="G57" s="14">
        <v>4373</v>
      </c>
      <c r="H57" s="15">
        <v>501256</v>
      </c>
      <c r="I57" s="50">
        <f t="shared" si="7"/>
        <v>357395.52799999999</v>
      </c>
      <c r="J57" s="15">
        <v>642426</v>
      </c>
      <c r="K57" s="16">
        <f t="shared" si="6"/>
        <v>216225.52799999993</v>
      </c>
    </row>
    <row r="58" spans="1:11" ht="18" customHeight="1">
      <c r="A58" s="5" t="s">
        <v>97</v>
      </c>
      <c r="B58" s="360"/>
      <c r="C58" s="361"/>
      <c r="D58" s="362"/>
      <c r="F58" s="14"/>
      <c r="G58" s="14"/>
      <c r="H58" s="15"/>
      <c r="I58" s="50">
        <v>0</v>
      </c>
      <c r="J58" s="15"/>
      <c r="K58" s="16">
        <f t="shared" si="6"/>
        <v>0</v>
      </c>
    </row>
    <row r="59" spans="1:11" ht="18" customHeight="1">
      <c r="A59" s="5" t="s">
        <v>98</v>
      </c>
      <c r="B59" s="642"/>
      <c r="C59" s="643"/>
      <c r="D59" s="644"/>
      <c r="F59" s="14"/>
      <c r="G59" s="14"/>
      <c r="H59" s="15"/>
      <c r="I59" s="50">
        <v>0</v>
      </c>
      <c r="J59" s="15"/>
      <c r="K59" s="16">
        <f t="shared" si="6"/>
        <v>0</v>
      </c>
    </row>
    <row r="60" spans="1:11" ht="18" customHeight="1">
      <c r="A60" s="5" t="s">
        <v>99</v>
      </c>
      <c r="B60" s="360"/>
      <c r="C60" s="361"/>
      <c r="D60" s="362"/>
      <c r="F60" s="14"/>
      <c r="G60" s="14"/>
      <c r="H60" s="15"/>
      <c r="I60" s="50">
        <v>0</v>
      </c>
      <c r="J60" s="15"/>
      <c r="K60" s="16">
        <f t="shared" si="6"/>
        <v>0</v>
      </c>
    </row>
    <row r="61" spans="1:11" ht="18" customHeight="1">
      <c r="A61" s="5" t="s">
        <v>100</v>
      </c>
      <c r="B61" s="360"/>
      <c r="C61" s="361"/>
      <c r="D61" s="362"/>
      <c r="F61" s="14"/>
      <c r="G61" s="14"/>
      <c r="H61" s="15"/>
      <c r="I61" s="50">
        <v>0</v>
      </c>
      <c r="J61" s="15"/>
      <c r="K61" s="16">
        <f t="shared" si="6"/>
        <v>0</v>
      </c>
    </row>
    <row r="62" spans="1:11" ht="18" customHeight="1">
      <c r="A62" s="5" t="s">
        <v>101</v>
      </c>
      <c r="B62" s="642"/>
      <c r="C62" s="643"/>
      <c r="D62" s="644"/>
      <c r="F62" s="14"/>
      <c r="G62" s="14"/>
      <c r="H62" s="15"/>
      <c r="I62" s="50">
        <v>0</v>
      </c>
      <c r="J62" s="15"/>
      <c r="K62" s="16">
        <f t="shared" si="6"/>
        <v>0</v>
      </c>
    </row>
    <row r="63" spans="1:11" ht="18" customHeight="1">
      <c r="A63" s="5"/>
      <c r="I63" s="46"/>
    </row>
    <row r="64" spans="1:11" ht="18" customHeight="1">
      <c r="A64" s="5" t="s">
        <v>144</v>
      </c>
      <c r="B64" s="2" t="s">
        <v>145</v>
      </c>
      <c r="E64" s="2" t="s">
        <v>7</v>
      </c>
      <c r="F64" s="18">
        <f t="shared" ref="F64:K64" si="8">SUM(F53:F62)</f>
        <v>21236</v>
      </c>
      <c r="G64" s="18">
        <f t="shared" si="8"/>
        <v>12009</v>
      </c>
      <c r="H64" s="16">
        <f t="shared" si="8"/>
        <v>2056155.62</v>
      </c>
      <c r="I64" s="16">
        <f t="shared" si="8"/>
        <v>1138225.0789300001</v>
      </c>
      <c r="J64" s="16">
        <f t="shared" si="8"/>
        <v>1414831.01</v>
      </c>
      <c r="K64" s="16">
        <f t="shared" si="8"/>
        <v>1779549.6889299999</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14">
        <v>3185</v>
      </c>
      <c r="G68" s="51"/>
      <c r="H68" s="15">
        <v>230921.76</v>
      </c>
      <c r="I68" s="50">
        <v>0</v>
      </c>
      <c r="J68" s="51"/>
      <c r="K68" s="16">
        <f>(H68+I68)-J68</f>
        <v>230921.76</v>
      </c>
    </row>
    <row r="69" spans="1:11" ht="18" customHeight="1">
      <c r="A69" s="5" t="s">
        <v>104</v>
      </c>
      <c r="B69" s="341" t="s">
        <v>53</v>
      </c>
      <c r="F69" s="51"/>
      <c r="G69" s="51"/>
      <c r="H69" s="51"/>
      <c r="I69" s="50">
        <v>0</v>
      </c>
      <c r="J69" s="51"/>
      <c r="K69" s="16">
        <f>(H69+I69)-J69</f>
        <v>0</v>
      </c>
    </row>
    <row r="70" spans="1:11" ht="18" customHeight="1">
      <c r="A70" s="5" t="s">
        <v>178</v>
      </c>
      <c r="B70" s="360"/>
      <c r="C70" s="361"/>
      <c r="D70" s="362"/>
      <c r="E70" s="2"/>
      <c r="F70" s="35"/>
      <c r="G70" s="35"/>
      <c r="H70" s="36"/>
      <c r="I70" s="50">
        <v>0</v>
      </c>
      <c r="J70" s="36"/>
      <c r="K70" s="16">
        <f>(H70+I70)-J70</f>
        <v>0</v>
      </c>
    </row>
    <row r="71" spans="1:11" ht="18" customHeight="1">
      <c r="A71" s="5" t="s">
        <v>179</v>
      </c>
      <c r="B71" s="360"/>
      <c r="C71" s="361"/>
      <c r="D71" s="362"/>
      <c r="E71" s="2"/>
      <c r="F71" s="35"/>
      <c r="G71" s="35"/>
      <c r="H71" s="36"/>
      <c r="I71" s="50">
        <v>0</v>
      </c>
      <c r="J71" s="36"/>
      <c r="K71" s="16">
        <f>(H71+I71)-J71</f>
        <v>0</v>
      </c>
    </row>
    <row r="72" spans="1:11" ht="18" customHeight="1">
      <c r="A72" s="5" t="s">
        <v>180</v>
      </c>
      <c r="B72" s="366"/>
      <c r="C72" s="367"/>
      <c r="D72" s="34"/>
      <c r="E72" s="2"/>
      <c r="F72" s="14"/>
      <c r="G72" s="14"/>
      <c r="H72" s="15"/>
      <c r="I72" s="50">
        <v>0</v>
      </c>
      <c r="J72" s="15"/>
      <c r="K72" s="16">
        <f>(H72+I72)-J72</f>
        <v>0</v>
      </c>
    </row>
    <row r="73" spans="1:11" ht="18" customHeight="1">
      <c r="A73" s="5"/>
      <c r="B73" s="341"/>
      <c r="E73" s="2"/>
      <c r="F73" s="61"/>
      <c r="G73" s="61"/>
      <c r="H73" s="62"/>
      <c r="I73" s="59"/>
      <c r="J73" s="62"/>
      <c r="K73" s="60"/>
    </row>
    <row r="74" spans="1:11" ht="18" customHeight="1">
      <c r="A74" s="6" t="s">
        <v>146</v>
      </c>
      <c r="B74" s="2" t="s">
        <v>147</v>
      </c>
      <c r="E74" s="2" t="s">
        <v>7</v>
      </c>
      <c r="F74" s="21">
        <f t="shared" ref="F74:K74" si="9">SUM(F68:F72)</f>
        <v>3185</v>
      </c>
      <c r="G74" s="21">
        <f t="shared" si="9"/>
        <v>0</v>
      </c>
      <c r="H74" s="21">
        <f t="shared" si="9"/>
        <v>230921.76</v>
      </c>
      <c r="I74" s="53">
        <f t="shared" si="9"/>
        <v>0</v>
      </c>
      <c r="J74" s="21">
        <f t="shared" si="9"/>
        <v>0</v>
      </c>
      <c r="K74" s="17">
        <f t="shared" si="9"/>
        <v>230921.76</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c r="G77" s="14"/>
      <c r="H77" s="15">
        <v>14445</v>
      </c>
      <c r="I77" s="50">
        <f t="shared" ref="I77:I80" si="10">H77*F$114</f>
        <v>10299.285</v>
      </c>
      <c r="J77" s="15"/>
      <c r="K77" s="16">
        <f>(H77+I77)-J77</f>
        <v>24744.285</v>
      </c>
    </row>
    <row r="78" spans="1:11" ht="18" customHeight="1">
      <c r="A78" s="5" t="s">
        <v>108</v>
      </c>
      <c r="B78" s="341" t="s">
        <v>55</v>
      </c>
      <c r="F78" s="14"/>
      <c r="G78" s="14"/>
      <c r="H78" s="15"/>
      <c r="I78" s="50">
        <v>0</v>
      </c>
      <c r="J78" s="15"/>
      <c r="K78" s="16">
        <f>(H78+I78)-J78</f>
        <v>0</v>
      </c>
    </row>
    <row r="79" spans="1:11" ht="18" customHeight="1">
      <c r="A79" s="5" t="s">
        <v>109</v>
      </c>
      <c r="B79" s="341" t="s">
        <v>13</v>
      </c>
      <c r="F79" s="14">
        <v>756.75</v>
      </c>
      <c r="G79" s="14">
        <v>17284</v>
      </c>
      <c r="H79" s="15">
        <v>48914.400000000001</v>
      </c>
      <c r="I79" s="50">
        <f t="shared" si="10"/>
        <v>34875.967199999999</v>
      </c>
      <c r="J79" s="15"/>
      <c r="K79" s="16">
        <f>(H79+I79)-J79</f>
        <v>83790.367200000008</v>
      </c>
    </row>
    <row r="80" spans="1:11" ht="18" customHeight="1">
      <c r="A80" s="5" t="s">
        <v>110</v>
      </c>
      <c r="B80" s="341" t="s">
        <v>56</v>
      </c>
      <c r="F80" s="14">
        <v>2080</v>
      </c>
      <c r="G80" s="14"/>
      <c r="H80" s="15">
        <v>68997</v>
      </c>
      <c r="I80" s="50">
        <f t="shared" si="10"/>
        <v>49194.860999999997</v>
      </c>
      <c r="J80" s="15"/>
      <c r="K80" s="16">
        <f>(H80+I80)-J80</f>
        <v>118191.861</v>
      </c>
    </row>
    <row r="81" spans="1:11" ht="18" customHeight="1">
      <c r="A81" s="5"/>
      <c r="K81" s="40"/>
    </row>
    <row r="82" spans="1:11" ht="18" customHeight="1">
      <c r="A82" s="5" t="s">
        <v>148</v>
      </c>
      <c r="B82" s="2" t="s">
        <v>149</v>
      </c>
      <c r="E82" s="2" t="s">
        <v>7</v>
      </c>
      <c r="F82" s="21">
        <f t="shared" ref="F82:K82" si="11">SUM(F77:F80)</f>
        <v>2836.75</v>
      </c>
      <c r="G82" s="21">
        <f t="shared" si="11"/>
        <v>17284</v>
      </c>
      <c r="H82" s="17">
        <f t="shared" si="11"/>
        <v>132356.4</v>
      </c>
      <c r="I82" s="17">
        <f t="shared" si="11"/>
        <v>94370.113199999993</v>
      </c>
      <c r="J82" s="17">
        <f t="shared" si="11"/>
        <v>0</v>
      </c>
      <c r="K82" s="17">
        <f t="shared" si="11"/>
        <v>226726.51320000002</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c r="G86" s="14"/>
      <c r="H86" s="15"/>
      <c r="I86" s="50">
        <f t="shared" ref="I86:I96" si="12">H86*F$114</f>
        <v>0</v>
      </c>
      <c r="J86" s="15"/>
      <c r="K86" s="16">
        <f t="shared" ref="K86:K96" si="13">(H86+I86)-J86</f>
        <v>0</v>
      </c>
    </row>
    <row r="87" spans="1:11" ht="18" customHeight="1">
      <c r="A87" s="5" t="s">
        <v>114</v>
      </c>
      <c r="B87" s="341" t="s">
        <v>14</v>
      </c>
      <c r="F87" s="14"/>
      <c r="G87" s="14"/>
      <c r="H87" s="15"/>
      <c r="I87" s="50">
        <f t="shared" si="12"/>
        <v>0</v>
      </c>
      <c r="J87" s="15"/>
      <c r="K87" s="16">
        <f t="shared" si="13"/>
        <v>0</v>
      </c>
    </row>
    <row r="88" spans="1:11" ht="18" customHeight="1">
      <c r="A88" s="5" t="s">
        <v>115</v>
      </c>
      <c r="B88" s="341" t="s">
        <v>116</v>
      </c>
      <c r="F88" s="14"/>
      <c r="G88" s="14"/>
      <c r="H88" s="15"/>
      <c r="I88" s="50">
        <f t="shared" si="12"/>
        <v>0</v>
      </c>
      <c r="J88" s="15"/>
      <c r="K88" s="16">
        <f t="shared" si="13"/>
        <v>0</v>
      </c>
    </row>
    <row r="89" spans="1:11" ht="18" customHeight="1">
      <c r="A89" s="5" t="s">
        <v>117</v>
      </c>
      <c r="B89" s="341" t="s">
        <v>58</v>
      </c>
      <c r="F89" s="14"/>
      <c r="G89" s="14"/>
      <c r="H89" s="15"/>
      <c r="I89" s="50">
        <f t="shared" si="12"/>
        <v>0</v>
      </c>
      <c r="J89" s="15"/>
      <c r="K89" s="16">
        <f t="shared" si="13"/>
        <v>0</v>
      </c>
    </row>
    <row r="90" spans="1:11" ht="18" customHeight="1">
      <c r="A90" s="5" t="s">
        <v>118</v>
      </c>
      <c r="B90" s="641" t="s">
        <v>59</v>
      </c>
      <c r="C90" s="649"/>
      <c r="F90" s="14"/>
      <c r="G90" s="14"/>
      <c r="H90" s="15"/>
      <c r="I90" s="50">
        <f t="shared" si="12"/>
        <v>0</v>
      </c>
      <c r="J90" s="15"/>
      <c r="K90" s="16">
        <f t="shared" si="13"/>
        <v>0</v>
      </c>
    </row>
    <row r="91" spans="1:11" ht="18" customHeight="1">
      <c r="A91" s="5" t="s">
        <v>119</v>
      </c>
      <c r="B91" s="341" t="s">
        <v>60</v>
      </c>
      <c r="F91" s="14">
        <v>362</v>
      </c>
      <c r="G91" s="14"/>
      <c r="H91" s="15">
        <v>136291.78</v>
      </c>
      <c r="I91" s="50">
        <f t="shared" si="12"/>
        <v>97176.039139999993</v>
      </c>
      <c r="J91" s="15"/>
      <c r="K91" s="16">
        <f t="shared" si="13"/>
        <v>233467.81913999998</v>
      </c>
    </row>
    <row r="92" spans="1:11" ht="18" customHeight="1">
      <c r="A92" s="5" t="s">
        <v>120</v>
      </c>
      <c r="B92" s="341" t="s">
        <v>121</v>
      </c>
      <c r="F92" s="38">
        <v>11</v>
      </c>
      <c r="G92" s="38"/>
      <c r="H92" s="39">
        <v>1100</v>
      </c>
      <c r="I92" s="50">
        <f t="shared" si="12"/>
        <v>784.3</v>
      </c>
      <c r="J92" s="39"/>
      <c r="K92" s="16">
        <f t="shared" si="13"/>
        <v>1884.3</v>
      </c>
    </row>
    <row r="93" spans="1:11" ht="18" customHeight="1">
      <c r="A93" s="5" t="s">
        <v>122</v>
      </c>
      <c r="B93" s="341" t="s">
        <v>123</v>
      </c>
      <c r="F93" s="14"/>
      <c r="G93" s="14"/>
      <c r="H93" s="15"/>
      <c r="I93" s="50">
        <f t="shared" si="12"/>
        <v>0</v>
      </c>
      <c r="J93" s="15"/>
      <c r="K93" s="16">
        <f t="shared" si="13"/>
        <v>0</v>
      </c>
    </row>
    <row r="94" spans="1:11" ht="18" customHeight="1">
      <c r="A94" s="5" t="s">
        <v>124</v>
      </c>
      <c r="B94" s="642"/>
      <c r="C94" s="643"/>
      <c r="D94" s="644"/>
      <c r="F94" s="14"/>
      <c r="G94" s="14"/>
      <c r="H94" s="15"/>
      <c r="I94" s="50">
        <f t="shared" si="12"/>
        <v>0</v>
      </c>
      <c r="J94" s="15"/>
      <c r="K94" s="16">
        <f t="shared" si="13"/>
        <v>0</v>
      </c>
    </row>
    <row r="95" spans="1:11" ht="18" customHeight="1">
      <c r="A95" s="5" t="s">
        <v>125</v>
      </c>
      <c r="B95" s="642"/>
      <c r="C95" s="643"/>
      <c r="D95" s="644"/>
      <c r="F95" s="14"/>
      <c r="G95" s="14"/>
      <c r="H95" s="15"/>
      <c r="I95" s="50">
        <f t="shared" si="12"/>
        <v>0</v>
      </c>
      <c r="J95" s="15"/>
      <c r="K95" s="16">
        <f t="shared" si="13"/>
        <v>0</v>
      </c>
    </row>
    <row r="96" spans="1:11" ht="18" customHeight="1">
      <c r="A96" s="5" t="s">
        <v>126</v>
      </c>
      <c r="B96" s="642"/>
      <c r="C96" s="643"/>
      <c r="D96" s="644"/>
      <c r="F96" s="14"/>
      <c r="G96" s="14"/>
      <c r="H96" s="15"/>
      <c r="I96" s="50">
        <f t="shared" si="12"/>
        <v>0</v>
      </c>
      <c r="J96" s="15"/>
      <c r="K96" s="16">
        <f t="shared" si="13"/>
        <v>0</v>
      </c>
    </row>
    <row r="97" spans="1:11" ht="18" customHeight="1">
      <c r="A97" s="5"/>
      <c r="B97" s="341"/>
    </row>
    <row r="98" spans="1:11" ht="18" customHeight="1">
      <c r="A98" s="6" t="s">
        <v>150</v>
      </c>
      <c r="B98" s="2" t="s">
        <v>151</v>
      </c>
      <c r="E98" s="2" t="s">
        <v>7</v>
      </c>
      <c r="F98" s="18">
        <f t="shared" ref="F98:K98" si="14">SUM(F86:F96)</f>
        <v>373</v>
      </c>
      <c r="G98" s="18">
        <f t="shared" si="14"/>
        <v>0</v>
      </c>
      <c r="H98" s="18">
        <f t="shared" si="14"/>
        <v>137391.78</v>
      </c>
      <c r="I98" s="18">
        <f t="shared" si="14"/>
        <v>97960.339139999996</v>
      </c>
      <c r="J98" s="18">
        <f t="shared" si="14"/>
        <v>0</v>
      </c>
      <c r="K98" s="18">
        <f t="shared" si="14"/>
        <v>235352.11913999997</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360</v>
      </c>
      <c r="G102" s="14"/>
      <c r="H102" s="15">
        <v>251505.6</v>
      </c>
      <c r="I102" s="50">
        <f>H102*F$114</f>
        <v>179323.49280000001</v>
      </c>
      <c r="J102" s="15"/>
      <c r="K102" s="16">
        <f>(H102+I102)-J102</f>
        <v>430829.09279999998</v>
      </c>
    </row>
    <row r="103" spans="1:11" ht="18" customHeight="1">
      <c r="A103" s="5" t="s">
        <v>132</v>
      </c>
      <c r="B103" s="641" t="s">
        <v>62</v>
      </c>
      <c r="C103" s="641"/>
      <c r="F103" s="14">
        <v>35</v>
      </c>
      <c r="G103" s="14"/>
      <c r="H103" s="15">
        <v>13015.4</v>
      </c>
      <c r="I103" s="50">
        <f>H103*F$114</f>
        <v>9279.9802</v>
      </c>
      <c r="J103" s="15"/>
      <c r="K103" s="16">
        <f>(H103+I103)-J103</f>
        <v>22295.3802</v>
      </c>
    </row>
    <row r="104" spans="1:11" ht="18" customHeight="1">
      <c r="A104" s="5" t="s">
        <v>128</v>
      </c>
      <c r="B104" s="642"/>
      <c r="C104" s="643"/>
      <c r="D104" s="644"/>
      <c r="F104" s="14"/>
      <c r="G104" s="14"/>
      <c r="H104" s="15"/>
      <c r="I104" s="50">
        <f>H104*F$114</f>
        <v>0</v>
      </c>
      <c r="J104" s="15"/>
      <c r="K104" s="16">
        <f>(H104+I104)-J104</f>
        <v>0</v>
      </c>
    </row>
    <row r="105" spans="1:11" ht="18" customHeight="1">
      <c r="A105" s="5" t="s">
        <v>127</v>
      </c>
      <c r="B105" s="642"/>
      <c r="C105" s="643"/>
      <c r="D105" s="644"/>
      <c r="F105" s="14"/>
      <c r="G105" s="14"/>
      <c r="H105" s="15"/>
      <c r="I105" s="50">
        <f>H105*F$114</f>
        <v>0</v>
      </c>
      <c r="J105" s="15"/>
      <c r="K105" s="16">
        <f>(H105+I105)-J105</f>
        <v>0</v>
      </c>
    </row>
    <row r="106" spans="1:11" ht="18" customHeight="1">
      <c r="A106" s="5" t="s">
        <v>129</v>
      </c>
      <c r="B106" s="642"/>
      <c r="C106" s="643"/>
      <c r="D106" s="644"/>
      <c r="F106" s="14"/>
      <c r="G106" s="14"/>
      <c r="H106" s="15"/>
      <c r="I106" s="50">
        <f>H106*F$114</f>
        <v>0</v>
      </c>
      <c r="J106" s="15"/>
      <c r="K106" s="16">
        <f>(H106+I106)-J106</f>
        <v>0</v>
      </c>
    </row>
    <row r="107" spans="1:11" ht="18" customHeight="1">
      <c r="B107" s="2"/>
    </row>
    <row r="108" spans="1:11" s="10" customFormat="1" ht="18" customHeight="1">
      <c r="A108" s="6" t="s">
        <v>153</v>
      </c>
      <c r="B108" s="63" t="s">
        <v>154</v>
      </c>
      <c r="C108"/>
      <c r="D108"/>
      <c r="E108" s="2" t="s">
        <v>7</v>
      </c>
      <c r="F108" s="18">
        <f t="shared" ref="F108:K108" si="15">SUM(F102:F106)</f>
        <v>395</v>
      </c>
      <c r="G108" s="18">
        <f t="shared" si="15"/>
        <v>0</v>
      </c>
      <c r="H108" s="16">
        <f t="shared" si="15"/>
        <v>264521</v>
      </c>
      <c r="I108" s="16">
        <f t="shared" si="15"/>
        <v>188603.473</v>
      </c>
      <c r="J108" s="16">
        <f t="shared" si="15"/>
        <v>0</v>
      </c>
      <c r="K108" s="16">
        <f t="shared" si="15"/>
        <v>453124.473</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8367519</v>
      </c>
    </row>
    <row r="112" spans="1:11" ht="18" customHeight="1">
      <c r="B112" s="2"/>
      <c r="E112" s="2"/>
      <c r="F112" s="22"/>
    </row>
    <row r="113" spans="1:6" ht="18" customHeight="1">
      <c r="A113" s="6"/>
      <c r="B113" s="2" t="s">
        <v>15</v>
      </c>
    </row>
    <row r="114" spans="1:6" ht="18" customHeight="1">
      <c r="A114" s="5" t="s">
        <v>171</v>
      </c>
      <c r="B114" s="341" t="s">
        <v>35</v>
      </c>
      <c r="F114" s="25">
        <v>0.71299999999999997</v>
      </c>
    </row>
    <row r="115" spans="1:6" ht="18" customHeight="1">
      <c r="A115" s="5"/>
      <c r="B115" s="2"/>
    </row>
    <row r="116" spans="1:6" ht="18" customHeight="1">
      <c r="A116" s="5" t="s">
        <v>170</v>
      </c>
      <c r="B116" s="2" t="s">
        <v>16</v>
      </c>
    </row>
    <row r="117" spans="1:6" ht="18" customHeight="1">
      <c r="A117" s="5" t="s">
        <v>172</v>
      </c>
      <c r="B117" s="341" t="s">
        <v>17</v>
      </c>
      <c r="F117" s="15">
        <v>197695434</v>
      </c>
    </row>
    <row r="118" spans="1:6" ht="18" customHeight="1">
      <c r="A118" s="5" t="s">
        <v>173</v>
      </c>
      <c r="B118" t="s">
        <v>18</v>
      </c>
      <c r="F118" s="15">
        <v>12605502</v>
      </c>
    </row>
    <row r="119" spans="1:6" ht="18" customHeight="1">
      <c r="A119" s="5" t="s">
        <v>174</v>
      </c>
      <c r="B119" s="2" t="s">
        <v>19</v>
      </c>
      <c r="F119" s="17">
        <f>SUM(F117:F118)</f>
        <v>210300936</v>
      </c>
    </row>
    <row r="120" spans="1:6" ht="18" customHeight="1">
      <c r="A120" s="5"/>
      <c r="B120" s="2"/>
    </row>
    <row r="121" spans="1:6" ht="18" customHeight="1">
      <c r="A121" s="5" t="s">
        <v>167</v>
      </c>
      <c r="B121" s="2" t="s">
        <v>36</v>
      </c>
      <c r="F121" s="15">
        <v>198270704</v>
      </c>
    </row>
    <row r="122" spans="1:6" ht="18" customHeight="1">
      <c r="A122" s="5"/>
    </row>
    <row r="123" spans="1:6" ht="18" customHeight="1">
      <c r="A123" s="5" t="s">
        <v>175</v>
      </c>
      <c r="B123" s="2" t="s">
        <v>20</v>
      </c>
      <c r="F123" s="15">
        <v>12030232</v>
      </c>
    </row>
    <row r="124" spans="1:6" ht="18" customHeight="1">
      <c r="A124" s="5"/>
    </row>
    <row r="125" spans="1:6" ht="18" customHeight="1">
      <c r="A125" s="5" t="s">
        <v>176</v>
      </c>
      <c r="B125" s="2" t="s">
        <v>21</v>
      </c>
      <c r="F125" s="15">
        <v>4805326</v>
      </c>
    </row>
    <row r="126" spans="1:6" ht="18" customHeight="1">
      <c r="A126" s="5"/>
    </row>
    <row r="127" spans="1:6" ht="18" customHeight="1">
      <c r="A127" s="5" t="s">
        <v>177</v>
      </c>
      <c r="B127" s="2" t="s">
        <v>22</v>
      </c>
      <c r="F127" s="15">
        <v>16835558</v>
      </c>
    </row>
    <row r="128" spans="1:6" ht="18" customHeight="1">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f>(H131+I131)-J131</f>
        <v>0</v>
      </c>
    </row>
    <row r="132" spans="1:11" ht="18" customHeight="1">
      <c r="A132" s="5" t="s">
        <v>159</v>
      </c>
      <c r="B132" t="s">
        <v>25</v>
      </c>
      <c r="F132" s="14"/>
      <c r="G132" s="14"/>
      <c r="H132" s="15"/>
      <c r="I132" s="50">
        <v>0</v>
      </c>
      <c r="J132" s="15"/>
      <c r="K132" s="16">
        <f>(H132+I132)-J132</f>
        <v>0</v>
      </c>
    </row>
    <row r="133" spans="1:11" ht="18" customHeight="1">
      <c r="A133" s="5" t="s">
        <v>160</v>
      </c>
      <c r="B133" s="636"/>
      <c r="C133" s="637"/>
      <c r="D133" s="638"/>
      <c r="F133" s="14"/>
      <c r="G133" s="14"/>
      <c r="H133" s="15"/>
      <c r="I133" s="50">
        <v>0</v>
      </c>
      <c r="J133" s="15"/>
      <c r="K133" s="16">
        <f>(H133+I133)-J133</f>
        <v>0</v>
      </c>
    </row>
    <row r="134" spans="1:11" ht="18" customHeight="1">
      <c r="A134" s="5" t="s">
        <v>161</v>
      </c>
      <c r="B134" s="636"/>
      <c r="C134" s="637"/>
      <c r="D134" s="638"/>
      <c r="F134" s="14"/>
      <c r="G134" s="14"/>
      <c r="H134" s="15"/>
      <c r="I134" s="50">
        <v>0</v>
      </c>
      <c r="J134" s="15"/>
      <c r="K134" s="16">
        <f>(H134+I134)-J134</f>
        <v>0</v>
      </c>
    </row>
    <row r="135" spans="1:11" ht="18" customHeight="1">
      <c r="A135" s="5" t="s">
        <v>162</v>
      </c>
      <c r="B135" s="636"/>
      <c r="C135" s="637"/>
      <c r="D135" s="638"/>
      <c r="F135" s="14"/>
      <c r="G135" s="14"/>
      <c r="H135" s="15"/>
      <c r="I135" s="50">
        <v>0</v>
      </c>
      <c r="J135" s="15"/>
      <c r="K135" s="16">
        <f>(H135+I135)-J135</f>
        <v>0</v>
      </c>
    </row>
    <row r="136" spans="1:11" ht="18" customHeight="1">
      <c r="A136" s="6"/>
    </row>
    <row r="137" spans="1:11" ht="18" customHeight="1">
      <c r="A137" s="6" t="s">
        <v>163</v>
      </c>
      <c r="B137" s="2" t="s">
        <v>27</v>
      </c>
      <c r="F137" s="18">
        <f t="shared" ref="F137:K137" si="16">SUM(F131:F135)</f>
        <v>0</v>
      </c>
      <c r="G137" s="18">
        <f t="shared" si="16"/>
        <v>0</v>
      </c>
      <c r="H137" s="16">
        <f t="shared" si="16"/>
        <v>0</v>
      </c>
      <c r="I137" s="16">
        <f t="shared" si="16"/>
        <v>0</v>
      </c>
      <c r="J137" s="16">
        <f t="shared" si="16"/>
        <v>0</v>
      </c>
      <c r="K137" s="16">
        <f t="shared" si="16"/>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f t="shared" ref="F141:K141" si="17">F36</f>
        <v>7458</v>
      </c>
      <c r="G141" s="41">
        <f t="shared" si="17"/>
        <v>36597</v>
      </c>
      <c r="H141" s="41">
        <f t="shared" si="17"/>
        <v>247616.71999999997</v>
      </c>
      <c r="I141" s="41">
        <f t="shared" si="17"/>
        <v>176550.72136</v>
      </c>
      <c r="J141" s="41">
        <f t="shared" si="17"/>
        <v>84373</v>
      </c>
      <c r="K141" s="41">
        <f t="shared" si="17"/>
        <v>339794.44136</v>
      </c>
    </row>
    <row r="142" spans="1:11" ht="18" customHeight="1">
      <c r="A142" s="5" t="s">
        <v>142</v>
      </c>
      <c r="B142" s="2" t="s">
        <v>65</v>
      </c>
      <c r="F142" s="41">
        <f t="shared" ref="F142:K142" si="18">F49</f>
        <v>11199</v>
      </c>
      <c r="G142" s="41">
        <f t="shared" si="18"/>
        <v>9574</v>
      </c>
      <c r="H142" s="41">
        <f t="shared" si="18"/>
        <v>2515617.2199999997</v>
      </c>
      <c r="I142" s="41">
        <f t="shared" si="18"/>
        <v>671426.24386000005</v>
      </c>
      <c r="J142" s="41">
        <f t="shared" si="18"/>
        <v>2114846</v>
      </c>
      <c r="K142" s="41">
        <f t="shared" si="18"/>
        <v>1072197.46386</v>
      </c>
    </row>
    <row r="143" spans="1:11" ht="18" customHeight="1">
      <c r="A143" s="5" t="s">
        <v>144</v>
      </c>
      <c r="B143" s="2" t="s">
        <v>66</v>
      </c>
      <c r="F143" s="41">
        <f t="shared" ref="F143:K143" si="19">F64</f>
        <v>21236</v>
      </c>
      <c r="G143" s="41">
        <f t="shared" si="19"/>
        <v>12009</v>
      </c>
      <c r="H143" s="41">
        <f t="shared" si="19"/>
        <v>2056155.62</v>
      </c>
      <c r="I143" s="41">
        <f t="shared" si="19"/>
        <v>1138225.0789300001</v>
      </c>
      <c r="J143" s="41">
        <f t="shared" si="19"/>
        <v>1414831.01</v>
      </c>
      <c r="K143" s="41">
        <f t="shared" si="19"/>
        <v>1779549.6889299999</v>
      </c>
    </row>
    <row r="144" spans="1:11" ht="18" customHeight="1">
      <c r="A144" s="5" t="s">
        <v>146</v>
      </c>
      <c r="B144" s="2" t="s">
        <v>67</v>
      </c>
      <c r="F144" s="41">
        <f t="shared" ref="F144:K144" si="20">F74</f>
        <v>3185</v>
      </c>
      <c r="G144" s="41">
        <f t="shared" si="20"/>
        <v>0</v>
      </c>
      <c r="H144" s="41">
        <f t="shared" si="20"/>
        <v>230921.76</v>
      </c>
      <c r="I144" s="41">
        <f t="shared" si="20"/>
        <v>0</v>
      </c>
      <c r="J144" s="41">
        <f t="shared" si="20"/>
        <v>0</v>
      </c>
      <c r="K144" s="41">
        <f t="shared" si="20"/>
        <v>230921.76</v>
      </c>
    </row>
    <row r="145" spans="1:11" ht="18" customHeight="1">
      <c r="A145" s="5" t="s">
        <v>148</v>
      </c>
      <c r="B145" s="2" t="s">
        <v>68</v>
      </c>
      <c r="F145" s="41">
        <f t="shared" ref="F145:K145" si="21">F82</f>
        <v>2836.75</v>
      </c>
      <c r="G145" s="41">
        <f t="shared" si="21"/>
        <v>17284</v>
      </c>
      <c r="H145" s="41">
        <f t="shared" si="21"/>
        <v>132356.4</v>
      </c>
      <c r="I145" s="41">
        <f t="shared" si="21"/>
        <v>94370.113199999993</v>
      </c>
      <c r="J145" s="41">
        <f t="shared" si="21"/>
        <v>0</v>
      </c>
      <c r="K145" s="41">
        <f t="shared" si="21"/>
        <v>226726.51320000002</v>
      </c>
    </row>
    <row r="146" spans="1:11" ht="18" customHeight="1">
      <c r="A146" s="5" t="s">
        <v>150</v>
      </c>
      <c r="B146" s="2" t="s">
        <v>69</v>
      </c>
      <c r="F146" s="41">
        <f t="shared" ref="F146:K146" si="22">F98</f>
        <v>373</v>
      </c>
      <c r="G146" s="41">
        <f t="shared" si="22"/>
        <v>0</v>
      </c>
      <c r="H146" s="41">
        <f t="shared" si="22"/>
        <v>137391.78</v>
      </c>
      <c r="I146" s="41">
        <f t="shared" si="22"/>
        <v>97960.339139999996</v>
      </c>
      <c r="J146" s="41">
        <f t="shared" si="22"/>
        <v>0</v>
      </c>
      <c r="K146" s="41">
        <f t="shared" si="22"/>
        <v>235352.11913999997</v>
      </c>
    </row>
    <row r="147" spans="1:11" ht="18" customHeight="1">
      <c r="A147" s="5" t="s">
        <v>153</v>
      </c>
      <c r="B147" s="2" t="s">
        <v>61</v>
      </c>
      <c r="F147" s="18">
        <f t="shared" ref="F147:K147" si="23">F108</f>
        <v>395</v>
      </c>
      <c r="G147" s="18">
        <f t="shared" si="23"/>
        <v>0</v>
      </c>
      <c r="H147" s="18">
        <f t="shared" si="23"/>
        <v>264521</v>
      </c>
      <c r="I147" s="18">
        <f t="shared" si="23"/>
        <v>188603.473</v>
      </c>
      <c r="J147" s="18">
        <f t="shared" si="23"/>
        <v>0</v>
      </c>
      <c r="K147" s="18">
        <f t="shared" si="23"/>
        <v>453124.473</v>
      </c>
    </row>
    <row r="148" spans="1:11" ht="18" customHeight="1">
      <c r="A148" s="5" t="s">
        <v>155</v>
      </c>
      <c r="B148" s="2" t="s">
        <v>70</v>
      </c>
      <c r="F148" s="42" t="s">
        <v>73</v>
      </c>
      <c r="G148" s="42" t="s">
        <v>73</v>
      </c>
      <c r="H148" s="43" t="s">
        <v>73</v>
      </c>
      <c r="I148" s="43" t="s">
        <v>73</v>
      </c>
      <c r="J148" s="43" t="s">
        <v>73</v>
      </c>
      <c r="K148" s="37">
        <f>F111</f>
        <v>8367519</v>
      </c>
    </row>
    <row r="149" spans="1:11" ht="18" customHeight="1">
      <c r="A149" s="5" t="s">
        <v>163</v>
      </c>
      <c r="B149" s="2" t="s">
        <v>71</v>
      </c>
      <c r="F149" s="18">
        <f t="shared" ref="F149:K149" si="24">F137</f>
        <v>0</v>
      </c>
      <c r="G149" s="18">
        <f t="shared" si="24"/>
        <v>0</v>
      </c>
      <c r="H149" s="18">
        <f t="shared" si="24"/>
        <v>0</v>
      </c>
      <c r="I149" s="18">
        <f t="shared" si="24"/>
        <v>0</v>
      </c>
      <c r="J149" s="18">
        <f t="shared" si="24"/>
        <v>0</v>
      </c>
      <c r="K149" s="18">
        <f t="shared" si="24"/>
        <v>0</v>
      </c>
    </row>
    <row r="150" spans="1:11" ht="18" customHeight="1">
      <c r="A150" s="5" t="s">
        <v>185</v>
      </c>
      <c r="B150" s="2" t="s">
        <v>186</v>
      </c>
      <c r="F150" s="42" t="s">
        <v>73</v>
      </c>
      <c r="G150" s="42" t="s">
        <v>73</v>
      </c>
      <c r="H150" s="18">
        <f>H18</f>
        <v>0</v>
      </c>
      <c r="I150" s="18">
        <f>I18</f>
        <v>0</v>
      </c>
      <c r="J150" s="18">
        <f>J18</f>
        <v>0</v>
      </c>
      <c r="K150" s="18">
        <f>K18</f>
        <v>0</v>
      </c>
    </row>
    <row r="151" spans="1:11" ht="18" customHeight="1">
      <c r="B151" s="2"/>
      <c r="F151" s="48"/>
      <c r="G151" s="48"/>
      <c r="H151" s="48"/>
      <c r="I151" s="48"/>
      <c r="J151" s="48"/>
      <c r="K151" s="48"/>
    </row>
    <row r="152" spans="1:11" ht="18" customHeight="1">
      <c r="A152" s="6" t="s">
        <v>165</v>
      </c>
      <c r="B152" s="2" t="s">
        <v>26</v>
      </c>
      <c r="F152" s="49">
        <f t="shared" ref="F152:K152" si="25">SUM(F141:F150)</f>
        <v>46682.75</v>
      </c>
      <c r="G152" s="49">
        <f t="shared" si="25"/>
        <v>75464</v>
      </c>
      <c r="H152" s="49">
        <f t="shared" si="25"/>
        <v>5584580.5</v>
      </c>
      <c r="I152" s="49">
        <f t="shared" si="25"/>
        <v>2367135.96949</v>
      </c>
      <c r="J152" s="49">
        <f t="shared" si="25"/>
        <v>3614050.01</v>
      </c>
      <c r="K152" s="49">
        <f t="shared" si="25"/>
        <v>12705185.459490001</v>
      </c>
    </row>
    <row r="154" spans="1:11" ht="18" customHeight="1">
      <c r="A154" s="6" t="s">
        <v>168</v>
      </c>
      <c r="B154" s="2" t="s">
        <v>28</v>
      </c>
      <c r="F154" s="64">
        <f>K152/F121</f>
        <v>6.4079993681214753E-2</v>
      </c>
    </row>
    <row r="155" spans="1:11" ht="18" customHeight="1">
      <c r="A155" s="6" t="s">
        <v>169</v>
      </c>
      <c r="B155" s="2" t="s">
        <v>72</v>
      </c>
      <c r="F155" s="64">
        <f>K152/F127</f>
        <v>0.75466375747628922</v>
      </c>
      <c r="G155" s="2"/>
    </row>
    <row r="156" spans="1:11" ht="18" customHeight="1">
      <c r="G156" s="2"/>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showGridLines="0" topLeftCell="A115" zoomScale="70" zoomScaleNormal="70" zoomScaleSheetLayoutView="70" workbookViewId="0">
      <selection activeCell="A36" sqref="A36:XFD36"/>
    </sheetView>
  </sheetViews>
  <sheetFormatPr defaultRowHeight="18" customHeight="1"/>
  <cols>
    <col min="1" max="1" width="8.28515625" style="177" customWidth="1"/>
    <col min="2" max="2" width="55.42578125" style="178" bestFit="1" customWidth="1"/>
    <col min="3" max="3" width="9.5703125" style="178" customWidth="1"/>
    <col min="4" max="4" width="9.140625" style="178"/>
    <col min="5" max="5" width="12.42578125" style="178" customWidth="1"/>
    <col min="6" max="6" width="18.5703125" style="178" customWidth="1"/>
    <col min="7" max="7" width="23.5703125" style="178" customWidth="1"/>
    <col min="8" max="8" width="17.140625" style="178" customWidth="1"/>
    <col min="9" max="9" width="21.140625" style="178" customWidth="1"/>
    <col min="10" max="10" width="19.85546875" style="178" customWidth="1"/>
    <col min="11" max="11" width="17.5703125" style="178" customWidth="1"/>
    <col min="12" max="16384" width="9.140625" style="178"/>
  </cols>
  <sheetData>
    <row r="1" spans="1:11" ht="18" customHeight="1">
      <c r="C1" s="179"/>
      <c r="D1" s="180"/>
      <c r="E1" s="179"/>
      <c r="F1" s="179"/>
      <c r="G1" s="179"/>
      <c r="H1" s="179"/>
      <c r="I1" s="179"/>
      <c r="J1" s="179"/>
      <c r="K1" s="179"/>
    </row>
    <row r="2" spans="1:11" ht="18" customHeight="1">
      <c r="D2" s="680" t="s">
        <v>187</v>
      </c>
      <c r="E2" s="681"/>
      <c r="F2" s="681"/>
      <c r="G2" s="681"/>
      <c r="H2" s="681"/>
    </row>
    <row r="3" spans="1:11" ht="18" customHeight="1">
      <c r="B3" s="181" t="s">
        <v>0</v>
      </c>
    </row>
    <row r="5" spans="1:11" ht="18" customHeight="1">
      <c r="B5" s="182" t="s">
        <v>40</v>
      </c>
      <c r="C5" s="682" t="s">
        <v>359</v>
      </c>
      <c r="D5" s="683"/>
      <c r="E5" s="683"/>
      <c r="F5" s="683"/>
      <c r="G5" s="684"/>
    </row>
    <row r="6" spans="1:11" ht="18" customHeight="1">
      <c r="B6" s="182" t="s">
        <v>3</v>
      </c>
      <c r="C6" s="685">
        <v>4013</v>
      </c>
      <c r="D6" s="724"/>
      <c r="E6" s="724"/>
      <c r="F6" s="724"/>
      <c r="G6" s="725"/>
    </row>
    <row r="7" spans="1:11" ht="18" customHeight="1">
      <c r="B7" s="182" t="s">
        <v>4</v>
      </c>
      <c r="C7" s="726" t="s">
        <v>360</v>
      </c>
      <c r="D7" s="689"/>
      <c r="E7" s="689"/>
      <c r="F7" s="689"/>
      <c r="G7" s="690"/>
    </row>
    <row r="9" spans="1:11" ht="18" customHeight="1">
      <c r="B9" s="182" t="s">
        <v>1</v>
      </c>
      <c r="C9" s="727" t="s">
        <v>188</v>
      </c>
      <c r="D9" s="683"/>
      <c r="E9" s="683"/>
      <c r="F9" s="683"/>
      <c r="G9" s="684"/>
    </row>
    <row r="10" spans="1:11" ht="18" customHeight="1">
      <c r="B10" s="182" t="s">
        <v>2</v>
      </c>
      <c r="C10" s="728" t="s">
        <v>189</v>
      </c>
      <c r="D10" s="678"/>
      <c r="E10" s="678"/>
      <c r="F10" s="678"/>
      <c r="G10" s="679"/>
    </row>
    <row r="11" spans="1:11" ht="18" customHeight="1">
      <c r="B11" s="182" t="s">
        <v>32</v>
      </c>
      <c r="C11" s="728" t="s">
        <v>190</v>
      </c>
      <c r="D11" s="678"/>
      <c r="E11" s="678"/>
      <c r="F11" s="678"/>
      <c r="G11" s="679"/>
    </row>
    <row r="12" spans="1:11" ht="18" customHeight="1">
      <c r="B12" s="182"/>
      <c r="C12" s="182"/>
      <c r="D12" s="182"/>
      <c r="E12" s="182"/>
      <c r="F12" s="182"/>
      <c r="G12" s="182"/>
    </row>
    <row r="13" spans="1:11" ht="24.6" customHeight="1">
      <c r="B13" s="696"/>
      <c r="C13" s="697"/>
      <c r="D13" s="697"/>
      <c r="E13" s="697"/>
      <c r="F13" s="697"/>
      <c r="G13" s="697"/>
      <c r="H13" s="698"/>
      <c r="I13" s="179"/>
    </row>
    <row r="14" spans="1:11" ht="18" customHeight="1">
      <c r="B14" s="183"/>
    </row>
    <row r="15" spans="1:11" ht="18" customHeight="1">
      <c r="B15" s="183"/>
    </row>
    <row r="16" spans="1:11" ht="45" customHeight="1">
      <c r="A16" s="180" t="s">
        <v>181</v>
      </c>
      <c r="B16" s="179"/>
      <c r="C16" s="179"/>
      <c r="D16" s="179"/>
      <c r="E16" s="179"/>
      <c r="F16" s="184" t="s">
        <v>9</v>
      </c>
      <c r="G16" s="184" t="s">
        <v>37</v>
      </c>
      <c r="H16" s="184" t="s">
        <v>29</v>
      </c>
      <c r="I16" s="184" t="s">
        <v>30</v>
      </c>
      <c r="J16" s="184" t="s">
        <v>33</v>
      </c>
      <c r="K16" s="184" t="s">
        <v>34</v>
      </c>
    </row>
    <row r="17" spans="1:11" ht="18" customHeight="1">
      <c r="A17" s="185" t="s">
        <v>184</v>
      </c>
      <c r="B17" s="181" t="s">
        <v>182</v>
      </c>
    </row>
    <row r="18" spans="1:11" ht="18" customHeight="1">
      <c r="A18" s="182" t="s">
        <v>185</v>
      </c>
      <c r="B18" s="186" t="s">
        <v>183</v>
      </c>
      <c r="F18" s="187" t="s">
        <v>73</v>
      </c>
      <c r="G18" s="187" t="s">
        <v>73</v>
      </c>
      <c r="H18" s="188">
        <f>+'[12]CB List '!$AB$161</f>
        <v>0</v>
      </c>
      <c r="I18" s="189">
        <v>0</v>
      </c>
      <c r="J18" s="188"/>
      <c r="K18" s="190">
        <f>(H18+I18)-J18</f>
        <v>0</v>
      </c>
    </row>
    <row r="19" spans="1:11" ht="45" customHeight="1">
      <c r="A19" s="180" t="s">
        <v>8</v>
      </c>
      <c r="B19" s="179"/>
      <c r="C19" s="179"/>
      <c r="D19" s="179"/>
      <c r="E19" s="179"/>
      <c r="F19" s="184" t="s">
        <v>9</v>
      </c>
      <c r="G19" s="184" t="s">
        <v>37</v>
      </c>
      <c r="H19" s="184" t="s">
        <v>29</v>
      </c>
      <c r="I19" s="184" t="s">
        <v>30</v>
      </c>
      <c r="J19" s="184" t="s">
        <v>33</v>
      </c>
      <c r="K19" s="184" t="s">
        <v>34</v>
      </c>
    </row>
    <row r="20" spans="1:11" ht="18" customHeight="1">
      <c r="A20" s="185" t="s">
        <v>74</v>
      </c>
      <c r="B20" s="181" t="s">
        <v>41</v>
      </c>
    </row>
    <row r="21" spans="1:11" ht="18" customHeight="1">
      <c r="A21" s="182" t="s">
        <v>75</v>
      </c>
      <c r="B21" s="186" t="s">
        <v>42</v>
      </c>
      <c r="F21" s="187"/>
      <c r="G21" s="187"/>
      <c r="H21" s="188">
        <f>+'[12]CB List '!$AB$162</f>
        <v>54203.398815158616</v>
      </c>
      <c r="I21" s="189">
        <f t="shared" ref="I21:I34" si="0">H21*F$114</f>
        <v>55580.421932062032</v>
      </c>
      <c r="J21" s="188">
        <f>-'[12]CB List '!$AD$162</f>
        <v>3965.43524905</v>
      </c>
      <c r="K21" s="190">
        <f t="shared" ref="K21:K34" si="1">(H21+I21)-J21</f>
        <v>105818.38549817065</v>
      </c>
    </row>
    <row r="22" spans="1:11" ht="18" customHeight="1">
      <c r="A22" s="182" t="s">
        <v>76</v>
      </c>
      <c r="B22" s="178" t="s">
        <v>6</v>
      </c>
      <c r="F22" s="187"/>
      <c r="G22" s="187"/>
      <c r="H22" s="188">
        <f>+'[12]CB List '!$AB$163</f>
        <v>2770.6923249500001</v>
      </c>
      <c r="I22" s="189">
        <f t="shared" si="0"/>
        <v>2841.0810360766541</v>
      </c>
      <c r="J22" s="188">
        <f>-'[12]CB List '!$AD$163</f>
        <v>390.60052515000007</v>
      </c>
      <c r="K22" s="190">
        <f t="shared" si="1"/>
        <v>5221.1728358766541</v>
      </c>
    </row>
    <row r="23" spans="1:11" ht="18" customHeight="1">
      <c r="A23" s="182" t="s">
        <v>77</v>
      </c>
      <c r="B23" s="178" t="s">
        <v>43</v>
      </c>
      <c r="F23" s="187"/>
      <c r="G23" s="187"/>
      <c r="H23" s="188">
        <f>+'[12]CB List '!$AB$164</f>
        <v>0</v>
      </c>
      <c r="I23" s="189">
        <f t="shared" si="0"/>
        <v>0</v>
      </c>
      <c r="J23" s="188">
        <f>-'[12]CB List '!$AD$164</f>
        <v>0</v>
      </c>
      <c r="K23" s="190">
        <f t="shared" si="1"/>
        <v>0</v>
      </c>
    </row>
    <row r="24" spans="1:11" ht="18" customHeight="1">
      <c r="A24" s="182" t="s">
        <v>78</v>
      </c>
      <c r="B24" s="178" t="s">
        <v>44</v>
      </c>
      <c r="F24" s="187"/>
      <c r="G24" s="187"/>
      <c r="H24" s="188">
        <f>+'[12]CB List '!$AB$165</f>
        <v>4965.5728524373762</v>
      </c>
      <c r="I24" s="189">
        <f t="shared" si="0"/>
        <v>5091.7219271437771</v>
      </c>
      <c r="J24" s="188">
        <f>-'[12]CB List '!$AD$165</f>
        <v>0</v>
      </c>
      <c r="K24" s="190">
        <f t="shared" si="1"/>
        <v>10057.294779581152</v>
      </c>
    </row>
    <row r="25" spans="1:11" ht="18" customHeight="1">
      <c r="A25" s="182" t="s">
        <v>79</v>
      </c>
      <c r="B25" s="178" t="s">
        <v>5</v>
      </c>
      <c r="F25" s="187"/>
      <c r="G25" s="191"/>
      <c r="H25" s="188">
        <f>+'[12]CB List '!$AB$166</f>
        <v>13123.722305649999</v>
      </c>
      <c r="I25" s="189">
        <f t="shared" si="0"/>
        <v>13457.127025459691</v>
      </c>
      <c r="J25" s="188">
        <f>-'[12]CB List '!$AD$166</f>
        <v>1402.7307503000002</v>
      </c>
      <c r="K25" s="190">
        <f t="shared" si="1"/>
        <v>25178.118580809689</v>
      </c>
    </row>
    <row r="26" spans="1:11" ht="18" customHeight="1">
      <c r="A26" s="182" t="s">
        <v>80</v>
      </c>
      <c r="B26" s="178" t="s">
        <v>45</v>
      </c>
      <c r="F26" s="187"/>
      <c r="G26" s="191"/>
      <c r="H26" s="188">
        <f>+'[12]CB List '!$AB$167</f>
        <v>0</v>
      </c>
      <c r="I26" s="189">
        <f t="shared" si="0"/>
        <v>0</v>
      </c>
      <c r="J26" s="188">
        <f>-'[12]CB List '!$AD$167</f>
        <v>0</v>
      </c>
      <c r="K26" s="190">
        <f t="shared" si="1"/>
        <v>0</v>
      </c>
    </row>
    <row r="27" spans="1:11" ht="18" customHeight="1">
      <c r="A27" s="182" t="s">
        <v>81</v>
      </c>
      <c r="B27" s="178" t="s">
        <v>46</v>
      </c>
      <c r="F27" s="187"/>
      <c r="G27" s="187"/>
      <c r="H27" s="188">
        <f>+'[12]CB List '!$AB$168</f>
        <v>0</v>
      </c>
      <c r="I27" s="189">
        <f t="shared" si="0"/>
        <v>0</v>
      </c>
      <c r="J27" s="188">
        <f>-'[12]CB List '!$AD$168</f>
        <v>0</v>
      </c>
      <c r="K27" s="190">
        <f t="shared" si="1"/>
        <v>0</v>
      </c>
    </row>
    <row r="28" spans="1:11" ht="18" customHeight="1">
      <c r="A28" s="182" t="s">
        <v>82</v>
      </c>
      <c r="B28" s="178" t="s">
        <v>47</v>
      </c>
      <c r="F28" s="187"/>
      <c r="G28" s="187"/>
      <c r="H28" s="188">
        <f>+'[12]CB List '!$AB$169</f>
        <v>0</v>
      </c>
      <c r="I28" s="189">
        <f t="shared" si="0"/>
        <v>0</v>
      </c>
      <c r="J28" s="188">
        <f>-'[12]CB List '!$AD$169</f>
        <v>0</v>
      </c>
      <c r="K28" s="190">
        <f t="shared" si="1"/>
        <v>0</v>
      </c>
    </row>
    <row r="29" spans="1:11" ht="18" customHeight="1">
      <c r="A29" s="182" t="s">
        <v>83</v>
      </c>
      <c r="B29" s="178" t="s">
        <v>48</v>
      </c>
      <c r="F29" s="187"/>
      <c r="G29" s="187"/>
      <c r="H29" s="188">
        <f>+'[12]CB List '!$AB$170</f>
        <v>135551.55829322661</v>
      </c>
      <c r="I29" s="189">
        <f>+'[12]CB List '!$AC$170</f>
        <v>87612.978466424567</v>
      </c>
      <c r="J29" s="188">
        <f>-'[12]CB List '!$AD$170</f>
        <v>5303.1775417499994</v>
      </c>
      <c r="K29" s="190">
        <f t="shared" si="1"/>
        <v>217861.35921790119</v>
      </c>
    </row>
    <row r="30" spans="1:11" ht="18" customHeight="1">
      <c r="A30" s="182" t="s">
        <v>84</v>
      </c>
      <c r="B30" s="699" t="s">
        <v>199</v>
      </c>
      <c r="C30" s="700"/>
      <c r="D30" s="701"/>
      <c r="F30" s="187"/>
      <c r="G30" s="187"/>
      <c r="H30" s="188">
        <f>+'[12]CB List '!$AB$171</f>
        <v>2235.1794294500005</v>
      </c>
      <c r="I30" s="189">
        <f t="shared" si="0"/>
        <v>2291.9635760544543</v>
      </c>
      <c r="J30" s="188">
        <f>-'[12]CB List '!$AD$171</f>
        <v>344.91202790000006</v>
      </c>
      <c r="K30" s="190">
        <f t="shared" si="1"/>
        <v>4182.2309776044549</v>
      </c>
    </row>
    <row r="31" spans="1:11" ht="18" customHeight="1">
      <c r="A31" s="182" t="s">
        <v>133</v>
      </c>
      <c r="B31" s="699"/>
      <c r="C31" s="700"/>
      <c r="D31" s="701"/>
      <c r="F31" s="191"/>
      <c r="G31" s="191"/>
      <c r="H31" s="188">
        <f>+'[12]CB List '!$AB$172</f>
        <v>0</v>
      </c>
      <c r="I31" s="189">
        <f t="shared" si="0"/>
        <v>0</v>
      </c>
      <c r="J31" s="188">
        <f>-'[12]CB List '!$AD$172</f>
        <v>0</v>
      </c>
      <c r="K31" s="190">
        <f t="shared" si="1"/>
        <v>0</v>
      </c>
    </row>
    <row r="32" spans="1:11" ht="18" customHeight="1">
      <c r="A32" s="182" t="s">
        <v>134</v>
      </c>
      <c r="B32" s="192"/>
      <c r="C32" s="193"/>
      <c r="D32" s="194"/>
      <c r="F32" s="187"/>
      <c r="G32" s="191"/>
      <c r="H32" s="188"/>
      <c r="I32" s="189">
        <f t="shared" si="0"/>
        <v>0</v>
      </c>
      <c r="J32" s="188"/>
      <c r="K32" s="190">
        <f t="shared" si="1"/>
        <v>0</v>
      </c>
    </row>
    <row r="33" spans="1:11" ht="18" customHeight="1">
      <c r="A33" s="182" t="s">
        <v>135</v>
      </c>
      <c r="B33" s="192"/>
      <c r="C33" s="193"/>
      <c r="D33" s="194"/>
      <c r="F33" s="187"/>
      <c r="G33" s="191" t="s">
        <v>85</v>
      </c>
      <c r="H33" s="188"/>
      <c r="I33" s="189">
        <f t="shared" si="0"/>
        <v>0</v>
      </c>
      <c r="J33" s="188"/>
      <c r="K33" s="190">
        <f t="shared" si="1"/>
        <v>0</v>
      </c>
    </row>
    <row r="34" spans="1:11" ht="18" customHeight="1">
      <c r="A34" s="182" t="s">
        <v>136</v>
      </c>
      <c r="B34" s="699"/>
      <c r="C34" s="700"/>
      <c r="D34" s="701"/>
      <c r="F34" s="187"/>
      <c r="G34" s="191" t="s">
        <v>85</v>
      </c>
      <c r="H34" s="188"/>
      <c r="I34" s="189">
        <f t="shared" si="0"/>
        <v>0</v>
      </c>
      <c r="J34" s="188"/>
      <c r="K34" s="190">
        <f t="shared" si="1"/>
        <v>0</v>
      </c>
    </row>
    <row r="35" spans="1:11" ht="18" customHeight="1">
      <c r="K35" s="195"/>
    </row>
    <row r="36" spans="1:11" ht="18" customHeight="1">
      <c r="A36" s="185" t="s">
        <v>137</v>
      </c>
      <c r="B36" s="181" t="s">
        <v>138</v>
      </c>
      <c r="E36" s="181" t="s">
        <v>7</v>
      </c>
      <c r="F36" s="196">
        <f t="shared" ref="F36:K36" si="2">SUM(F21:F34)</f>
        <v>0</v>
      </c>
      <c r="G36" s="196">
        <f t="shared" si="2"/>
        <v>0</v>
      </c>
      <c r="H36" s="196">
        <f t="shared" si="2"/>
        <v>212850.12402087264</v>
      </c>
      <c r="I36" s="190">
        <f t="shared" si="2"/>
        <v>166875.29396322119</v>
      </c>
      <c r="J36" s="190">
        <f t="shared" si="2"/>
        <v>11406.856094149998</v>
      </c>
      <c r="K36" s="190">
        <f t="shared" si="2"/>
        <v>368318.56188994378</v>
      </c>
    </row>
    <row r="37" spans="1:11" ht="18" customHeight="1" thickBot="1">
      <c r="B37" s="181"/>
      <c r="F37" s="197"/>
      <c r="G37" s="197"/>
      <c r="H37" s="198"/>
      <c r="I37" s="198"/>
      <c r="J37" s="198"/>
      <c r="K37" s="199"/>
    </row>
    <row r="38" spans="1:11" ht="42.75" customHeight="1">
      <c r="F38" s="184" t="s">
        <v>9</v>
      </c>
      <c r="G38" s="184" t="s">
        <v>37</v>
      </c>
      <c r="H38" s="184" t="s">
        <v>29</v>
      </c>
      <c r="I38" s="184" t="s">
        <v>30</v>
      </c>
      <c r="J38" s="184" t="s">
        <v>33</v>
      </c>
      <c r="K38" s="184" t="s">
        <v>34</v>
      </c>
    </row>
    <row r="39" spans="1:11" ht="18.75" customHeight="1">
      <c r="A39" s="185" t="s">
        <v>86</v>
      </c>
      <c r="B39" s="181" t="s">
        <v>49</v>
      </c>
    </row>
    <row r="40" spans="1:11" ht="18" customHeight="1">
      <c r="A40" s="182" t="s">
        <v>87</v>
      </c>
      <c r="B40" s="178" t="s">
        <v>31</v>
      </c>
      <c r="F40" s="187"/>
      <c r="G40" s="187"/>
      <c r="H40" s="188">
        <f>+'[12]CB List '!$AB$173</f>
        <v>0</v>
      </c>
      <c r="I40" s="189">
        <v>0</v>
      </c>
      <c r="J40" s="188">
        <f>-'[12]CB List '!$AD$173</f>
        <v>0</v>
      </c>
      <c r="K40" s="190">
        <f t="shared" ref="K40:K47" si="3">(H40+I40)-J40</f>
        <v>0</v>
      </c>
    </row>
    <row r="41" spans="1:11" ht="18" customHeight="1">
      <c r="A41" s="182" t="s">
        <v>88</v>
      </c>
      <c r="B41" s="702" t="s">
        <v>50</v>
      </c>
      <c r="C41" s="703"/>
      <c r="F41" s="187"/>
      <c r="G41" s="187"/>
      <c r="H41" s="188">
        <f>+'[12]CB List '!$AB$174</f>
        <v>0</v>
      </c>
      <c r="I41" s="189">
        <v>0</v>
      </c>
      <c r="J41" s="188">
        <f>-'[12]CB List '!$AD$174</f>
        <v>0</v>
      </c>
      <c r="K41" s="190">
        <f t="shared" si="3"/>
        <v>0</v>
      </c>
    </row>
    <row r="42" spans="1:11" ht="18" customHeight="1">
      <c r="A42" s="182" t="s">
        <v>89</v>
      </c>
      <c r="B42" s="186" t="s">
        <v>11</v>
      </c>
      <c r="F42" s="187"/>
      <c r="G42" s="187"/>
      <c r="H42" s="188">
        <f>+'[12]CB List '!$AB$175</f>
        <v>11169.254823489031</v>
      </c>
      <c r="I42" s="189">
        <v>0</v>
      </c>
      <c r="J42" s="188">
        <f>-'[12]CB List '!$AD$175</f>
        <v>1782.3778472499998</v>
      </c>
      <c r="K42" s="190">
        <f t="shared" si="3"/>
        <v>9386.8769762390311</v>
      </c>
    </row>
    <row r="43" spans="1:11" ht="18" customHeight="1">
      <c r="A43" s="182" t="s">
        <v>90</v>
      </c>
      <c r="B43" s="200" t="s">
        <v>10</v>
      </c>
      <c r="C43" s="201"/>
      <c r="D43" s="201"/>
      <c r="F43" s="187"/>
      <c r="G43" s="187"/>
      <c r="H43" s="188">
        <f>+'[12]CB List '!$AB$176</f>
        <v>0</v>
      </c>
      <c r="I43" s="189">
        <v>0</v>
      </c>
      <c r="J43" s="188">
        <f>-'[12]CB List '!$AD$176</f>
        <v>0</v>
      </c>
      <c r="K43" s="190">
        <f t="shared" si="3"/>
        <v>0</v>
      </c>
    </row>
    <row r="44" spans="1:11" ht="18" customHeight="1">
      <c r="A44" s="182" t="s">
        <v>91</v>
      </c>
      <c r="B44" s="699"/>
      <c r="C44" s="700"/>
      <c r="D44" s="701"/>
      <c r="F44" s="202"/>
      <c r="G44" s="202"/>
      <c r="H44" s="202">
        <f>+'[12]CB List '!$AB$177</f>
        <v>0</v>
      </c>
      <c r="I44" s="203">
        <v>0</v>
      </c>
      <c r="J44" s="202">
        <f>-'[12]CB List '!$AD$177</f>
        <v>0</v>
      </c>
      <c r="K44" s="204">
        <f t="shared" si="3"/>
        <v>0</v>
      </c>
    </row>
    <row r="45" spans="1:11" ht="18" customHeight="1">
      <c r="A45" s="182" t="s">
        <v>139</v>
      </c>
      <c r="B45" s="699"/>
      <c r="C45" s="700"/>
      <c r="D45" s="701"/>
      <c r="F45" s="187"/>
      <c r="G45" s="187"/>
      <c r="H45" s="188">
        <f>+'[12]CB List '!$AB$178</f>
        <v>0</v>
      </c>
      <c r="I45" s="189">
        <v>0</v>
      </c>
      <c r="J45" s="188">
        <f>-'[12]CB List '!$AD$178</f>
        <v>0</v>
      </c>
      <c r="K45" s="190">
        <f t="shared" si="3"/>
        <v>0</v>
      </c>
    </row>
    <row r="46" spans="1:11" ht="18" customHeight="1">
      <c r="A46" s="182" t="s">
        <v>140</v>
      </c>
      <c r="B46" s="699"/>
      <c r="C46" s="700"/>
      <c r="D46" s="701"/>
      <c r="F46" s="187"/>
      <c r="G46" s="187"/>
      <c r="H46" s="188"/>
      <c r="I46" s="189">
        <v>0</v>
      </c>
      <c r="J46" s="188"/>
      <c r="K46" s="190">
        <f t="shared" si="3"/>
        <v>0</v>
      </c>
    </row>
    <row r="47" spans="1:11" ht="18" customHeight="1">
      <c r="A47" s="182" t="s">
        <v>141</v>
      </c>
      <c r="B47" s="699"/>
      <c r="C47" s="700"/>
      <c r="D47" s="701"/>
      <c r="F47" s="187"/>
      <c r="G47" s="187"/>
      <c r="H47" s="188"/>
      <c r="I47" s="189">
        <v>0</v>
      </c>
      <c r="J47" s="188"/>
      <c r="K47" s="190">
        <f t="shared" si="3"/>
        <v>0</v>
      </c>
    </row>
    <row r="49" spans="1:11" ht="18" customHeight="1">
      <c r="A49" s="185" t="s">
        <v>142</v>
      </c>
      <c r="B49" s="181" t="s">
        <v>143</v>
      </c>
      <c r="E49" s="181" t="s">
        <v>7</v>
      </c>
      <c r="F49" s="205">
        <f t="shared" ref="F49:K49" si="4">SUM(F40:F47)</f>
        <v>0</v>
      </c>
      <c r="G49" s="205">
        <f t="shared" si="4"/>
        <v>0</v>
      </c>
      <c r="H49" s="190">
        <f t="shared" si="4"/>
        <v>11169.254823489031</v>
      </c>
      <c r="I49" s="190">
        <f t="shared" si="4"/>
        <v>0</v>
      </c>
      <c r="J49" s="190">
        <f t="shared" si="4"/>
        <v>1782.3778472499998</v>
      </c>
      <c r="K49" s="190">
        <f t="shared" si="4"/>
        <v>9386.8769762390311</v>
      </c>
    </row>
    <row r="50" spans="1:11" ht="18" customHeight="1" thickBot="1">
      <c r="G50" s="206"/>
      <c r="H50" s="206"/>
      <c r="I50" s="206"/>
      <c r="J50" s="206"/>
      <c r="K50" s="206"/>
    </row>
    <row r="51" spans="1:11" ht="42.75" customHeight="1">
      <c r="F51" s="184" t="s">
        <v>9</v>
      </c>
      <c r="G51" s="184" t="s">
        <v>37</v>
      </c>
      <c r="H51" s="184" t="s">
        <v>29</v>
      </c>
      <c r="I51" s="184" t="s">
        <v>30</v>
      </c>
      <c r="J51" s="184" t="s">
        <v>33</v>
      </c>
      <c r="K51" s="184" t="s">
        <v>34</v>
      </c>
    </row>
    <row r="52" spans="1:11" ht="18" customHeight="1">
      <c r="A52" s="185" t="s">
        <v>92</v>
      </c>
      <c r="B52" s="704" t="s">
        <v>38</v>
      </c>
      <c r="C52" s="705"/>
    </row>
    <row r="53" spans="1:11" ht="18" customHeight="1">
      <c r="A53" s="182" t="s">
        <v>51</v>
      </c>
      <c r="B53" s="691" t="s">
        <v>192</v>
      </c>
      <c r="C53" s="692"/>
      <c r="D53" s="693"/>
      <c r="F53" s="187"/>
      <c r="G53" s="187"/>
      <c r="H53" s="188">
        <f>+'[12]CB List '!$AB$179</f>
        <v>0</v>
      </c>
      <c r="I53" s="189">
        <v>0</v>
      </c>
      <c r="J53" s="188"/>
      <c r="K53" s="190">
        <f t="shared" ref="K53:K62" si="5">(H53+I53)-J53</f>
        <v>0</v>
      </c>
    </row>
    <row r="54" spans="1:11" ht="18" customHeight="1">
      <c r="A54" s="182" t="s">
        <v>93</v>
      </c>
      <c r="B54" s="207" t="s">
        <v>193</v>
      </c>
      <c r="C54" s="208"/>
      <c r="D54" s="209"/>
      <c r="F54" s="187"/>
      <c r="G54" s="187"/>
      <c r="H54" s="188">
        <f>+'[12]CB List '!$AB$180</f>
        <v>409382.6606955101</v>
      </c>
      <c r="I54" s="189">
        <v>0</v>
      </c>
      <c r="J54" s="188"/>
      <c r="K54" s="190">
        <f t="shared" si="5"/>
        <v>409382.6606955101</v>
      </c>
    </row>
    <row r="55" spans="1:11" ht="18" customHeight="1">
      <c r="A55" s="182" t="s">
        <v>94</v>
      </c>
      <c r="B55" s="706" t="s">
        <v>194</v>
      </c>
      <c r="C55" s="707"/>
      <c r="D55" s="693"/>
      <c r="F55" s="187"/>
      <c r="G55" s="187"/>
      <c r="H55" s="188">
        <f>+'[12]CB List '!$AB$181</f>
        <v>0</v>
      </c>
      <c r="I55" s="189">
        <v>0</v>
      </c>
      <c r="J55" s="188"/>
      <c r="K55" s="190">
        <f t="shared" si="5"/>
        <v>0</v>
      </c>
    </row>
    <row r="56" spans="1:11" ht="18" customHeight="1">
      <c r="A56" s="182" t="s">
        <v>95</v>
      </c>
      <c r="B56" s="706" t="s">
        <v>195</v>
      </c>
      <c r="C56" s="707"/>
      <c r="D56" s="693"/>
      <c r="F56" s="187"/>
      <c r="G56" s="187"/>
      <c r="H56" s="188">
        <f>+'[12]CB List '!$AB$182</f>
        <v>0</v>
      </c>
      <c r="I56" s="189">
        <v>0</v>
      </c>
      <c r="J56" s="188"/>
      <c r="K56" s="190">
        <f t="shared" si="5"/>
        <v>0</v>
      </c>
    </row>
    <row r="57" spans="1:11" ht="18" customHeight="1">
      <c r="A57" s="182" t="s">
        <v>96</v>
      </c>
      <c r="B57" s="706" t="s">
        <v>196</v>
      </c>
      <c r="C57" s="707"/>
      <c r="D57" s="693"/>
      <c r="F57" s="187"/>
      <c r="G57" s="187"/>
      <c r="H57" s="188">
        <f>+'[12]CB List '!$AB$183</f>
        <v>825450.89</v>
      </c>
      <c r="I57" s="189">
        <v>0</v>
      </c>
      <c r="J57" s="188"/>
      <c r="K57" s="190">
        <f t="shared" si="5"/>
        <v>825450.89</v>
      </c>
    </row>
    <row r="58" spans="1:11" ht="18" customHeight="1">
      <c r="A58" s="182" t="s">
        <v>97</v>
      </c>
      <c r="B58" s="207"/>
      <c r="C58" s="208"/>
      <c r="D58" s="209"/>
      <c r="F58" s="187"/>
      <c r="G58" s="187"/>
      <c r="H58" s="188">
        <f>+'[12]CB List '!$AB$184</f>
        <v>0</v>
      </c>
      <c r="I58" s="189">
        <v>0</v>
      </c>
      <c r="J58" s="188"/>
      <c r="K58" s="190">
        <f t="shared" si="5"/>
        <v>0</v>
      </c>
    </row>
    <row r="59" spans="1:11" ht="18" customHeight="1">
      <c r="A59" s="182" t="s">
        <v>98</v>
      </c>
      <c r="B59" s="706"/>
      <c r="C59" s="707"/>
      <c r="D59" s="693"/>
      <c r="F59" s="187"/>
      <c r="G59" s="187"/>
      <c r="H59" s="188"/>
      <c r="I59" s="189">
        <v>0</v>
      </c>
      <c r="J59" s="188"/>
      <c r="K59" s="190">
        <f t="shared" si="5"/>
        <v>0</v>
      </c>
    </row>
    <row r="60" spans="1:11" ht="18" customHeight="1">
      <c r="A60" s="182" t="s">
        <v>99</v>
      </c>
      <c r="B60" s="207"/>
      <c r="C60" s="208"/>
      <c r="D60" s="209"/>
      <c r="F60" s="187"/>
      <c r="G60" s="187"/>
      <c r="H60" s="188"/>
      <c r="I60" s="189">
        <v>0</v>
      </c>
      <c r="J60" s="188"/>
      <c r="K60" s="190">
        <f t="shared" si="5"/>
        <v>0</v>
      </c>
    </row>
    <row r="61" spans="1:11" ht="18" customHeight="1">
      <c r="A61" s="182" t="s">
        <v>100</v>
      </c>
      <c r="B61" s="207"/>
      <c r="C61" s="208"/>
      <c r="D61" s="209"/>
      <c r="F61" s="187"/>
      <c r="G61" s="187"/>
      <c r="H61" s="188"/>
      <c r="I61" s="189">
        <v>0</v>
      </c>
      <c r="J61" s="188"/>
      <c r="K61" s="190">
        <f t="shared" si="5"/>
        <v>0</v>
      </c>
    </row>
    <row r="62" spans="1:11" ht="18" customHeight="1">
      <c r="A62" s="182" t="s">
        <v>101</v>
      </c>
      <c r="B62" s="706"/>
      <c r="C62" s="707"/>
      <c r="D62" s="693"/>
      <c r="F62" s="187"/>
      <c r="G62" s="187"/>
      <c r="H62" s="188"/>
      <c r="I62" s="189">
        <v>0</v>
      </c>
      <c r="J62" s="188"/>
      <c r="K62" s="190">
        <f t="shared" si="5"/>
        <v>0</v>
      </c>
    </row>
    <row r="63" spans="1:11" ht="18" customHeight="1">
      <c r="A63" s="182"/>
      <c r="I63" s="212"/>
    </row>
    <row r="64" spans="1:11" ht="18" customHeight="1">
      <c r="A64" s="182" t="s">
        <v>144</v>
      </c>
      <c r="B64" s="181" t="s">
        <v>145</v>
      </c>
      <c r="E64" s="181" t="s">
        <v>7</v>
      </c>
      <c r="F64" s="196">
        <f t="shared" ref="F64:K64" si="6">SUM(F53:F62)</f>
        <v>0</v>
      </c>
      <c r="G64" s="196">
        <f t="shared" si="6"/>
        <v>0</v>
      </c>
      <c r="H64" s="190">
        <f t="shared" si="6"/>
        <v>1234833.5506955101</v>
      </c>
      <c r="I64" s="190">
        <f t="shared" si="6"/>
        <v>0</v>
      </c>
      <c r="J64" s="190">
        <f t="shared" si="6"/>
        <v>0</v>
      </c>
      <c r="K64" s="190">
        <f t="shared" si="6"/>
        <v>1234833.5506955101</v>
      </c>
    </row>
    <row r="65" spans="1:11" ht="18" customHeight="1">
      <c r="F65" s="213"/>
      <c r="G65" s="213"/>
      <c r="H65" s="213"/>
      <c r="I65" s="213"/>
      <c r="J65" s="213"/>
      <c r="K65" s="213"/>
    </row>
    <row r="66" spans="1:11" ht="42.75" customHeight="1">
      <c r="F66" s="214" t="s">
        <v>9</v>
      </c>
      <c r="G66" s="214" t="s">
        <v>37</v>
      </c>
      <c r="H66" s="214" t="s">
        <v>29</v>
      </c>
      <c r="I66" s="214" t="s">
        <v>30</v>
      </c>
      <c r="J66" s="214" t="s">
        <v>33</v>
      </c>
      <c r="K66" s="214" t="s">
        <v>34</v>
      </c>
    </row>
    <row r="67" spans="1:11" ht="18" customHeight="1">
      <c r="A67" s="185" t="s">
        <v>102</v>
      </c>
      <c r="B67" s="181" t="s">
        <v>12</v>
      </c>
      <c r="F67" s="215"/>
      <c r="G67" s="215"/>
      <c r="H67" s="215"/>
      <c r="I67" s="216"/>
      <c r="J67" s="215"/>
      <c r="K67" s="217"/>
    </row>
    <row r="68" spans="1:11" ht="18" customHeight="1">
      <c r="A68" s="182" t="s">
        <v>103</v>
      </c>
      <c r="B68" s="178" t="s">
        <v>52</v>
      </c>
      <c r="F68" s="218"/>
      <c r="G68" s="218"/>
      <c r="H68" s="218">
        <f>+'[12]CB List '!$AB$185</f>
        <v>41.53246666245284</v>
      </c>
      <c r="I68" s="189">
        <v>0</v>
      </c>
      <c r="J68" s="219"/>
      <c r="K68" s="190">
        <f>(H68+I68)-J68</f>
        <v>41.53246666245284</v>
      </c>
    </row>
    <row r="69" spans="1:11" ht="18" customHeight="1">
      <c r="A69" s="182" t="s">
        <v>104</v>
      </c>
      <c r="B69" s="186" t="s">
        <v>53</v>
      </c>
      <c r="F69" s="218"/>
      <c r="G69" s="218"/>
      <c r="H69" s="218">
        <f>+'[12]CB List '!$AB$186</f>
        <v>0</v>
      </c>
      <c r="I69" s="189">
        <v>0</v>
      </c>
      <c r="J69" s="219"/>
      <c r="K69" s="190">
        <f>(H69+I69)-J69</f>
        <v>0</v>
      </c>
    </row>
    <row r="70" spans="1:11" ht="18" customHeight="1">
      <c r="A70" s="182" t="s">
        <v>178</v>
      </c>
      <c r="B70" s="207"/>
      <c r="C70" s="208"/>
      <c r="D70" s="209"/>
      <c r="E70" s="181"/>
      <c r="F70" s="220"/>
      <c r="G70" s="220"/>
      <c r="H70" s="221">
        <f>+'[12]CB List '!$AB$187</f>
        <v>0</v>
      </c>
      <c r="I70" s="189">
        <v>0</v>
      </c>
      <c r="J70" s="221"/>
      <c r="K70" s="190">
        <f>(H70+I70)-J70</f>
        <v>0</v>
      </c>
    </row>
    <row r="71" spans="1:11" ht="18" customHeight="1">
      <c r="A71" s="182" t="s">
        <v>179</v>
      </c>
      <c r="B71" s="207"/>
      <c r="C71" s="208"/>
      <c r="D71" s="209"/>
      <c r="E71" s="181"/>
      <c r="F71" s="220"/>
      <c r="G71" s="220"/>
      <c r="H71" s="221"/>
      <c r="I71" s="189">
        <v>0</v>
      </c>
      <c r="J71" s="221"/>
      <c r="K71" s="190">
        <f>(H71+I71)-J71</f>
        <v>0</v>
      </c>
    </row>
    <row r="72" spans="1:11" ht="18" customHeight="1">
      <c r="A72" s="182" t="s">
        <v>180</v>
      </c>
      <c r="B72" s="222"/>
      <c r="C72" s="223"/>
      <c r="D72" s="224"/>
      <c r="E72" s="181"/>
      <c r="F72" s="187"/>
      <c r="G72" s="187"/>
      <c r="H72" s="188"/>
      <c r="I72" s="189">
        <v>0</v>
      </c>
      <c r="J72" s="188"/>
      <c r="K72" s="190">
        <f>(H72+I72)-J72</f>
        <v>0</v>
      </c>
    </row>
    <row r="73" spans="1:11" ht="18" customHeight="1">
      <c r="A73" s="182"/>
      <c r="B73" s="186"/>
      <c r="E73" s="181"/>
      <c r="F73" s="225"/>
      <c r="G73" s="225"/>
      <c r="H73" s="226"/>
      <c r="I73" s="216"/>
      <c r="J73" s="226"/>
      <c r="K73" s="217"/>
    </row>
    <row r="74" spans="1:11" ht="18" customHeight="1">
      <c r="A74" s="185" t="s">
        <v>146</v>
      </c>
      <c r="B74" s="181" t="s">
        <v>147</v>
      </c>
      <c r="E74" s="181" t="s">
        <v>7</v>
      </c>
      <c r="F74" s="227">
        <f t="shared" ref="F74:K74" si="7">SUM(F68:F72)</f>
        <v>0</v>
      </c>
      <c r="G74" s="227">
        <f t="shared" si="7"/>
        <v>0</v>
      </c>
      <c r="H74" s="227">
        <f t="shared" si="7"/>
        <v>41.53246666245284</v>
      </c>
      <c r="I74" s="228">
        <f t="shared" si="7"/>
        <v>0</v>
      </c>
      <c r="J74" s="227">
        <f t="shared" si="7"/>
        <v>0</v>
      </c>
      <c r="K74" s="229">
        <f t="shared" si="7"/>
        <v>41.53246666245284</v>
      </c>
    </row>
    <row r="75" spans="1:11" ht="42.75" customHeight="1">
      <c r="F75" s="184" t="s">
        <v>9</v>
      </c>
      <c r="G75" s="184" t="s">
        <v>37</v>
      </c>
      <c r="H75" s="184" t="s">
        <v>29</v>
      </c>
      <c r="I75" s="184" t="s">
        <v>30</v>
      </c>
      <c r="J75" s="184" t="s">
        <v>33</v>
      </c>
      <c r="K75" s="184" t="s">
        <v>34</v>
      </c>
    </row>
    <row r="76" spans="1:11" ht="18" customHeight="1">
      <c r="A76" s="185" t="s">
        <v>105</v>
      </c>
      <c r="B76" s="181" t="s">
        <v>106</v>
      </c>
    </row>
    <row r="77" spans="1:11" ht="18" customHeight="1">
      <c r="A77" s="182" t="s">
        <v>107</v>
      </c>
      <c r="B77" s="186" t="s">
        <v>54</v>
      </c>
      <c r="F77" s="187"/>
      <c r="G77" s="187"/>
      <c r="H77" s="188">
        <f>+'[12]CB List '!$AB$188</f>
        <v>70305.93875785674</v>
      </c>
      <c r="I77" s="189">
        <v>0</v>
      </c>
      <c r="J77" s="188"/>
      <c r="K77" s="190">
        <f>(H77+I77)-J77</f>
        <v>70305.93875785674</v>
      </c>
    </row>
    <row r="78" spans="1:11" ht="18" customHeight="1">
      <c r="A78" s="182" t="s">
        <v>108</v>
      </c>
      <c r="B78" s="186" t="s">
        <v>55</v>
      </c>
      <c r="F78" s="191"/>
      <c r="G78" s="187"/>
      <c r="H78" s="188">
        <f>+'[12]CB List '!$AB$189</f>
        <v>122.07287750395453</v>
      </c>
      <c r="I78" s="189">
        <v>0</v>
      </c>
      <c r="J78" s="188"/>
      <c r="K78" s="190">
        <f>(H78+I78)-J78</f>
        <v>122.07287750395453</v>
      </c>
    </row>
    <row r="79" spans="1:11" ht="18" customHeight="1">
      <c r="A79" s="182" t="s">
        <v>109</v>
      </c>
      <c r="B79" s="186" t="s">
        <v>13</v>
      </c>
      <c r="F79" s="187"/>
      <c r="G79" s="187"/>
      <c r="H79" s="188">
        <f>+'[12]CB List '!$AB$190</f>
        <v>0</v>
      </c>
      <c r="I79" s="189">
        <v>0</v>
      </c>
      <c r="J79" s="188"/>
      <c r="K79" s="190">
        <f>(H79+I79)-J79</f>
        <v>0</v>
      </c>
    </row>
    <row r="80" spans="1:11" ht="18" customHeight="1">
      <c r="A80" s="182" t="s">
        <v>110</v>
      </c>
      <c r="B80" s="186" t="s">
        <v>56</v>
      </c>
      <c r="F80" s="187"/>
      <c r="G80" s="187"/>
      <c r="H80" s="188">
        <f>+'[12]CB List '!$AB$191</f>
        <v>0</v>
      </c>
      <c r="I80" s="189">
        <v>0</v>
      </c>
      <c r="J80" s="188"/>
      <c r="K80" s="190">
        <f>(H80+I80)-J80</f>
        <v>0</v>
      </c>
    </row>
    <row r="81" spans="1:11" ht="18" customHeight="1">
      <c r="A81" s="182"/>
      <c r="K81" s="230"/>
    </row>
    <row r="82" spans="1:11" ht="18" customHeight="1">
      <c r="A82" s="182" t="s">
        <v>148</v>
      </c>
      <c r="B82" s="181" t="s">
        <v>149</v>
      </c>
      <c r="E82" s="181" t="s">
        <v>7</v>
      </c>
      <c r="F82" s="227">
        <f t="shared" ref="F82:K82" si="8">SUM(F77:F80)</f>
        <v>0</v>
      </c>
      <c r="G82" s="227">
        <f t="shared" si="8"/>
        <v>0</v>
      </c>
      <c r="H82" s="229">
        <f t="shared" si="8"/>
        <v>70428.011635360701</v>
      </c>
      <c r="I82" s="229">
        <f t="shared" si="8"/>
        <v>0</v>
      </c>
      <c r="J82" s="229">
        <f t="shared" si="8"/>
        <v>0</v>
      </c>
      <c r="K82" s="229">
        <f t="shared" si="8"/>
        <v>70428.011635360701</v>
      </c>
    </row>
    <row r="83" spans="1:11" ht="18" customHeight="1" thickBot="1">
      <c r="A83" s="182"/>
      <c r="F83" s="206"/>
      <c r="G83" s="206"/>
      <c r="H83" s="206"/>
      <c r="I83" s="206"/>
      <c r="J83" s="206"/>
      <c r="K83" s="206"/>
    </row>
    <row r="84" spans="1:11" ht="42.75" customHeight="1">
      <c r="F84" s="184" t="s">
        <v>9</v>
      </c>
      <c r="G84" s="184" t="s">
        <v>37</v>
      </c>
      <c r="H84" s="184" t="s">
        <v>29</v>
      </c>
      <c r="I84" s="184" t="s">
        <v>30</v>
      </c>
      <c r="J84" s="184" t="s">
        <v>33</v>
      </c>
      <c r="K84" s="184" t="s">
        <v>34</v>
      </c>
    </row>
    <row r="85" spans="1:11" ht="18" customHeight="1">
      <c r="A85" s="185" t="s">
        <v>111</v>
      </c>
      <c r="B85" s="181" t="s">
        <v>57</v>
      </c>
    </row>
    <row r="86" spans="1:11" ht="18" customHeight="1">
      <c r="A86" s="182" t="s">
        <v>112</v>
      </c>
      <c r="B86" s="186" t="s">
        <v>113</v>
      </c>
      <c r="F86" s="187"/>
      <c r="G86" s="187"/>
      <c r="H86" s="188">
        <f>+'[12]CB List '!$AB$192</f>
        <v>0</v>
      </c>
      <c r="I86" s="189">
        <f t="shared" ref="I86:I96" si="9">H86*F$114</f>
        <v>0</v>
      </c>
      <c r="J86" s="188"/>
      <c r="K86" s="190">
        <f t="shared" ref="K86:K96" si="10">(H86+I86)-J86</f>
        <v>0</v>
      </c>
    </row>
    <row r="87" spans="1:11" ht="18" customHeight="1">
      <c r="A87" s="182" t="s">
        <v>114</v>
      </c>
      <c r="B87" s="186" t="s">
        <v>14</v>
      </c>
      <c r="F87" s="187"/>
      <c r="G87" s="187"/>
      <c r="H87" s="188">
        <f>+'[12]CB List '!$AB$193</f>
        <v>24.023681696908998</v>
      </c>
      <c r="I87" s="189">
        <f t="shared" si="9"/>
        <v>24.63399702349183</v>
      </c>
      <c r="J87" s="188"/>
      <c r="K87" s="190">
        <f t="shared" si="10"/>
        <v>48.657678720400824</v>
      </c>
    </row>
    <row r="88" spans="1:11" ht="18" customHeight="1">
      <c r="A88" s="182" t="s">
        <v>115</v>
      </c>
      <c r="B88" s="186" t="s">
        <v>116</v>
      </c>
      <c r="F88" s="187"/>
      <c r="G88" s="187"/>
      <c r="H88" s="188">
        <f>+'[12]CB List '!$AB$194</f>
        <v>6997.0887546968634</v>
      </c>
      <c r="I88" s="189">
        <f t="shared" si="9"/>
        <v>7174.8479575671436</v>
      </c>
      <c r="J88" s="188"/>
      <c r="K88" s="190">
        <f t="shared" si="10"/>
        <v>14171.936712264007</v>
      </c>
    </row>
    <row r="89" spans="1:11" ht="18" customHeight="1">
      <c r="A89" s="182" t="s">
        <v>117</v>
      </c>
      <c r="B89" s="186" t="s">
        <v>58</v>
      </c>
      <c r="F89" s="187"/>
      <c r="G89" s="187"/>
      <c r="H89" s="188">
        <f>+'[12]CB List '!$AB$195</f>
        <v>13.681283135866819</v>
      </c>
      <c r="I89" s="189">
        <f t="shared" si="9"/>
        <v>14.028852542191958</v>
      </c>
      <c r="J89" s="188"/>
      <c r="K89" s="190">
        <f t="shared" si="10"/>
        <v>27.710135678058776</v>
      </c>
    </row>
    <row r="90" spans="1:11" ht="18" customHeight="1">
      <c r="A90" s="182" t="s">
        <v>118</v>
      </c>
      <c r="B90" s="702" t="s">
        <v>59</v>
      </c>
      <c r="C90" s="703"/>
      <c r="F90" s="187"/>
      <c r="G90" s="187"/>
      <c r="H90" s="188">
        <f>+++'[12]CB List '!$AB$196</f>
        <v>11.563941698173144</v>
      </c>
      <c r="I90" s="189">
        <f t="shared" si="9"/>
        <v>11.857720601138441</v>
      </c>
      <c r="J90" s="188"/>
      <c r="K90" s="190">
        <f t="shared" si="10"/>
        <v>23.421662299311585</v>
      </c>
    </row>
    <row r="91" spans="1:11" ht="18" customHeight="1">
      <c r="A91" s="182" t="s">
        <v>119</v>
      </c>
      <c r="B91" s="186" t="s">
        <v>60</v>
      </c>
      <c r="F91" s="187"/>
      <c r="G91" s="187"/>
      <c r="H91" s="188">
        <f>+'[12]CB List '!$AB$197</f>
        <v>2586.9026196068176</v>
      </c>
      <c r="I91" s="189">
        <f t="shared" si="9"/>
        <v>2652.6222015194626</v>
      </c>
      <c r="J91" s="188"/>
      <c r="K91" s="190">
        <f t="shared" si="10"/>
        <v>5239.5248211262806</v>
      </c>
    </row>
    <row r="92" spans="1:11" ht="18" customHeight="1">
      <c r="A92" s="182" t="s">
        <v>120</v>
      </c>
      <c r="B92" s="186" t="s">
        <v>121</v>
      </c>
      <c r="F92" s="231"/>
      <c r="G92" s="231"/>
      <c r="H92" s="232">
        <f>+'[12]CB List '!$AB$198</f>
        <v>23768.82080087089</v>
      </c>
      <c r="I92" s="189">
        <f t="shared" si="9"/>
        <v>24372.661453298399</v>
      </c>
      <c r="J92" s="232"/>
      <c r="K92" s="190">
        <f t="shared" si="10"/>
        <v>48141.482254169285</v>
      </c>
    </row>
    <row r="93" spans="1:11" ht="18" customHeight="1">
      <c r="A93" s="182" t="s">
        <v>122</v>
      </c>
      <c r="B93" s="186" t="s">
        <v>123</v>
      </c>
      <c r="F93" s="187"/>
      <c r="G93" s="187"/>
      <c r="H93" s="188">
        <f>+'[12]CB List '!$AB$199</f>
        <v>66.126201823356297</v>
      </c>
      <c r="I93" s="189">
        <f t="shared" si="9"/>
        <v>67.80612062059447</v>
      </c>
      <c r="J93" s="188"/>
      <c r="K93" s="190">
        <f t="shared" si="10"/>
        <v>133.93232244395077</v>
      </c>
    </row>
    <row r="94" spans="1:11" ht="18" customHeight="1">
      <c r="A94" s="182" t="s">
        <v>124</v>
      </c>
      <c r="B94" s="706" t="s">
        <v>361</v>
      </c>
      <c r="C94" s="707"/>
      <c r="D94" s="693"/>
      <c r="F94" s="187"/>
      <c r="G94" s="187"/>
      <c r="H94" s="188">
        <f>+'[12]CB List '!$AB$200</f>
        <v>0</v>
      </c>
      <c r="I94" s="189">
        <f t="shared" si="9"/>
        <v>0</v>
      </c>
      <c r="J94" s="188"/>
      <c r="K94" s="190">
        <f t="shared" si="10"/>
        <v>0</v>
      </c>
    </row>
    <row r="95" spans="1:11" ht="18" customHeight="1">
      <c r="A95" s="182" t="s">
        <v>125</v>
      </c>
      <c r="B95" s="706"/>
      <c r="C95" s="707"/>
      <c r="D95" s="693"/>
      <c r="F95" s="187"/>
      <c r="G95" s="187"/>
      <c r="H95" s="188"/>
      <c r="I95" s="189">
        <f t="shared" si="9"/>
        <v>0</v>
      </c>
      <c r="J95" s="188"/>
      <c r="K95" s="190">
        <f t="shared" si="10"/>
        <v>0</v>
      </c>
    </row>
    <row r="96" spans="1:11" ht="18" customHeight="1">
      <c r="A96" s="182" t="s">
        <v>126</v>
      </c>
      <c r="B96" s="706"/>
      <c r="C96" s="707"/>
      <c r="D96" s="693"/>
      <c r="F96" s="187"/>
      <c r="G96" s="187"/>
      <c r="H96" s="188"/>
      <c r="I96" s="189">
        <f t="shared" si="9"/>
        <v>0</v>
      </c>
      <c r="J96" s="188"/>
      <c r="K96" s="190">
        <f t="shared" si="10"/>
        <v>0</v>
      </c>
    </row>
    <row r="97" spans="1:11" ht="18" customHeight="1">
      <c r="A97" s="182"/>
      <c r="B97" s="186"/>
    </row>
    <row r="98" spans="1:11" ht="18" customHeight="1">
      <c r="A98" s="185" t="s">
        <v>150</v>
      </c>
      <c r="B98" s="181" t="s">
        <v>151</v>
      </c>
      <c r="E98" s="181" t="s">
        <v>7</v>
      </c>
      <c r="F98" s="196">
        <f t="shared" ref="F98:K98" si="11">SUM(F86:F96)</f>
        <v>0</v>
      </c>
      <c r="G98" s="196">
        <f t="shared" si="11"/>
        <v>0</v>
      </c>
      <c r="H98" s="196">
        <f t="shared" si="11"/>
        <v>33468.207283528871</v>
      </c>
      <c r="I98" s="196">
        <f t="shared" si="11"/>
        <v>34318.458303172425</v>
      </c>
      <c r="J98" s="196">
        <f t="shared" si="11"/>
        <v>0</v>
      </c>
      <c r="K98" s="196">
        <f t="shared" si="11"/>
        <v>67786.665586701303</v>
      </c>
    </row>
    <row r="99" spans="1:11" ht="18" customHeight="1" thickBot="1">
      <c r="B99" s="181"/>
      <c r="F99" s="206"/>
      <c r="G99" s="206"/>
      <c r="H99" s="206"/>
      <c r="I99" s="206"/>
      <c r="J99" s="206"/>
      <c r="K99" s="206"/>
    </row>
    <row r="100" spans="1:11" ht="42.75" customHeight="1">
      <c r="F100" s="184" t="s">
        <v>9</v>
      </c>
      <c r="G100" s="184" t="s">
        <v>37</v>
      </c>
      <c r="H100" s="184" t="s">
        <v>29</v>
      </c>
      <c r="I100" s="184" t="s">
        <v>30</v>
      </c>
      <c r="J100" s="184" t="s">
        <v>33</v>
      </c>
      <c r="K100" s="184" t="s">
        <v>34</v>
      </c>
    </row>
    <row r="101" spans="1:11" ht="18" customHeight="1">
      <c r="A101" s="185" t="s">
        <v>130</v>
      </c>
      <c r="B101" s="181" t="s">
        <v>63</v>
      </c>
    </row>
    <row r="102" spans="1:11" ht="18" customHeight="1">
      <c r="A102" s="182" t="s">
        <v>131</v>
      </c>
      <c r="B102" s="186" t="s">
        <v>152</v>
      </c>
      <c r="F102" s="187">
        <f>+'[12]CB List '!$Z$201</f>
        <v>119.4750534453442</v>
      </c>
      <c r="G102" s="187">
        <f>+'[12]CB List '!$AA$201</f>
        <v>14.739953854713658</v>
      </c>
      <c r="H102" s="188">
        <f>+'[12]CB List '!$AB$201</f>
        <v>5838.025065872851</v>
      </c>
      <c r="I102" s="189">
        <f>H102*F$114</f>
        <v>5986.3385600170641</v>
      </c>
      <c r="J102" s="188"/>
      <c r="K102" s="190">
        <f>(H102+I102)-J102</f>
        <v>11824.363625889915</v>
      </c>
    </row>
    <row r="103" spans="1:11" ht="18" customHeight="1">
      <c r="A103" s="182" t="s">
        <v>132</v>
      </c>
      <c r="B103" s="702" t="s">
        <v>62</v>
      </c>
      <c r="C103" s="702"/>
      <c r="F103" s="187">
        <f>+'[12]CB List '!$Z$202</f>
        <v>26.222459343744735</v>
      </c>
      <c r="G103" s="187">
        <f>+'[12]CB List '!$AA$202</f>
        <v>5.9041251627996685</v>
      </c>
      <c r="H103" s="188">
        <f>+'[12]CB List '!$AB$202</f>
        <v>42.265392544731419</v>
      </c>
      <c r="I103" s="189">
        <f>H103*F$114</f>
        <v>43.33913374641444</v>
      </c>
      <c r="J103" s="188"/>
      <c r="K103" s="190">
        <f>(H103+I103)-J103</f>
        <v>85.604526291145859</v>
      </c>
    </row>
    <row r="104" spans="1:11" ht="18" customHeight="1">
      <c r="A104" s="182" t="s">
        <v>128</v>
      </c>
      <c r="B104" s="706" t="s">
        <v>197</v>
      </c>
      <c r="C104" s="707"/>
      <c r="D104" s="693"/>
      <c r="F104" s="187">
        <f>+'[12]CB List '!$Z$203</f>
        <v>0</v>
      </c>
      <c r="G104" s="187">
        <f>+'[12]CB List '!$AA$203</f>
        <v>0</v>
      </c>
      <c r="H104" s="188">
        <f>+'[12]CB List '!$AB$203</f>
        <v>0</v>
      </c>
      <c r="I104" s="189">
        <f>H104*F$114</f>
        <v>0</v>
      </c>
      <c r="J104" s="188"/>
      <c r="K104" s="190">
        <f>(H104+I104)-J104</f>
        <v>0</v>
      </c>
    </row>
    <row r="105" spans="1:11" ht="18" customHeight="1">
      <c r="A105" s="182" t="s">
        <v>127</v>
      </c>
      <c r="B105" s="706"/>
      <c r="C105" s="707"/>
      <c r="D105" s="693"/>
      <c r="F105" s="187"/>
      <c r="G105" s="187"/>
      <c r="H105" s="188"/>
      <c r="I105" s="189">
        <f>H105*F$114</f>
        <v>0</v>
      </c>
      <c r="J105" s="188"/>
      <c r="K105" s="190">
        <f>(H105+I105)-J105</f>
        <v>0</v>
      </c>
    </row>
    <row r="106" spans="1:11" ht="18" customHeight="1">
      <c r="A106" s="182" t="s">
        <v>129</v>
      </c>
      <c r="B106" s="706"/>
      <c r="C106" s="707"/>
      <c r="D106" s="693"/>
      <c r="F106" s="187"/>
      <c r="G106" s="187"/>
      <c r="H106" s="188"/>
      <c r="I106" s="189">
        <f>H106*F$114</f>
        <v>0</v>
      </c>
      <c r="J106" s="188"/>
      <c r="K106" s="190">
        <f>(H106+I106)-J106</f>
        <v>0</v>
      </c>
    </row>
    <row r="107" spans="1:11" ht="18" customHeight="1">
      <c r="B107" s="181"/>
    </row>
    <row r="108" spans="1:11" s="201" customFormat="1" ht="18" customHeight="1">
      <c r="A108" s="185" t="s">
        <v>153</v>
      </c>
      <c r="B108" s="233" t="s">
        <v>154</v>
      </c>
      <c r="C108" s="178"/>
      <c r="D108" s="178"/>
      <c r="E108" s="181" t="s">
        <v>7</v>
      </c>
      <c r="F108" s="196">
        <f t="shared" ref="F108:K108" si="12">SUM(F102:F106)</f>
        <v>145.69751278908893</v>
      </c>
      <c r="G108" s="196">
        <f t="shared" si="12"/>
        <v>20.644079017513327</v>
      </c>
      <c r="H108" s="190">
        <f t="shared" si="12"/>
        <v>5880.2904584175822</v>
      </c>
      <c r="I108" s="190">
        <f t="shared" si="12"/>
        <v>6029.6776937634786</v>
      </c>
      <c r="J108" s="190">
        <f t="shared" si="12"/>
        <v>0</v>
      </c>
      <c r="K108" s="190">
        <f t="shared" si="12"/>
        <v>11909.968152181062</v>
      </c>
    </row>
    <row r="109" spans="1:11" s="201" customFormat="1" ht="18" customHeight="1" thickBot="1">
      <c r="A109" s="234"/>
      <c r="B109" s="235"/>
      <c r="C109" s="236"/>
      <c r="D109" s="236"/>
      <c r="E109" s="236"/>
      <c r="F109" s="206"/>
      <c r="G109" s="206"/>
      <c r="H109" s="206"/>
      <c r="I109" s="206"/>
      <c r="J109" s="206"/>
      <c r="K109" s="206"/>
    </row>
    <row r="110" spans="1:11" s="201" customFormat="1" ht="18" customHeight="1">
      <c r="A110" s="185" t="s">
        <v>156</v>
      </c>
      <c r="B110" s="181" t="s">
        <v>39</v>
      </c>
      <c r="C110" s="178"/>
      <c r="D110" s="178"/>
      <c r="E110" s="178"/>
      <c r="F110" s="178"/>
      <c r="G110" s="178"/>
      <c r="H110" s="178"/>
      <c r="I110" s="178"/>
      <c r="J110" s="178"/>
      <c r="K110" s="178"/>
    </row>
    <row r="111" spans="1:11" ht="18" customHeight="1">
      <c r="A111" s="185" t="s">
        <v>155</v>
      </c>
      <c r="B111" s="181" t="s">
        <v>164</v>
      </c>
      <c r="E111" s="181" t="s">
        <v>7</v>
      </c>
      <c r="F111" s="188">
        <f>+'[12]CB List '!$AE$206</f>
        <v>2546393.0720000002</v>
      </c>
    </row>
    <row r="112" spans="1:11" ht="18" customHeight="1">
      <c r="B112" s="181"/>
      <c r="E112" s="181"/>
      <c r="F112" s="237"/>
    </row>
    <row r="113" spans="1:6" ht="18" customHeight="1">
      <c r="A113" s="185"/>
      <c r="B113" s="181" t="s">
        <v>15</v>
      </c>
    </row>
    <row r="114" spans="1:6" ht="18" customHeight="1">
      <c r="A114" s="182" t="s">
        <v>171</v>
      </c>
      <c r="B114" s="186" t="s">
        <v>35</v>
      </c>
      <c r="F114" s="238">
        <f>+'[12]CB List '!$I$215</f>
        <v>1.0254047374704169</v>
      </c>
    </row>
    <row r="115" spans="1:6" ht="18" customHeight="1">
      <c r="A115" s="182"/>
      <c r="B115" s="181"/>
    </row>
    <row r="116" spans="1:6" ht="18" customHeight="1">
      <c r="A116" s="182" t="s">
        <v>170</v>
      </c>
      <c r="B116" s="181" t="s">
        <v>16</v>
      </c>
    </row>
    <row r="117" spans="1:6" ht="18" customHeight="1">
      <c r="A117" s="182" t="s">
        <v>172</v>
      </c>
      <c r="B117" s="186" t="s">
        <v>17</v>
      </c>
      <c r="F117" s="188">
        <f>+'[13]P&amp;L_105'!$K$54</f>
        <v>31090771.831999995</v>
      </c>
    </row>
    <row r="118" spans="1:6" ht="18" customHeight="1">
      <c r="A118" s="182" t="s">
        <v>173</v>
      </c>
      <c r="B118" s="178" t="s">
        <v>18</v>
      </c>
      <c r="F118" s="188">
        <f>+'[13]P&amp;L_105'!$K$69</f>
        <v>4664558.75</v>
      </c>
    </row>
    <row r="119" spans="1:6" ht="18" customHeight="1">
      <c r="A119" s="182" t="s">
        <v>174</v>
      </c>
      <c r="B119" s="181" t="s">
        <v>19</v>
      </c>
      <c r="F119" s="229">
        <f>SUM(F117:F118)</f>
        <v>35755330.581999995</v>
      </c>
    </row>
    <row r="120" spans="1:6" ht="18" customHeight="1">
      <c r="A120" s="182"/>
      <c r="B120" s="181"/>
    </row>
    <row r="121" spans="1:6" ht="18" customHeight="1">
      <c r="A121" s="182" t="s">
        <v>167</v>
      </c>
      <c r="B121" s="181" t="s">
        <v>36</v>
      </c>
      <c r="F121" s="188">
        <f>+'[13]P&amp;L_105'!$K$273</f>
        <v>33990541.447999999</v>
      </c>
    </row>
    <row r="122" spans="1:6" ht="18" customHeight="1">
      <c r="A122" s="182"/>
    </row>
    <row r="123" spans="1:6" ht="18" customHeight="1">
      <c r="A123" s="182" t="s">
        <v>175</v>
      </c>
      <c r="B123" s="181" t="s">
        <v>20</v>
      </c>
      <c r="F123" s="188">
        <f>+'[13]P&amp;L_105'!$K$275</f>
        <v>1764789.1339999977</v>
      </c>
    </row>
    <row r="124" spans="1:6" ht="18" customHeight="1">
      <c r="A124" s="182"/>
    </row>
    <row r="125" spans="1:6" ht="18" customHeight="1">
      <c r="A125" s="182" t="s">
        <v>176</v>
      </c>
      <c r="B125" s="181" t="s">
        <v>21</v>
      </c>
      <c r="F125" s="188">
        <f>+'[13]P&amp;L_105'!$K$286</f>
        <v>-197125.60200000001</v>
      </c>
    </row>
    <row r="126" spans="1:6" ht="18" customHeight="1">
      <c r="A126" s="182"/>
    </row>
    <row r="127" spans="1:6" ht="18" customHeight="1">
      <c r="A127" s="182" t="s">
        <v>177</v>
      </c>
      <c r="B127" s="181" t="s">
        <v>22</v>
      </c>
      <c r="F127" s="188">
        <f>+'[13]P&amp;L_105'!$K$288</f>
        <v>1567663.5319999978</v>
      </c>
    </row>
    <row r="128" spans="1:6" ht="18" customHeight="1">
      <c r="A128" s="182"/>
    </row>
    <row r="129" spans="1:11" ht="42.75" customHeight="1">
      <c r="F129" s="184" t="s">
        <v>9</v>
      </c>
      <c r="G129" s="184" t="s">
        <v>37</v>
      </c>
      <c r="H129" s="184" t="s">
        <v>29</v>
      </c>
      <c r="I129" s="184" t="s">
        <v>30</v>
      </c>
      <c r="J129" s="184" t="s">
        <v>33</v>
      </c>
      <c r="K129" s="184" t="s">
        <v>34</v>
      </c>
    </row>
    <row r="130" spans="1:11" ht="18" customHeight="1">
      <c r="A130" s="185" t="s">
        <v>157</v>
      </c>
      <c r="B130" s="181" t="s">
        <v>23</v>
      </c>
    </row>
    <row r="131" spans="1:11" ht="18" customHeight="1">
      <c r="A131" s="182" t="s">
        <v>158</v>
      </c>
      <c r="B131" s="178" t="s">
        <v>24</v>
      </c>
      <c r="F131" s="187"/>
      <c r="G131" s="187"/>
      <c r="H131" s="188"/>
      <c r="I131" s="189">
        <v>0</v>
      </c>
      <c r="J131" s="188"/>
      <c r="K131" s="190">
        <f>(H131+I131)-J131</f>
        <v>0</v>
      </c>
    </row>
    <row r="132" spans="1:11" ht="18" customHeight="1">
      <c r="A132" s="182" t="s">
        <v>159</v>
      </c>
      <c r="B132" s="178" t="s">
        <v>25</v>
      </c>
      <c r="F132" s="187"/>
      <c r="G132" s="187"/>
      <c r="H132" s="188"/>
      <c r="I132" s="189">
        <v>0</v>
      </c>
      <c r="J132" s="188"/>
      <c r="K132" s="190">
        <f>(H132+I132)-J132</f>
        <v>0</v>
      </c>
    </row>
    <row r="133" spans="1:11" ht="18" customHeight="1">
      <c r="A133" s="182" t="s">
        <v>160</v>
      </c>
      <c r="B133" s="699"/>
      <c r="C133" s="700"/>
      <c r="D133" s="701"/>
      <c r="F133" s="187"/>
      <c r="G133" s="187"/>
      <c r="H133" s="188"/>
      <c r="I133" s="189">
        <v>0</v>
      </c>
      <c r="J133" s="188"/>
      <c r="K133" s="190">
        <f>(H133+I133)-J133</f>
        <v>0</v>
      </c>
    </row>
    <row r="134" spans="1:11" ht="18" customHeight="1">
      <c r="A134" s="182" t="s">
        <v>161</v>
      </c>
      <c r="B134" s="699"/>
      <c r="C134" s="700"/>
      <c r="D134" s="701"/>
      <c r="F134" s="187"/>
      <c r="G134" s="187"/>
      <c r="H134" s="188"/>
      <c r="I134" s="189">
        <v>0</v>
      </c>
      <c r="J134" s="188"/>
      <c r="K134" s="190">
        <f>(H134+I134)-J134</f>
        <v>0</v>
      </c>
    </row>
    <row r="135" spans="1:11" ht="18" customHeight="1">
      <c r="A135" s="182" t="s">
        <v>162</v>
      </c>
      <c r="B135" s="699"/>
      <c r="C135" s="700"/>
      <c r="D135" s="701"/>
      <c r="F135" s="187"/>
      <c r="G135" s="187"/>
      <c r="H135" s="188"/>
      <c r="I135" s="189">
        <v>0</v>
      </c>
      <c r="J135" s="188"/>
      <c r="K135" s="190">
        <f>(H135+I135)-J135</f>
        <v>0</v>
      </c>
    </row>
    <row r="136" spans="1:11" ht="18" customHeight="1">
      <c r="A136" s="185"/>
    </row>
    <row r="137" spans="1:11" ht="18" customHeight="1">
      <c r="A137" s="185" t="s">
        <v>163</v>
      </c>
      <c r="B137" s="181" t="s">
        <v>27</v>
      </c>
      <c r="F137" s="196">
        <f t="shared" ref="F137:K137" si="13">SUM(F131:F135)</f>
        <v>0</v>
      </c>
      <c r="G137" s="196">
        <f t="shared" si="13"/>
        <v>0</v>
      </c>
      <c r="H137" s="190">
        <f t="shared" si="13"/>
        <v>0</v>
      </c>
      <c r="I137" s="190">
        <f t="shared" si="13"/>
        <v>0</v>
      </c>
      <c r="J137" s="190">
        <f t="shared" si="13"/>
        <v>0</v>
      </c>
      <c r="K137" s="190">
        <f t="shared" si="13"/>
        <v>0</v>
      </c>
    </row>
    <row r="138" spans="1:11" ht="18" customHeight="1">
      <c r="A138" s="178"/>
    </row>
    <row r="139" spans="1:11" ht="42.75" customHeight="1">
      <c r="F139" s="184" t="s">
        <v>9</v>
      </c>
      <c r="G139" s="184" t="s">
        <v>37</v>
      </c>
      <c r="H139" s="184" t="s">
        <v>29</v>
      </c>
      <c r="I139" s="184" t="s">
        <v>30</v>
      </c>
      <c r="J139" s="184" t="s">
        <v>33</v>
      </c>
      <c r="K139" s="184" t="s">
        <v>34</v>
      </c>
    </row>
    <row r="140" spans="1:11" ht="18" customHeight="1">
      <c r="A140" s="185" t="s">
        <v>166</v>
      </c>
      <c r="B140" s="181" t="s">
        <v>26</v>
      </c>
    </row>
    <row r="141" spans="1:11" ht="18" customHeight="1">
      <c r="A141" s="182" t="s">
        <v>137</v>
      </c>
      <c r="B141" s="181" t="s">
        <v>64</v>
      </c>
      <c r="F141" s="239">
        <f t="shared" ref="F141:K141" si="14">F36</f>
        <v>0</v>
      </c>
      <c r="G141" s="239">
        <f t="shared" si="14"/>
        <v>0</v>
      </c>
      <c r="H141" s="239">
        <f t="shared" si="14"/>
        <v>212850.12402087264</v>
      </c>
      <c r="I141" s="239">
        <f t="shared" si="14"/>
        <v>166875.29396322119</v>
      </c>
      <c r="J141" s="239">
        <f t="shared" si="14"/>
        <v>11406.856094149998</v>
      </c>
      <c r="K141" s="239">
        <f t="shared" si="14"/>
        <v>368318.56188994378</v>
      </c>
    </row>
    <row r="142" spans="1:11" ht="18" customHeight="1">
      <c r="A142" s="182" t="s">
        <v>142</v>
      </c>
      <c r="B142" s="181" t="s">
        <v>65</v>
      </c>
      <c r="F142" s="239">
        <f t="shared" ref="F142:K142" si="15">F49</f>
        <v>0</v>
      </c>
      <c r="G142" s="239">
        <f t="shared" si="15"/>
        <v>0</v>
      </c>
      <c r="H142" s="239">
        <f t="shared" si="15"/>
        <v>11169.254823489031</v>
      </c>
      <c r="I142" s="239">
        <f t="shared" si="15"/>
        <v>0</v>
      </c>
      <c r="J142" s="239">
        <f t="shared" si="15"/>
        <v>1782.3778472499998</v>
      </c>
      <c r="K142" s="239">
        <f t="shared" si="15"/>
        <v>9386.8769762390311</v>
      </c>
    </row>
    <row r="143" spans="1:11" ht="18" customHeight="1">
      <c r="A143" s="182" t="s">
        <v>144</v>
      </c>
      <c r="B143" s="181" t="s">
        <v>66</v>
      </c>
      <c r="F143" s="239">
        <f t="shared" ref="F143:K143" si="16">F64</f>
        <v>0</v>
      </c>
      <c r="G143" s="239">
        <f t="shared" si="16"/>
        <v>0</v>
      </c>
      <c r="H143" s="239">
        <f t="shared" si="16"/>
        <v>1234833.5506955101</v>
      </c>
      <c r="I143" s="239">
        <f t="shared" si="16"/>
        <v>0</v>
      </c>
      <c r="J143" s="239">
        <f t="shared" si="16"/>
        <v>0</v>
      </c>
      <c r="K143" s="239">
        <f t="shared" si="16"/>
        <v>1234833.5506955101</v>
      </c>
    </row>
    <row r="144" spans="1:11" ht="18" customHeight="1">
      <c r="A144" s="182" t="s">
        <v>146</v>
      </c>
      <c r="B144" s="181" t="s">
        <v>67</v>
      </c>
      <c r="F144" s="239">
        <f t="shared" ref="F144:K144" si="17">F74</f>
        <v>0</v>
      </c>
      <c r="G144" s="239">
        <f t="shared" si="17"/>
        <v>0</v>
      </c>
      <c r="H144" s="239">
        <f t="shared" si="17"/>
        <v>41.53246666245284</v>
      </c>
      <c r="I144" s="239">
        <f t="shared" si="17"/>
        <v>0</v>
      </c>
      <c r="J144" s="239">
        <f t="shared" si="17"/>
        <v>0</v>
      </c>
      <c r="K144" s="239">
        <f t="shared" si="17"/>
        <v>41.53246666245284</v>
      </c>
    </row>
    <row r="145" spans="1:11" ht="18" customHeight="1">
      <c r="A145" s="182" t="s">
        <v>148</v>
      </c>
      <c r="B145" s="181" t="s">
        <v>68</v>
      </c>
      <c r="F145" s="239">
        <f t="shared" ref="F145:K145" si="18">F82</f>
        <v>0</v>
      </c>
      <c r="G145" s="239">
        <f t="shared" si="18"/>
        <v>0</v>
      </c>
      <c r="H145" s="239">
        <f t="shared" si="18"/>
        <v>70428.011635360701</v>
      </c>
      <c r="I145" s="239">
        <f t="shared" si="18"/>
        <v>0</v>
      </c>
      <c r="J145" s="239">
        <f t="shared" si="18"/>
        <v>0</v>
      </c>
      <c r="K145" s="239">
        <f t="shared" si="18"/>
        <v>70428.011635360701</v>
      </c>
    </row>
    <row r="146" spans="1:11" ht="18" customHeight="1">
      <c r="A146" s="182" t="s">
        <v>150</v>
      </c>
      <c r="B146" s="181" t="s">
        <v>69</v>
      </c>
      <c r="F146" s="239">
        <f t="shared" ref="F146:K146" si="19">F98</f>
        <v>0</v>
      </c>
      <c r="G146" s="239">
        <f t="shared" si="19"/>
        <v>0</v>
      </c>
      <c r="H146" s="239">
        <f t="shared" si="19"/>
        <v>33468.207283528871</v>
      </c>
      <c r="I146" s="239">
        <f t="shared" si="19"/>
        <v>34318.458303172425</v>
      </c>
      <c r="J146" s="239">
        <f t="shared" si="19"/>
        <v>0</v>
      </c>
      <c r="K146" s="239">
        <f t="shared" si="19"/>
        <v>67786.665586701303</v>
      </c>
    </row>
    <row r="147" spans="1:11" ht="18" customHeight="1">
      <c r="A147" s="182" t="s">
        <v>153</v>
      </c>
      <c r="B147" s="181" t="s">
        <v>61</v>
      </c>
      <c r="F147" s="196">
        <f t="shared" ref="F147:K147" si="20">F108</f>
        <v>145.69751278908893</v>
      </c>
      <c r="G147" s="196">
        <f t="shared" si="20"/>
        <v>20.644079017513327</v>
      </c>
      <c r="H147" s="196">
        <f t="shared" si="20"/>
        <v>5880.2904584175822</v>
      </c>
      <c r="I147" s="196">
        <f t="shared" si="20"/>
        <v>6029.6776937634786</v>
      </c>
      <c r="J147" s="196">
        <f t="shared" si="20"/>
        <v>0</v>
      </c>
      <c r="K147" s="196">
        <f t="shared" si="20"/>
        <v>11909.968152181062</v>
      </c>
    </row>
    <row r="148" spans="1:11" ht="18" customHeight="1">
      <c r="A148" s="182" t="s">
        <v>155</v>
      </c>
      <c r="B148" s="181" t="s">
        <v>70</v>
      </c>
      <c r="F148" s="240" t="s">
        <v>73</v>
      </c>
      <c r="G148" s="240" t="s">
        <v>73</v>
      </c>
      <c r="H148" s="241" t="s">
        <v>73</v>
      </c>
      <c r="I148" s="241" t="s">
        <v>73</v>
      </c>
      <c r="J148" s="241" t="s">
        <v>73</v>
      </c>
      <c r="K148" s="242">
        <f>F111</f>
        <v>2546393.0720000002</v>
      </c>
    </row>
    <row r="149" spans="1:11" ht="18" customHeight="1">
      <c r="A149" s="182" t="s">
        <v>163</v>
      </c>
      <c r="B149" s="181" t="s">
        <v>71</v>
      </c>
      <c r="F149" s="196">
        <f t="shared" ref="F149:K149" si="21">F137</f>
        <v>0</v>
      </c>
      <c r="G149" s="196">
        <f t="shared" si="21"/>
        <v>0</v>
      </c>
      <c r="H149" s="196">
        <f t="shared" si="21"/>
        <v>0</v>
      </c>
      <c r="I149" s="196">
        <f t="shared" si="21"/>
        <v>0</v>
      </c>
      <c r="J149" s="196">
        <f t="shared" si="21"/>
        <v>0</v>
      </c>
      <c r="K149" s="196">
        <f t="shared" si="21"/>
        <v>0</v>
      </c>
    </row>
    <row r="150" spans="1:11" ht="18" customHeight="1">
      <c r="A150" s="182" t="s">
        <v>185</v>
      </c>
      <c r="B150" s="181" t="s">
        <v>186</v>
      </c>
      <c r="F150" s="240" t="s">
        <v>73</v>
      </c>
      <c r="G150" s="240" t="s">
        <v>73</v>
      </c>
      <c r="H150" s="196">
        <f>H18</f>
        <v>0</v>
      </c>
      <c r="I150" s="196">
        <f>I18</f>
        <v>0</v>
      </c>
      <c r="J150" s="196">
        <f>J18</f>
        <v>0</v>
      </c>
      <c r="K150" s="196">
        <f>K18</f>
        <v>0</v>
      </c>
    </row>
    <row r="151" spans="1:11" ht="18" customHeight="1">
      <c r="B151" s="181"/>
      <c r="F151" s="213"/>
      <c r="G151" s="213"/>
      <c r="H151" s="213"/>
      <c r="I151" s="213"/>
      <c r="J151" s="213"/>
      <c r="K151" s="213"/>
    </row>
    <row r="152" spans="1:11" ht="18" customHeight="1">
      <c r="A152" s="185" t="s">
        <v>165</v>
      </c>
      <c r="B152" s="181" t="s">
        <v>26</v>
      </c>
      <c r="F152" s="243">
        <f t="shared" ref="F152:K152" si="22">SUM(F141:F150)</f>
        <v>145.69751278908893</v>
      </c>
      <c r="G152" s="243">
        <f t="shared" si="22"/>
        <v>20.644079017513327</v>
      </c>
      <c r="H152" s="243">
        <f t="shared" si="22"/>
        <v>1568670.9713838412</v>
      </c>
      <c r="I152" s="243">
        <f t="shared" si="22"/>
        <v>207223.42996015711</v>
      </c>
      <c r="J152" s="243">
        <f t="shared" si="22"/>
        <v>13189.233941399998</v>
      </c>
      <c r="K152" s="243">
        <f t="shared" si="22"/>
        <v>4309098.2394025987</v>
      </c>
    </row>
    <row r="154" spans="1:11" ht="18" customHeight="1">
      <c r="A154" s="185" t="s">
        <v>168</v>
      </c>
      <c r="B154" s="181" t="s">
        <v>28</v>
      </c>
      <c r="F154" s="64">
        <f>K152/F121</f>
        <v>0.12677345096119808</v>
      </c>
    </row>
    <row r="155" spans="1:11" ht="18" customHeight="1">
      <c r="A155" s="185" t="s">
        <v>169</v>
      </c>
      <c r="B155" s="181" t="s">
        <v>72</v>
      </c>
      <c r="F155" s="64">
        <f>K152/F127</f>
        <v>2.7487392233364809</v>
      </c>
      <c r="G155" s="181"/>
    </row>
    <row r="156" spans="1:11" ht="18" customHeight="1">
      <c r="G156" s="181"/>
    </row>
  </sheetData>
  <sheetProtection password="EF72"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topLeftCell="A139" workbookViewId="0">
      <selection activeCell="F36" sqref="F36"/>
    </sheetView>
  </sheetViews>
  <sheetFormatPr defaultColWidth="25.140625" defaultRowHeight="18" customHeight="1"/>
  <cols>
    <col min="1" max="1" width="7.5703125" style="8" customWidth="1"/>
    <col min="3" max="3" width="14.42578125" customWidth="1"/>
    <col min="4" max="4" width="3.5703125" customWidth="1"/>
    <col min="5" max="5" width="3.140625" customWidth="1"/>
    <col min="6" max="6" width="21" customWidth="1"/>
    <col min="7" max="7" width="14.42578125" customWidth="1"/>
    <col min="8" max="8" width="12.85546875" customWidth="1"/>
    <col min="9" max="9" width="18" customWidth="1"/>
    <col min="10" max="10" width="13.85546875" customWidth="1"/>
    <col min="11" max="11" width="16.5703125" customWidth="1"/>
  </cols>
  <sheetData>
    <row r="1" spans="1:11" ht="18" customHeight="1">
      <c r="C1" s="4"/>
      <c r="D1" s="3"/>
      <c r="E1" s="4"/>
      <c r="F1" s="4"/>
      <c r="G1" s="4"/>
      <c r="H1" s="4"/>
      <c r="I1" s="4"/>
      <c r="J1" s="4"/>
      <c r="K1" s="4"/>
    </row>
    <row r="2" spans="1:11" ht="18" customHeight="1">
      <c r="D2" s="651" t="s">
        <v>187</v>
      </c>
      <c r="E2" s="652"/>
      <c r="F2" s="652"/>
      <c r="G2" s="652"/>
      <c r="H2" s="652"/>
    </row>
    <row r="3" spans="1:11" ht="18" customHeight="1">
      <c r="B3" s="2" t="s">
        <v>0</v>
      </c>
    </row>
    <row r="5" spans="1:11" ht="18" customHeight="1">
      <c r="B5" s="5" t="s">
        <v>40</v>
      </c>
      <c r="C5" s="653" t="s">
        <v>717</v>
      </c>
      <c r="D5" s="654"/>
      <c r="E5" s="654"/>
      <c r="F5" s="654"/>
      <c r="G5" s="655"/>
    </row>
    <row r="6" spans="1:11" ht="18" customHeight="1">
      <c r="B6" s="5" t="s">
        <v>3</v>
      </c>
      <c r="C6" s="671"/>
      <c r="D6" s="657"/>
      <c r="E6" s="657"/>
      <c r="F6" s="657"/>
      <c r="G6" s="658"/>
    </row>
    <row r="7" spans="1:11" ht="18" customHeight="1">
      <c r="B7" s="5" t="s">
        <v>4</v>
      </c>
      <c r="C7" s="659">
        <v>650</v>
      </c>
      <c r="D7" s="660"/>
      <c r="E7" s="660"/>
      <c r="F7" s="660"/>
      <c r="G7" s="661"/>
    </row>
    <row r="9" spans="1:11" ht="18" customHeight="1">
      <c r="B9" s="5" t="s">
        <v>1</v>
      </c>
      <c r="C9" s="653" t="s">
        <v>718</v>
      </c>
      <c r="D9" s="654"/>
      <c r="E9" s="654"/>
      <c r="F9" s="654"/>
      <c r="G9" s="655"/>
    </row>
    <row r="10" spans="1:11" ht="18" customHeight="1">
      <c r="B10" s="5" t="s">
        <v>2</v>
      </c>
      <c r="C10" s="662" t="s">
        <v>719</v>
      </c>
      <c r="D10" s="663"/>
      <c r="E10" s="663"/>
      <c r="F10" s="663"/>
      <c r="G10" s="664"/>
    </row>
    <row r="11" spans="1:11" ht="18" customHeight="1">
      <c r="B11" s="5" t="s">
        <v>32</v>
      </c>
      <c r="C11" s="653" t="s">
        <v>720</v>
      </c>
      <c r="D11" s="665"/>
      <c r="E11" s="665"/>
      <c r="F11" s="665"/>
      <c r="G11" s="665"/>
    </row>
    <row r="12" spans="1:11" ht="18" customHeight="1">
      <c r="B12" s="5"/>
      <c r="C12" s="5"/>
      <c r="D12" s="5"/>
      <c r="E12" s="5"/>
      <c r="F12" s="5"/>
      <c r="G12" s="5"/>
    </row>
    <row r="13" spans="1:11" ht="24.6" customHeight="1">
      <c r="B13" s="666"/>
      <c r="C13" s="667"/>
      <c r="D13" s="667"/>
      <c r="E13" s="667"/>
      <c r="F13" s="667"/>
      <c r="G13" s="667"/>
      <c r="H13" s="668"/>
      <c r="I13" s="4"/>
    </row>
    <row r="14" spans="1:11" ht="18" customHeight="1">
      <c r="B14" s="7"/>
    </row>
    <row r="15" spans="1:11" ht="18" customHeight="1">
      <c r="B15" s="7"/>
    </row>
    <row r="16" spans="1:11" ht="45.2" customHeight="1">
      <c r="A16" s="3" t="s">
        <v>181</v>
      </c>
      <c r="B16" s="4"/>
      <c r="C16" s="4"/>
      <c r="D16" s="4"/>
      <c r="E16" s="4"/>
      <c r="F16" s="9" t="s">
        <v>9</v>
      </c>
      <c r="G16" s="9" t="s">
        <v>37</v>
      </c>
      <c r="H16" s="9" t="s">
        <v>29</v>
      </c>
      <c r="I16" s="9" t="s">
        <v>30</v>
      </c>
      <c r="J16" s="9" t="s">
        <v>33</v>
      </c>
      <c r="K16" s="9" t="s">
        <v>34</v>
      </c>
    </row>
    <row r="17" spans="1:11" ht="18" customHeight="1">
      <c r="A17" s="6" t="s">
        <v>184</v>
      </c>
      <c r="B17" s="2" t="s">
        <v>182</v>
      </c>
    </row>
    <row r="18" spans="1:11" ht="18" customHeight="1">
      <c r="A18" s="5" t="s">
        <v>185</v>
      </c>
      <c r="B18" s="341" t="s">
        <v>183</v>
      </c>
      <c r="F18" s="14" t="s">
        <v>73</v>
      </c>
      <c r="G18" s="14" t="s">
        <v>73</v>
      </c>
      <c r="H18" s="15"/>
      <c r="I18" s="50">
        <v>0</v>
      </c>
      <c r="J18" s="15"/>
      <c r="K18" s="16">
        <v>0</v>
      </c>
    </row>
    <row r="19" spans="1:11" ht="45.2" customHeight="1">
      <c r="A19" s="3" t="s">
        <v>8</v>
      </c>
      <c r="B19" s="4"/>
      <c r="C19" s="4"/>
      <c r="D19" s="4"/>
      <c r="E19" s="4"/>
      <c r="F19" s="9" t="s">
        <v>9</v>
      </c>
      <c r="G19" s="9" t="s">
        <v>37</v>
      </c>
      <c r="H19" s="9" t="s">
        <v>29</v>
      </c>
      <c r="I19" s="9" t="s">
        <v>30</v>
      </c>
      <c r="J19" s="9" t="s">
        <v>33</v>
      </c>
      <c r="K19" s="9" t="s">
        <v>34</v>
      </c>
    </row>
    <row r="20" spans="1:11" ht="18" customHeight="1">
      <c r="A20" s="6" t="s">
        <v>74</v>
      </c>
      <c r="B20" s="2" t="s">
        <v>41</v>
      </c>
    </row>
    <row r="21" spans="1:11" ht="18" customHeight="1">
      <c r="A21" s="5" t="s">
        <v>75</v>
      </c>
      <c r="B21" s="341" t="s">
        <v>42</v>
      </c>
      <c r="F21" s="14">
        <v>991</v>
      </c>
      <c r="G21" s="14">
        <v>47528</v>
      </c>
      <c r="H21" s="14">
        <v>53828.374038461538</v>
      </c>
      <c r="I21" s="50">
        <v>26914.187019230769</v>
      </c>
      <c r="J21" s="14">
        <v>0</v>
      </c>
      <c r="K21" s="16">
        <v>80742.561057692306</v>
      </c>
    </row>
    <row r="22" spans="1:11" ht="18" customHeight="1">
      <c r="A22" s="5" t="s">
        <v>76</v>
      </c>
      <c r="B22" t="s">
        <v>6</v>
      </c>
      <c r="F22" s="14">
        <v>58</v>
      </c>
      <c r="G22" s="14">
        <v>121</v>
      </c>
      <c r="H22" s="14">
        <v>2277.5</v>
      </c>
      <c r="I22" s="50">
        <v>1138.75</v>
      </c>
      <c r="J22" s="14">
        <v>0</v>
      </c>
      <c r="K22" s="16">
        <v>3416.25</v>
      </c>
    </row>
    <row r="23" spans="1:11" ht="18" customHeight="1">
      <c r="A23" s="5" t="s">
        <v>77</v>
      </c>
      <c r="B23" t="s">
        <v>43</v>
      </c>
      <c r="F23" s="14">
        <v>13</v>
      </c>
      <c r="G23" s="14">
        <v>1</v>
      </c>
      <c r="H23" s="14">
        <v>1678.8333333333333</v>
      </c>
      <c r="I23" s="50">
        <v>839.41666666666663</v>
      </c>
      <c r="J23" s="14">
        <v>0</v>
      </c>
      <c r="K23" s="16">
        <v>2518.25</v>
      </c>
    </row>
    <row r="24" spans="1:11" ht="18" customHeight="1">
      <c r="A24" s="5" t="s">
        <v>78</v>
      </c>
      <c r="B24" t="s">
        <v>44</v>
      </c>
      <c r="F24" s="14">
        <v>0</v>
      </c>
      <c r="G24" s="14">
        <v>0</v>
      </c>
      <c r="H24" s="14">
        <v>0</v>
      </c>
      <c r="I24" s="50">
        <v>0</v>
      </c>
      <c r="J24" s="14">
        <v>0</v>
      </c>
      <c r="K24" s="16">
        <v>0</v>
      </c>
    </row>
    <row r="25" spans="1:11" ht="18" customHeight="1">
      <c r="A25" s="5" t="s">
        <v>79</v>
      </c>
      <c r="B25" t="s">
        <v>5</v>
      </c>
      <c r="F25" s="14">
        <v>0</v>
      </c>
      <c r="G25" s="14">
        <v>0</v>
      </c>
      <c r="H25" s="14">
        <v>0</v>
      </c>
      <c r="I25" s="50">
        <v>0</v>
      </c>
      <c r="J25" s="14">
        <v>0</v>
      </c>
      <c r="K25" s="16">
        <v>0</v>
      </c>
    </row>
    <row r="26" spans="1:11" ht="18" customHeight="1">
      <c r="A26" s="5" t="s">
        <v>80</v>
      </c>
      <c r="B26" t="s">
        <v>45</v>
      </c>
      <c r="F26" s="14">
        <v>0</v>
      </c>
      <c r="G26" s="14">
        <v>0</v>
      </c>
      <c r="H26" s="14">
        <v>0</v>
      </c>
      <c r="I26" s="50">
        <v>0</v>
      </c>
      <c r="J26" s="14">
        <v>0</v>
      </c>
      <c r="K26" s="16">
        <v>0</v>
      </c>
    </row>
    <row r="27" spans="1:11" ht="18" customHeight="1">
      <c r="A27" s="5" t="s">
        <v>81</v>
      </c>
      <c r="B27" t="s">
        <v>46</v>
      </c>
      <c r="F27" s="14">
        <v>0</v>
      </c>
      <c r="G27" s="14">
        <v>0</v>
      </c>
      <c r="H27" s="14">
        <v>0</v>
      </c>
      <c r="I27" s="50">
        <v>0</v>
      </c>
      <c r="J27" s="14">
        <v>0</v>
      </c>
      <c r="K27" s="16">
        <v>0</v>
      </c>
    </row>
    <row r="28" spans="1:11" ht="18" customHeight="1">
      <c r="A28" s="5" t="s">
        <v>82</v>
      </c>
      <c r="B28" t="s">
        <v>47</v>
      </c>
      <c r="F28" s="14">
        <v>0</v>
      </c>
      <c r="G28" s="14">
        <v>0</v>
      </c>
      <c r="H28" s="14">
        <v>0</v>
      </c>
      <c r="I28" s="50">
        <v>0</v>
      </c>
      <c r="J28" s="14">
        <v>0</v>
      </c>
      <c r="K28" s="16">
        <v>0</v>
      </c>
    </row>
    <row r="29" spans="1:11" ht="18" customHeight="1">
      <c r="A29" s="5" t="s">
        <v>83</v>
      </c>
      <c r="B29" t="s">
        <v>48</v>
      </c>
      <c r="F29" s="14">
        <v>2</v>
      </c>
      <c r="G29" s="14">
        <v>23</v>
      </c>
      <c r="H29" s="14">
        <v>455.25</v>
      </c>
      <c r="I29" s="50">
        <v>227.625</v>
      </c>
      <c r="J29" s="14">
        <v>0</v>
      </c>
      <c r="K29" s="16">
        <v>682.875</v>
      </c>
    </row>
    <row r="30" spans="1:11" ht="18" customHeight="1">
      <c r="A30" s="5" t="s">
        <v>84</v>
      </c>
      <c r="B30" s="636"/>
      <c r="C30" s="637"/>
      <c r="D30" s="638"/>
      <c r="F30" s="14">
        <v>0</v>
      </c>
      <c r="G30" s="14">
        <v>0</v>
      </c>
      <c r="H30" s="14">
        <v>0</v>
      </c>
      <c r="I30" s="50">
        <v>0</v>
      </c>
      <c r="J30" s="14">
        <v>0</v>
      </c>
      <c r="K30" s="16">
        <v>0</v>
      </c>
    </row>
    <row r="31" spans="1:11" ht="18" customHeight="1">
      <c r="A31" s="5" t="s">
        <v>133</v>
      </c>
      <c r="B31" s="636"/>
      <c r="C31" s="637"/>
      <c r="D31" s="638"/>
      <c r="F31" s="14">
        <v>0</v>
      </c>
      <c r="G31" s="14">
        <v>0</v>
      </c>
      <c r="H31" s="14">
        <v>0</v>
      </c>
      <c r="I31" s="50">
        <v>0</v>
      </c>
      <c r="J31" s="14">
        <v>0</v>
      </c>
      <c r="K31" s="16">
        <v>0</v>
      </c>
    </row>
    <row r="32" spans="1:11" ht="18" customHeight="1">
      <c r="A32" s="5" t="s">
        <v>134</v>
      </c>
      <c r="B32" s="363"/>
      <c r="C32" s="364"/>
      <c r="D32" s="365"/>
      <c r="F32" s="14">
        <v>0</v>
      </c>
      <c r="G32" s="14">
        <v>0</v>
      </c>
      <c r="H32" s="14">
        <v>0</v>
      </c>
      <c r="I32" s="50">
        <v>0</v>
      </c>
      <c r="J32" s="14">
        <v>0</v>
      </c>
      <c r="K32" s="16">
        <v>0</v>
      </c>
    </row>
    <row r="33" spans="1:11" ht="18" customHeight="1">
      <c r="A33" s="5" t="s">
        <v>135</v>
      </c>
      <c r="B33" s="363"/>
      <c r="C33" s="364"/>
      <c r="D33" s="365"/>
      <c r="F33" s="14">
        <v>0</v>
      </c>
      <c r="G33" s="14">
        <v>0</v>
      </c>
      <c r="H33" s="14">
        <v>0</v>
      </c>
      <c r="I33" s="50">
        <v>0</v>
      </c>
      <c r="J33" s="14">
        <v>0</v>
      </c>
      <c r="K33" s="16">
        <v>0</v>
      </c>
    </row>
    <row r="34" spans="1:11" ht="18" customHeight="1">
      <c r="A34" s="5" t="s">
        <v>136</v>
      </c>
      <c r="B34" s="636"/>
      <c r="C34" s="637"/>
      <c r="D34" s="638"/>
      <c r="F34" s="14">
        <v>0</v>
      </c>
      <c r="G34" s="14">
        <v>0</v>
      </c>
      <c r="H34" s="14">
        <v>0</v>
      </c>
      <c r="I34" s="50">
        <v>0</v>
      </c>
      <c r="J34" s="14">
        <v>0</v>
      </c>
      <c r="K34" s="16">
        <v>0</v>
      </c>
    </row>
    <row r="35" spans="1:11" ht="18" customHeight="1">
      <c r="K35" s="44"/>
    </row>
    <row r="36" spans="1:11" ht="18" customHeight="1">
      <c r="A36" s="6" t="s">
        <v>137</v>
      </c>
      <c r="B36" s="2" t="s">
        <v>138</v>
      </c>
      <c r="E36" s="2" t="s">
        <v>7</v>
      </c>
      <c r="F36" s="18">
        <v>1064</v>
      </c>
      <c r="G36" s="18">
        <v>47673</v>
      </c>
      <c r="H36" s="18">
        <v>58239.957371794873</v>
      </c>
      <c r="I36" s="16">
        <v>29119.978685897437</v>
      </c>
      <c r="J36" s="16">
        <v>0</v>
      </c>
      <c r="K36" s="16">
        <v>87359.936057692306</v>
      </c>
    </row>
    <row r="37" spans="1:11" ht="18" customHeight="1" thickBot="1">
      <c r="B37" s="2"/>
      <c r="F37" s="19"/>
      <c r="G37" s="19"/>
      <c r="H37" s="20"/>
      <c r="I37" s="20"/>
      <c r="J37" s="20"/>
      <c r="K37" s="45"/>
    </row>
    <row r="38" spans="1:11" ht="42.75" customHeight="1">
      <c r="F38" s="9" t="s">
        <v>9</v>
      </c>
      <c r="G38" s="9" t="s">
        <v>37</v>
      </c>
      <c r="H38" s="9" t="s">
        <v>29</v>
      </c>
      <c r="I38" s="9" t="s">
        <v>30</v>
      </c>
      <c r="J38" s="9" t="s">
        <v>33</v>
      </c>
      <c r="K38" s="9" t="s">
        <v>34</v>
      </c>
    </row>
    <row r="39" spans="1:11" ht="18.75" customHeight="1">
      <c r="A39" s="6" t="s">
        <v>86</v>
      </c>
      <c r="B39" s="2" t="s">
        <v>49</v>
      </c>
    </row>
    <row r="40" spans="1:11" ht="18" customHeight="1">
      <c r="A40" s="5" t="s">
        <v>87</v>
      </c>
      <c r="B40" t="s">
        <v>31</v>
      </c>
      <c r="F40" s="14">
        <v>0</v>
      </c>
      <c r="G40" s="14">
        <v>0</v>
      </c>
      <c r="H40" s="14">
        <v>0</v>
      </c>
      <c r="I40" s="50">
        <v>0</v>
      </c>
      <c r="J40" s="14">
        <v>0</v>
      </c>
      <c r="K40" s="16">
        <v>0</v>
      </c>
    </row>
    <row r="41" spans="1:11" ht="18" customHeight="1">
      <c r="A41" s="5" t="s">
        <v>88</v>
      </c>
      <c r="B41" s="641" t="s">
        <v>50</v>
      </c>
      <c r="C41" s="649"/>
      <c r="F41" s="14">
        <v>0</v>
      </c>
      <c r="G41" s="14">
        <v>0</v>
      </c>
      <c r="H41" s="14">
        <v>0</v>
      </c>
      <c r="I41" s="50">
        <v>0</v>
      </c>
      <c r="J41" s="14">
        <v>0</v>
      </c>
      <c r="K41" s="16">
        <v>0</v>
      </c>
    </row>
    <row r="42" spans="1:11" ht="18" customHeight="1">
      <c r="A42" s="5" t="s">
        <v>89</v>
      </c>
      <c r="B42" s="341" t="s">
        <v>11</v>
      </c>
      <c r="F42" s="14">
        <v>11</v>
      </c>
      <c r="G42" s="14">
        <v>53</v>
      </c>
      <c r="H42" s="14">
        <v>419.375</v>
      </c>
      <c r="I42" s="50">
        <v>209.6875</v>
      </c>
      <c r="J42" s="14">
        <v>0</v>
      </c>
      <c r="K42" s="16">
        <v>629.0625</v>
      </c>
    </row>
    <row r="43" spans="1:11" ht="18" customHeight="1">
      <c r="A43" s="5" t="s">
        <v>90</v>
      </c>
      <c r="B43" s="343" t="s">
        <v>10</v>
      </c>
      <c r="C43" s="10"/>
      <c r="D43" s="10"/>
      <c r="F43" s="14">
        <v>2317</v>
      </c>
      <c r="G43" s="14">
        <v>28</v>
      </c>
      <c r="H43" s="14">
        <v>96033</v>
      </c>
      <c r="I43" s="50">
        <v>48016.5</v>
      </c>
      <c r="J43" s="14">
        <v>0</v>
      </c>
      <c r="K43" s="16">
        <v>144049.5</v>
      </c>
    </row>
    <row r="44" spans="1:11" ht="18" customHeight="1">
      <c r="A44" s="5" t="s">
        <v>91</v>
      </c>
      <c r="B44" s="636"/>
      <c r="C44" s="637"/>
      <c r="D44" s="638"/>
      <c r="F44" s="14">
        <v>0</v>
      </c>
      <c r="G44" s="14">
        <v>0</v>
      </c>
      <c r="H44" s="14">
        <v>0</v>
      </c>
      <c r="I44" s="50">
        <v>0</v>
      </c>
      <c r="J44" s="14">
        <v>0</v>
      </c>
      <c r="K44" s="56">
        <v>0</v>
      </c>
    </row>
    <row r="45" spans="1:11" ht="18" customHeight="1">
      <c r="A45" s="5" t="s">
        <v>139</v>
      </c>
      <c r="B45" s="636"/>
      <c r="C45" s="637"/>
      <c r="D45" s="638"/>
      <c r="F45" s="14">
        <v>0</v>
      </c>
      <c r="G45" s="14">
        <v>0</v>
      </c>
      <c r="H45" s="14">
        <v>0</v>
      </c>
      <c r="I45" s="50">
        <v>0</v>
      </c>
      <c r="J45" s="14">
        <v>0</v>
      </c>
      <c r="K45" s="16">
        <v>0</v>
      </c>
    </row>
    <row r="46" spans="1:11" ht="18" customHeight="1">
      <c r="A46" s="5" t="s">
        <v>140</v>
      </c>
      <c r="B46" s="636"/>
      <c r="C46" s="637"/>
      <c r="D46" s="638"/>
      <c r="F46" s="14">
        <v>0</v>
      </c>
      <c r="G46" s="14">
        <v>0</v>
      </c>
      <c r="H46" s="14">
        <v>0</v>
      </c>
      <c r="I46" s="50">
        <v>0</v>
      </c>
      <c r="J46" s="14">
        <v>0</v>
      </c>
      <c r="K46" s="16">
        <v>0</v>
      </c>
    </row>
    <row r="47" spans="1:11" ht="18" customHeight="1">
      <c r="A47" s="5" t="s">
        <v>141</v>
      </c>
      <c r="B47" s="636"/>
      <c r="C47" s="637"/>
      <c r="D47" s="638"/>
      <c r="F47" s="14">
        <v>0</v>
      </c>
      <c r="G47" s="14">
        <v>0</v>
      </c>
      <c r="H47" s="14">
        <v>0</v>
      </c>
      <c r="I47" s="50">
        <v>0</v>
      </c>
      <c r="J47" s="14">
        <v>0</v>
      </c>
      <c r="K47" s="16">
        <v>0</v>
      </c>
    </row>
    <row r="49" spans="1:11" ht="18" customHeight="1">
      <c r="A49" s="6" t="s">
        <v>142</v>
      </c>
      <c r="B49" s="2" t="s">
        <v>143</v>
      </c>
      <c r="E49" s="2" t="s">
        <v>7</v>
      </c>
      <c r="F49" s="23">
        <v>2328</v>
      </c>
      <c r="G49" s="23">
        <v>81</v>
      </c>
      <c r="H49" s="16">
        <v>96452.375</v>
      </c>
      <c r="I49" s="16">
        <v>48226.1875</v>
      </c>
      <c r="J49" s="16">
        <v>0</v>
      </c>
      <c r="K49" s="16">
        <v>144678.5625</v>
      </c>
    </row>
    <row r="50" spans="1:11" ht="18" customHeight="1" thickBot="1">
      <c r="G50" s="24"/>
      <c r="H50" s="24"/>
      <c r="I50" s="24"/>
      <c r="J50" s="24"/>
      <c r="K50" s="24"/>
    </row>
    <row r="51" spans="1:11" ht="42.75" customHeight="1">
      <c r="F51" s="9" t="s">
        <v>9</v>
      </c>
      <c r="G51" s="9" t="s">
        <v>37</v>
      </c>
      <c r="H51" s="9" t="s">
        <v>29</v>
      </c>
      <c r="I51" s="9" t="s">
        <v>30</v>
      </c>
      <c r="J51" s="9" t="s">
        <v>33</v>
      </c>
      <c r="K51" s="9" t="s">
        <v>34</v>
      </c>
    </row>
    <row r="52" spans="1:11" ht="18" customHeight="1">
      <c r="A52" s="6" t="s">
        <v>92</v>
      </c>
      <c r="B52" s="645" t="s">
        <v>38</v>
      </c>
      <c r="C52" s="646"/>
    </row>
    <row r="53" spans="1:11" ht="18" customHeight="1">
      <c r="A53" s="5" t="s">
        <v>51</v>
      </c>
      <c r="B53" s="642" t="s">
        <v>721</v>
      </c>
      <c r="C53" s="643"/>
      <c r="D53" s="644"/>
      <c r="F53" s="14">
        <v>9141</v>
      </c>
      <c r="G53" s="14">
        <v>3671</v>
      </c>
      <c r="H53" s="14">
        <v>880868</v>
      </c>
      <c r="I53" s="50">
        <v>440434</v>
      </c>
      <c r="J53" s="14">
        <v>518980</v>
      </c>
      <c r="K53" s="16">
        <v>802322</v>
      </c>
    </row>
    <row r="54" spans="1:11" ht="18" customHeight="1">
      <c r="A54" s="5" t="s">
        <v>93</v>
      </c>
      <c r="B54" s="360"/>
      <c r="C54" s="361"/>
      <c r="D54" s="362"/>
      <c r="F54" s="14"/>
      <c r="G54" s="14"/>
      <c r="H54" s="15"/>
      <c r="I54" s="50">
        <v>0</v>
      </c>
      <c r="J54" s="15"/>
      <c r="K54" s="16">
        <v>0</v>
      </c>
    </row>
    <row r="55" spans="1:11" ht="18" customHeight="1">
      <c r="A55" s="5" t="s">
        <v>94</v>
      </c>
      <c r="B55" s="642"/>
      <c r="C55" s="643"/>
      <c r="D55" s="644"/>
      <c r="F55" s="14"/>
      <c r="G55" s="14"/>
      <c r="H55" s="15"/>
      <c r="I55" s="50">
        <v>0</v>
      </c>
      <c r="J55" s="15"/>
      <c r="K55" s="16">
        <v>0</v>
      </c>
    </row>
    <row r="56" spans="1:11" ht="18" customHeight="1">
      <c r="A56" s="5" t="s">
        <v>95</v>
      </c>
      <c r="B56" s="642"/>
      <c r="C56" s="643"/>
      <c r="D56" s="644"/>
      <c r="F56" s="14"/>
      <c r="G56" s="14"/>
      <c r="H56" s="15"/>
      <c r="I56" s="50">
        <v>0</v>
      </c>
      <c r="J56" s="15"/>
      <c r="K56" s="16">
        <v>0</v>
      </c>
    </row>
    <row r="57" spans="1:11" ht="18" customHeight="1">
      <c r="A57" s="5" t="s">
        <v>96</v>
      </c>
      <c r="B57" s="642"/>
      <c r="C57" s="643"/>
      <c r="D57" s="644"/>
      <c r="F57" s="14"/>
      <c r="G57" s="14"/>
      <c r="H57" s="15"/>
      <c r="I57" s="50">
        <v>0</v>
      </c>
      <c r="J57" s="15"/>
      <c r="K57" s="16">
        <v>0</v>
      </c>
    </row>
    <row r="58" spans="1:11" ht="18" customHeight="1">
      <c r="A58" s="5" t="s">
        <v>97</v>
      </c>
      <c r="B58" s="360"/>
      <c r="C58" s="361"/>
      <c r="D58" s="362"/>
      <c r="F58" s="14"/>
      <c r="G58" s="14"/>
      <c r="H58" s="15"/>
      <c r="I58" s="50">
        <v>0</v>
      </c>
      <c r="J58" s="15"/>
      <c r="K58" s="16">
        <v>0</v>
      </c>
    </row>
    <row r="59" spans="1:11" ht="18" customHeight="1">
      <c r="A59" s="5" t="s">
        <v>98</v>
      </c>
      <c r="B59" s="642"/>
      <c r="C59" s="643"/>
      <c r="D59" s="644"/>
      <c r="F59" s="14"/>
      <c r="G59" s="14"/>
      <c r="H59" s="15"/>
      <c r="I59" s="50">
        <v>0</v>
      </c>
      <c r="J59" s="15"/>
      <c r="K59" s="16">
        <v>0</v>
      </c>
    </row>
    <row r="60" spans="1:11" ht="18" customHeight="1">
      <c r="A60" s="5" t="s">
        <v>99</v>
      </c>
      <c r="B60" s="360"/>
      <c r="C60" s="361"/>
      <c r="D60" s="362"/>
      <c r="F60" s="14"/>
      <c r="G60" s="14"/>
      <c r="H60" s="15"/>
      <c r="I60" s="50">
        <v>0</v>
      </c>
      <c r="J60" s="15"/>
      <c r="K60" s="16">
        <v>0</v>
      </c>
    </row>
    <row r="61" spans="1:11" ht="18" customHeight="1">
      <c r="A61" s="5" t="s">
        <v>100</v>
      </c>
      <c r="B61" s="360"/>
      <c r="C61" s="361"/>
      <c r="D61" s="362"/>
      <c r="F61" s="14"/>
      <c r="G61" s="14"/>
      <c r="H61" s="15"/>
      <c r="I61" s="50">
        <v>0</v>
      </c>
      <c r="J61" s="15"/>
      <c r="K61" s="16">
        <v>0</v>
      </c>
    </row>
    <row r="62" spans="1:11" ht="18" customHeight="1">
      <c r="A62" s="5" t="s">
        <v>101</v>
      </c>
      <c r="B62" s="642"/>
      <c r="C62" s="643"/>
      <c r="D62" s="644"/>
      <c r="F62" s="14"/>
      <c r="G62" s="14"/>
      <c r="H62" s="15"/>
      <c r="I62" s="50">
        <v>0</v>
      </c>
      <c r="J62" s="15"/>
      <c r="K62" s="16">
        <v>0</v>
      </c>
    </row>
    <row r="63" spans="1:11" ht="18" customHeight="1">
      <c r="A63" s="5"/>
      <c r="I63" s="46"/>
    </row>
    <row r="64" spans="1:11" ht="18" customHeight="1">
      <c r="A64" s="5" t="s">
        <v>144</v>
      </c>
      <c r="B64" s="2" t="s">
        <v>145</v>
      </c>
      <c r="E64" s="2" t="s">
        <v>7</v>
      </c>
      <c r="F64" s="18">
        <v>9141</v>
      </c>
      <c r="G64" s="18">
        <v>3671</v>
      </c>
      <c r="H64" s="16">
        <v>880868</v>
      </c>
      <c r="I64" s="16">
        <v>440434</v>
      </c>
      <c r="J64" s="16">
        <v>518980</v>
      </c>
      <c r="K64" s="16">
        <v>802322</v>
      </c>
    </row>
    <row r="65" spans="1:11" ht="18" customHeight="1">
      <c r="F65" s="48"/>
      <c r="G65" s="48"/>
      <c r="H65" s="48"/>
      <c r="I65" s="48"/>
      <c r="J65" s="48"/>
      <c r="K65" s="48"/>
    </row>
    <row r="66" spans="1:11" ht="42.75" customHeight="1">
      <c r="F66" s="57" t="s">
        <v>9</v>
      </c>
      <c r="G66" s="57" t="s">
        <v>37</v>
      </c>
      <c r="H66" s="57" t="s">
        <v>29</v>
      </c>
      <c r="I66" s="57" t="s">
        <v>30</v>
      </c>
      <c r="J66" s="57" t="s">
        <v>33</v>
      </c>
      <c r="K66" s="57" t="s">
        <v>34</v>
      </c>
    </row>
    <row r="67" spans="1:11" ht="18" customHeight="1">
      <c r="A67" s="6" t="s">
        <v>102</v>
      </c>
      <c r="B67" s="2" t="s">
        <v>12</v>
      </c>
      <c r="F67" s="58"/>
      <c r="G67" s="58"/>
      <c r="H67" s="58"/>
      <c r="I67" s="59"/>
      <c r="J67" s="58"/>
      <c r="K67" s="60"/>
    </row>
    <row r="68" spans="1:11" ht="18" customHeight="1">
      <c r="A68" s="5" t="s">
        <v>103</v>
      </c>
      <c r="B68" t="s">
        <v>52</v>
      </c>
      <c r="F68" s="14">
        <v>0</v>
      </c>
      <c r="G68" s="14">
        <v>0</v>
      </c>
      <c r="H68" s="14">
        <v>0</v>
      </c>
      <c r="I68" s="50">
        <v>0</v>
      </c>
      <c r="J68" s="14">
        <v>0</v>
      </c>
      <c r="K68" s="16">
        <v>0</v>
      </c>
    </row>
    <row r="69" spans="1:11" ht="18" customHeight="1">
      <c r="A69" s="5" t="s">
        <v>104</v>
      </c>
      <c r="B69" s="341" t="s">
        <v>53</v>
      </c>
      <c r="F69" s="14">
        <v>100</v>
      </c>
      <c r="G69" s="14">
        <v>0</v>
      </c>
      <c r="H69" s="14">
        <v>0</v>
      </c>
      <c r="I69" s="50">
        <v>0</v>
      </c>
      <c r="J69" s="14">
        <v>0</v>
      </c>
      <c r="K69" s="16">
        <v>0</v>
      </c>
    </row>
    <row r="70" spans="1:11" ht="18" customHeight="1">
      <c r="A70" s="5" t="s">
        <v>178</v>
      </c>
      <c r="B70" s="360"/>
      <c r="C70" s="361"/>
      <c r="D70" s="362"/>
      <c r="E70" s="2"/>
      <c r="F70" s="14">
        <v>0</v>
      </c>
      <c r="G70" s="14">
        <v>0</v>
      </c>
      <c r="H70" s="14">
        <v>0</v>
      </c>
      <c r="I70" s="50">
        <v>0</v>
      </c>
      <c r="J70" s="14">
        <v>0</v>
      </c>
      <c r="K70" s="16">
        <v>0</v>
      </c>
    </row>
    <row r="71" spans="1:11" ht="18" customHeight="1">
      <c r="A71" s="5" t="s">
        <v>179</v>
      </c>
      <c r="B71" s="360"/>
      <c r="C71" s="361"/>
      <c r="D71" s="362"/>
      <c r="E71" s="2"/>
      <c r="F71" s="14">
        <v>0</v>
      </c>
      <c r="G71" s="14">
        <v>0</v>
      </c>
      <c r="H71" s="14">
        <v>0</v>
      </c>
      <c r="I71" s="50">
        <v>0</v>
      </c>
      <c r="J71" s="14">
        <v>0</v>
      </c>
      <c r="K71" s="16">
        <v>0</v>
      </c>
    </row>
    <row r="72" spans="1:11" ht="18" customHeight="1">
      <c r="A72" s="5" t="s">
        <v>180</v>
      </c>
      <c r="B72" s="366"/>
      <c r="C72" s="367"/>
      <c r="D72" s="34"/>
      <c r="E72" s="2"/>
      <c r="F72" s="14">
        <v>0</v>
      </c>
      <c r="G72" s="14">
        <v>0</v>
      </c>
      <c r="H72" s="14">
        <v>0</v>
      </c>
      <c r="I72" s="50">
        <v>0</v>
      </c>
      <c r="J72" s="14">
        <v>0</v>
      </c>
      <c r="K72" s="16">
        <v>0</v>
      </c>
    </row>
    <row r="73" spans="1:11" ht="18" customHeight="1">
      <c r="A73" s="5"/>
      <c r="B73" s="341"/>
      <c r="E73" s="2"/>
      <c r="F73" s="61"/>
      <c r="G73" s="61"/>
      <c r="H73" s="62"/>
      <c r="I73" s="59"/>
      <c r="J73" s="62"/>
      <c r="K73" s="60"/>
    </row>
    <row r="74" spans="1:11" ht="18" customHeight="1">
      <c r="A74" s="6" t="s">
        <v>146</v>
      </c>
      <c r="B74" s="2" t="s">
        <v>147</v>
      </c>
      <c r="E74" s="2" t="s">
        <v>7</v>
      </c>
      <c r="F74" s="21">
        <v>100</v>
      </c>
      <c r="G74" s="21">
        <v>0</v>
      </c>
      <c r="H74" s="21">
        <v>0</v>
      </c>
      <c r="I74" s="53">
        <v>0</v>
      </c>
      <c r="J74" s="21">
        <v>0</v>
      </c>
      <c r="K74" s="17">
        <v>0</v>
      </c>
    </row>
    <row r="75" spans="1:11" ht="42.75" customHeight="1">
      <c r="F75" s="9" t="s">
        <v>9</v>
      </c>
      <c r="G75" s="9" t="s">
        <v>37</v>
      </c>
      <c r="H75" s="9" t="s">
        <v>29</v>
      </c>
      <c r="I75" s="9" t="s">
        <v>30</v>
      </c>
      <c r="J75" s="9" t="s">
        <v>33</v>
      </c>
      <c r="K75" s="9" t="s">
        <v>34</v>
      </c>
    </row>
    <row r="76" spans="1:11" ht="18" customHeight="1">
      <c r="A76" s="6" t="s">
        <v>105</v>
      </c>
      <c r="B76" s="2" t="s">
        <v>106</v>
      </c>
    </row>
    <row r="77" spans="1:11" ht="18" customHeight="1">
      <c r="A77" s="5" t="s">
        <v>107</v>
      </c>
      <c r="B77" s="341" t="s">
        <v>54</v>
      </c>
      <c r="F77" s="14">
        <v>0</v>
      </c>
      <c r="G77" s="14">
        <v>0</v>
      </c>
      <c r="H77" s="14">
        <v>0</v>
      </c>
      <c r="I77" s="50">
        <v>0</v>
      </c>
      <c r="J77" s="14">
        <v>0</v>
      </c>
      <c r="K77" s="16">
        <v>0</v>
      </c>
    </row>
    <row r="78" spans="1:11" ht="18" customHeight="1">
      <c r="A78" s="5" t="s">
        <v>108</v>
      </c>
      <c r="B78" s="341" t="s">
        <v>55</v>
      </c>
      <c r="F78" s="14">
        <v>0</v>
      </c>
      <c r="G78" s="14">
        <v>0</v>
      </c>
      <c r="H78" s="14">
        <v>0</v>
      </c>
      <c r="I78" s="50">
        <v>0</v>
      </c>
      <c r="J78" s="14">
        <v>0</v>
      </c>
      <c r="K78" s="16">
        <v>0</v>
      </c>
    </row>
    <row r="79" spans="1:11" ht="18" customHeight="1">
      <c r="A79" s="5" t="s">
        <v>109</v>
      </c>
      <c r="B79" s="341" t="s">
        <v>13</v>
      </c>
      <c r="F79" s="14">
        <v>48</v>
      </c>
      <c r="G79" s="14">
        <v>900</v>
      </c>
      <c r="H79" s="14">
        <v>7645</v>
      </c>
      <c r="I79" s="50">
        <v>3822.5</v>
      </c>
      <c r="J79" s="14">
        <v>0</v>
      </c>
      <c r="K79" s="16">
        <v>11467.5</v>
      </c>
    </row>
    <row r="80" spans="1:11" ht="18" customHeight="1">
      <c r="A80" s="5" t="s">
        <v>110</v>
      </c>
      <c r="B80" s="341" t="s">
        <v>56</v>
      </c>
      <c r="F80" s="14">
        <v>20</v>
      </c>
      <c r="G80" s="14">
        <v>0</v>
      </c>
      <c r="H80" s="14">
        <v>32988.666666666664</v>
      </c>
      <c r="I80" s="50">
        <v>16494.333333333332</v>
      </c>
      <c r="J80" s="14">
        <v>0</v>
      </c>
      <c r="K80" s="16">
        <v>49483</v>
      </c>
    </row>
    <row r="81" spans="1:11" ht="18" customHeight="1">
      <c r="A81" s="5"/>
      <c r="K81" s="40"/>
    </row>
    <row r="82" spans="1:11" ht="18" customHeight="1">
      <c r="A82" s="5" t="s">
        <v>148</v>
      </c>
      <c r="B82" s="2" t="s">
        <v>149</v>
      </c>
      <c r="E82" s="2" t="s">
        <v>7</v>
      </c>
      <c r="F82" s="21">
        <v>68</v>
      </c>
      <c r="G82" s="21">
        <v>900</v>
      </c>
      <c r="H82" s="17">
        <v>40633.666666666664</v>
      </c>
      <c r="I82" s="17">
        <v>20316.833333333332</v>
      </c>
      <c r="J82" s="17">
        <v>0</v>
      </c>
      <c r="K82" s="17">
        <v>60950.5</v>
      </c>
    </row>
    <row r="83" spans="1:11" ht="18" customHeight="1" thickBot="1">
      <c r="A83" s="5"/>
      <c r="F83" s="24"/>
      <c r="G83" s="24"/>
      <c r="H83" s="24"/>
      <c r="I83" s="24"/>
      <c r="J83" s="24"/>
      <c r="K83" s="24"/>
    </row>
    <row r="84" spans="1:11" ht="42.75" customHeight="1">
      <c r="F84" s="9" t="s">
        <v>9</v>
      </c>
      <c r="G84" s="9" t="s">
        <v>37</v>
      </c>
      <c r="H84" s="9" t="s">
        <v>29</v>
      </c>
      <c r="I84" s="9" t="s">
        <v>30</v>
      </c>
      <c r="J84" s="9" t="s">
        <v>33</v>
      </c>
      <c r="K84" s="9" t="s">
        <v>34</v>
      </c>
    </row>
    <row r="85" spans="1:11" ht="18" customHeight="1">
      <c r="A85" s="6" t="s">
        <v>111</v>
      </c>
      <c r="B85" s="2" t="s">
        <v>57</v>
      </c>
    </row>
    <row r="86" spans="1:11" ht="18" customHeight="1">
      <c r="A86" s="5" t="s">
        <v>112</v>
      </c>
      <c r="B86" s="341" t="s">
        <v>113</v>
      </c>
      <c r="F86" s="14">
        <v>0</v>
      </c>
      <c r="G86" s="14">
        <v>0</v>
      </c>
      <c r="H86" s="14">
        <v>0</v>
      </c>
      <c r="I86" s="50">
        <v>0</v>
      </c>
      <c r="J86" s="14">
        <v>0</v>
      </c>
      <c r="K86" s="16">
        <v>0</v>
      </c>
    </row>
    <row r="87" spans="1:11" ht="18" customHeight="1">
      <c r="A87" s="5" t="s">
        <v>114</v>
      </c>
      <c r="B87" s="341" t="s">
        <v>14</v>
      </c>
      <c r="F87" s="14">
        <v>0</v>
      </c>
      <c r="G87" s="14">
        <v>0</v>
      </c>
      <c r="H87" s="14">
        <v>0</v>
      </c>
      <c r="I87" s="50">
        <v>0</v>
      </c>
      <c r="J87" s="14">
        <v>0</v>
      </c>
      <c r="K87" s="16">
        <v>0</v>
      </c>
    </row>
    <row r="88" spans="1:11" ht="18" customHeight="1">
      <c r="A88" s="5" t="s">
        <v>115</v>
      </c>
      <c r="B88" s="341" t="s">
        <v>116</v>
      </c>
      <c r="F88" s="14">
        <v>106</v>
      </c>
      <c r="G88" s="14">
        <v>25</v>
      </c>
      <c r="H88" s="14">
        <v>22732.45</v>
      </c>
      <c r="I88" s="50">
        <v>11366.225</v>
      </c>
      <c r="J88" s="14">
        <v>0</v>
      </c>
      <c r="K88" s="16">
        <v>34098.675000000003</v>
      </c>
    </row>
    <row r="89" spans="1:11" ht="18" customHeight="1">
      <c r="A89" s="5" t="s">
        <v>117</v>
      </c>
      <c r="B89" s="341" t="s">
        <v>58</v>
      </c>
      <c r="F89" s="14">
        <v>0</v>
      </c>
      <c r="G89" s="14">
        <v>0</v>
      </c>
      <c r="H89" s="14">
        <v>0</v>
      </c>
      <c r="I89" s="50">
        <v>0</v>
      </c>
      <c r="J89" s="14">
        <v>0</v>
      </c>
      <c r="K89" s="16">
        <v>0</v>
      </c>
    </row>
    <row r="90" spans="1:11" ht="18" customHeight="1">
      <c r="A90" s="5" t="s">
        <v>118</v>
      </c>
      <c r="B90" s="641" t="s">
        <v>59</v>
      </c>
      <c r="C90" s="649"/>
      <c r="F90" s="14">
        <v>8</v>
      </c>
      <c r="G90" s="14">
        <v>50</v>
      </c>
      <c r="H90" s="14">
        <v>613.20000000000005</v>
      </c>
      <c r="I90" s="50">
        <v>306.60000000000002</v>
      </c>
      <c r="J90" s="14">
        <v>0</v>
      </c>
      <c r="K90" s="16">
        <v>919.80000000000007</v>
      </c>
    </row>
    <row r="91" spans="1:11" ht="18" customHeight="1">
      <c r="A91" s="5" t="s">
        <v>119</v>
      </c>
      <c r="B91" s="341" t="s">
        <v>60</v>
      </c>
      <c r="F91" s="14">
        <v>456</v>
      </c>
      <c r="G91" s="14">
        <v>3536</v>
      </c>
      <c r="H91" s="14">
        <v>99708.183333333334</v>
      </c>
      <c r="I91" s="50">
        <v>49854.091666666667</v>
      </c>
      <c r="J91" s="14">
        <v>0</v>
      </c>
      <c r="K91" s="16">
        <v>149562.27499999999</v>
      </c>
    </row>
    <row r="92" spans="1:11" ht="18" customHeight="1">
      <c r="A92" s="5" t="s">
        <v>120</v>
      </c>
      <c r="B92" s="341" t="s">
        <v>121</v>
      </c>
      <c r="F92" s="14">
        <v>74</v>
      </c>
      <c r="G92" s="14">
        <v>4</v>
      </c>
      <c r="H92" s="14">
        <v>12980.807692307691</v>
      </c>
      <c r="I92" s="50">
        <v>6490.4038461538457</v>
      </c>
      <c r="J92" s="14">
        <v>0</v>
      </c>
      <c r="K92" s="16">
        <v>19471.211538461539</v>
      </c>
    </row>
    <row r="93" spans="1:11" ht="18" customHeight="1">
      <c r="A93" s="5" t="s">
        <v>122</v>
      </c>
      <c r="B93" s="341" t="s">
        <v>123</v>
      </c>
      <c r="F93" s="14">
        <v>0</v>
      </c>
      <c r="G93" s="14">
        <v>0</v>
      </c>
      <c r="H93" s="14">
        <v>0</v>
      </c>
      <c r="I93" s="50">
        <v>0</v>
      </c>
      <c r="J93" s="14">
        <v>0</v>
      </c>
      <c r="K93" s="16">
        <v>0</v>
      </c>
    </row>
    <row r="94" spans="1:11" ht="18" customHeight="1">
      <c r="A94" s="5" t="s">
        <v>124</v>
      </c>
      <c r="B94" s="642"/>
      <c r="C94" s="643"/>
      <c r="D94" s="644"/>
      <c r="F94" s="14">
        <v>0</v>
      </c>
      <c r="G94" s="14">
        <v>0</v>
      </c>
      <c r="H94" s="14">
        <v>0</v>
      </c>
      <c r="I94" s="50">
        <v>0</v>
      </c>
      <c r="J94" s="14">
        <v>0</v>
      </c>
      <c r="K94" s="16">
        <v>0</v>
      </c>
    </row>
    <row r="95" spans="1:11" ht="18" customHeight="1">
      <c r="A95" s="5" t="s">
        <v>125</v>
      </c>
      <c r="B95" s="642"/>
      <c r="C95" s="643"/>
      <c r="D95" s="644"/>
      <c r="F95" s="14">
        <v>0</v>
      </c>
      <c r="G95" s="14">
        <v>0</v>
      </c>
      <c r="H95" s="14">
        <v>0</v>
      </c>
      <c r="I95" s="50">
        <v>0</v>
      </c>
      <c r="J95" s="14">
        <v>0</v>
      </c>
      <c r="K95" s="16">
        <v>0</v>
      </c>
    </row>
    <row r="96" spans="1:11" ht="18" customHeight="1">
      <c r="A96" s="5" t="s">
        <v>126</v>
      </c>
      <c r="B96" s="642"/>
      <c r="C96" s="643"/>
      <c r="D96" s="644"/>
      <c r="F96" s="14">
        <v>0</v>
      </c>
      <c r="G96" s="14">
        <v>0</v>
      </c>
      <c r="H96" s="14">
        <v>0</v>
      </c>
      <c r="I96" s="50">
        <v>0</v>
      </c>
      <c r="J96" s="14">
        <v>0</v>
      </c>
      <c r="K96" s="16">
        <v>0</v>
      </c>
    </row>
    <row r="97" spans="1:11" ht="18" customHeight="1">
      <c r="A97" s="5"/>
      <c r="B97" s="341"/>
    </row>
    <row r="98" spans="1:11" ht="18" customHeight="1">
      <c r="A98" s="6" t="s">
        <v>150</v>
      </c>
      <c r="B98" s="2" t="s">
        <v>151</v>
      </c>
      <c r="E98" s="2" t="s">
        <v>7</v>
      </c>
      <c r="F98" s="18">
        <v>644</v>
      </c>
      <c r="G98" s="18">
        <v>3615</v>
      </c>
      <c r="H98" s="18">
        <v>136034.64102564103</v>
      </c>
      <c r="I98" s="18">
        <v>68017.320512820515</v>
      </c>
      <c r="J98" s="18">
        <v>0</v>
      </c>
      <c r="K98" s="18">
        <v>204051.96153846153</v>
      </c>
    </row>
    <row r="99" spans="1:11" ht="18" customHeight="1" thickBot="1">
      <c r="B99" s="2"/>
      <c r="F99" s="24"/>
      <c r="G99" s="24"/>
      <c r="H99" s="24"/>
      <c r="I99" s="24"/>
      <c r="J99" s="24"/>
      <c r="K99" s="24"/>
    </row>
    <row r="100" spans="1:11" ht="42.75" customHeight="1">
      <c r="F100" s="9" t="s">
        <v>9</v>
      </c>
      <c r="G100" s="9" t="s">
        <v>37</v>
      </c>
      <c r="H100" s="9" t="s">
        <v>29</v>
      </c>
      <c r="I100" s="9" t="s">
        <v>30</v>
      </c>
      <c r="J100" s="9" t="s">
        <v>33</v>
      </c>
      <c r="K100" s="9" t="s">
        <v>34</v>
      </c>
    </row>
    <row r="101" spans="1:11" ht="18" customHeight="1">
      <c r="A101" s="6" t="s">
        <v>130</v>
      </c>
      <c r="B101" s="2" t="s">
        <v>63</v>
      </c>
    </row>
    <row r="102" spans="1:11" ht="18" customHeight="1">
      <c r="A102" s="5" t="s">
        <v>131</v>
      </c>
      <c r="B102" s="341" t="s">
        <v>152</v>
      </c>
      <c r="F102" s="14">
        <v>1676.666666666667</v>
      </c>
      <c r="G102" s="14">
        <v>0</v>
      </c>
      <c r="H102" s="14">
        <v>63176.053333333344</v>
      </c>
      <c r="I102" s="50">
        <v>31588.026666666672</v>
      </c>
      <c r="J102" s="14">
        <v>0</v>
      </c>
      <c r="K102" s="16">
        <v>94764.080000000016</v>
      </c>
    </row>
    <row r="103" spans="1:11" ht="18" customHeight="1">
      <c r="A103" s="5" t="s">
        <v>132</v>
      </c>
      <c r="B103" s="641" t="s">
        <v>62</v>
      </c>
      <c r="C103" s="641"/>
      <c r="F103" s="14">
        <v>0</v>
      </c>
      <c r="G103" s="14">
        <v>0</v>
      </c>
      <c r="H103" s="14">
        <v>0</v>
      </c>
      <c r="I103" s="50">
        <v>0</v>
      </c>
      <c r="J103" s="14">
        <v>0</v>
      </c>
      <c r="K103" s="16">
        <v>0</v>
      </c>
    </row>
    <row r="104" spans="1:11" ht="18" customHeight="1">
      <c r="A104" s="5" t="s">
        <v>128</v>
      </c>
      <c r="B104" s="642"/>
      <c r="C104" s="643"/>
      <c r="D104" s="644"/>
      <c r="F104" s="14">
        <v>0</v>
      </c>
      <c r="G104" s="14">
        <v>0</v>
      </c>
      <c r="H104" s="14">
        <v>0</v>
      </c>
      <c r="I104" s="50">
        <v>0</v>
      </c>
      <c r="J104" s="14">
        <v>0</v>
      </c>
      <c r="K104" s="16">
        <v>0</v>
      </c>
    </row>
    <row r="105" spans="1:11" ht="18" customHeight="1">
      <c r="A105" s="5" t="s">
        <v>127</v>
      </c>
      <c r="B105" s="642"/>
      <c r="C105" s="643"/>
      <c r="D105" s="644"/>
      <c r="F105" s="14">
        <v>0</v>
      </c>
      <c r="G105" s="14">
        <v>0</v>
      </c>
      <c r="H105" s="14">
        <v>0</v>
      </c>
      <c r="I105" s="50">
        <v>0</v>
      </c>
      <c r="J105" s="14">
        <v>0</v>
      </c>
      <c r="K105" s="16">
        <v>0</v>
      </c>
    </row>
    <row r="106" spans="1:11" ht="18" customHeight="1">
      <c r="A106" s="5" t="s">
        <v>129</v>
      </c>
      <c r="B106" s="642"/>
      <c r="C106" s="643"/>
      <c r="D106" s="644"/>
      <c r="F106" s="14">
        <v>0</v>
      </c>
      <c r="G106" s="14">
        <v>0</v>
      </c>
      <c r="H106" s="14">
        <v>0</v>
      </c>
      <c r="I106" s="50">
        <v>0</v>
      </c>
      <c r="J106" s="14">
        <v>0</v>
      </c>
      <c r="K106" s="16">
        <v>0</v>
      </c>
    </row>
    <row r="107" spans="1:11" ht="18" customHeight="1">
      <c r="B107" s="2"/>
    </row>
    <row r="108" spans="1:11" s="10" customFormat="1" ht="18" customHeight="1">
      <c r="A108" s="6" t="s">
        <v>153</v>
      </c>
      <c r="B108" s="63" t="s">
        <v>154</v>
      </c>
      <c r="C108"/>
      <c r="D108"/>
      <c r="E108" s="2" t="s">
        <v>7</v>
      </c>
      <c r="F108" s="18">
        <v>1676.666666666667</v>
      </c>
      <c r="G108" s="18">
        <v>0</v>
      </c>
      <c r="H108" s="16">
        <v>63176.053333333344</v>
      </c>
      <c r="I108" s="16">
        <v>31588.026666666672</v>
      </c>
      <c r="J108" s="16">
        <v>0</v>
      </c>
      <c r="K108" s="16">
        <v>94764.080000000016</v>
      </c>
    </row>
    <row r="109" spans="1:11" s="10" customFormat="1" ht="18" customHeight="1" thickBot="1">
      <c r="A109" s="11"/>
      <c r="B109" s="12"/>
      <c r="C109" s="13"/>
      <c r="D109" s="13"/>
      <c r="E109" s="13"/>
      <c r="F109" s="24"/>
      <c r="G109" s="24"/>
      <c r="H109" s="24"/>
      <c r="I109" s="24"/>
      <c r="J109" s="24"/>
      <c r="K109" s="24"/>
    </row>
    <row r="110" spans="1:11" s="10" customFormat="1" ht="18" customHeight="1">
      <c r="A110" s="6" t="s">
        <v>156</v>
      </c>
      <c r="B110" s="2" t="s">
        <v>39</v>
      </c>
      <c r="C110"/>
      <c r="D110"/>
      <c r="E110"/>
      <c r="F110"/>
      <c r="G110"/>
      <c r="H110"/>
      <c r="I110"/>
      <c r="J110"/>
      <c r="K110"/>
    </row>
    <row r="111" spans="1:11" ht="18" customHeight="1">
      <c r="A111" s="6" t="s">
        <v>155</v>
      </c>
      <c r="B111" s="2" t="s">
        <v>164</v>
      </c>
      <c r="E111" s="2" t="s">
        <v>7</v>
      </c>
      <c r="F111" s="15">
        <v>173338</v>
      </c>
    </row>
    <row r="112" spans="1:11" ht="18" customHeight="1">
      <c r="B112" s="2"/>
      <c r="E112" s="2"/>
      <c r="F112" s="22"/>
    </row>
    <row r="113" spans="1:6" ht="12.75">
      <c r="A113" s="6"/>
      <c r="B113" s="2" t="s">
        <v>15</v>
      </c>
    </row>
    <row r="114" spans="1:6" ht="12.75">
      <c r="A114" s="5" t="s">
        <v>171</v>
      </c>
      <c r="B114" s="341" t="s">
        <v>35</v>
      </c>
      <c r="F114" s="25">
        <v>0.5</v>
      </c>
    </row>
    <row r="115" spans="1:6" ht="12.75">
      <c r="A115" s="5"/>
      <c r="B115" s="2"/>
    </row>
    <row r="116" spans="1:6" ht="12.75">
      <c r="A116" s="5" t="s">
        <v>170</v>
      </c>
      <c r="B116" s="2" t="s">
        <v>16</v>
      </c>
    </row>
    <row r="117" spans="1:6" ht="12.75">
      <c r="A117" s="5" t="s">
        <v>172</v>
      </c>
      <c r="B117" s="341" t="s">
        <v>17</v>
      </c>
      <c r="F117" s="15">
        <v>53041023</v>
      </c>
    </row>
    <row r="118" spans="1:6" ht="12.75">
      <c r="A118" s="5" t="s">
        <v>173</v>
      </c>
      <c r="B118" t="s">
        <v>18</v>
      </c>
      <c r="F118" s="15">
        <v>1722803</v>
      </c>
    </row>
    <row r="119" spans="1:6" ht="12.75">
      <c r="A119" s="5" t="s">
        <v>174</v>
      </c>
      <c r="B119" s="2" t="s">
        <v>19</v>
      </c>
      <c r="F119" s="17">
        <v>54763826</v>
      </c>
    </row>
    <row r="120" spans="1:6" ht="12.75">
      <c r="A120" s="5"/>
      <c r="B120" s="2"/>
    </row>
    <row r="121" spans="1:6" ht="12.75">
      <c r="A121" s="5" t="s">
        <v>167</v>
      </c>
      <c r="B121" s="2" t="s">
        <v>36</v>
      </c>
      <c r="F121" s="15">
        <v>50042312</v>
      </c>
    </row>
    <row r="122" spans="1:6" ht="12.75">
      <c r="A122" s="5"/>
    </row>
    <row r="123" spans="1:6" ht="12.75">
      <c r="A123" s="5" t="s">
        <v>175</v>
      </c>
      <c r="B123" s="2" t="s">
        <v>20</v>
      </c>
      <c r="F123" s="15">
        <v>4721514</v>
      </c>
    </row>
    <row r="124" spans="1:6" ht="12.75">
      <c r="A124" s="5"/>
    </row>
    <row r="125" spans="1:6" ht="12.75">
      <c r="A125" s="5" t="s">
        <v>176</v>
      </c>
      <c r="B125" s="2" t="s">
        <v>21</v>
      </c>
      <c r="F125" s="15">
        <v>3202914</v>
      </c>
    </row>
    <row r="126" spans="1:6" ht="12.75">
      <c r="A126" s="5"/>
    </row>
    <row r="127" spans="1:6" ht="12.75">
      <c r="A127" s="5" t="s">
        <v>177</v>
      </c>
      <c r="B127" s="2" t="s">
        <v>22</v>
      </c>
      <c r="F127" s="15">
        <v>7924428</v>
      </c>
    </row>
    <row r="128" spans="1:6" ht="12.75">
      <c r="A128" s="5"/>
    </row>
    <row r="129" spans="1:11" ht="42.75" customHeight="1">
      <c r="F129" s="9" t="s">
        <v>9</v>
      </c>
      <c r="G129" s="9" t="s">
        <v>37</v>
      </c>
      <c r="H129" s="9" t="s">
        <v>29</v>
      </c>
      <c r="I129" s="9" t="s">
        <v>30</v>
      </c>
      <c r="J129" s="9" t="s">
        <v>33</v>
      </c>
      <c r="K129" s="9" t="s">
        <v>34</v>
      </c>
    </row>
    <row r="130" spans="1:11" ht="18" customHeight="1">
      <c r="A130" s="6" t="s">
        <v>157</v>
      </c>
      <c r="B130" s="2" t="s">
        <v>23</v>
      </c>
    </row>
    <row r="131" spans="1:11" ht="18" customHeight="1">
      <c r="A131" s="5" t="s">
        <v>158</v>
      </c>
      <c r="B131" t="s">
        <v>24</v>
      </c>
      <c r="F131" s="14"/>
      <c r="G131" s="14"/>
      <c r="H131" s="15"/>
      <c r="I131" s="50">
        <v>0</v>
      </c>
      <c r="J131" s="15"/>
      <c r="K131" s="16">
        <v>0</v>
      </c>
    </row>
    <row r="132" spans="1:11" ht="18" customHeight="1">
      <c r="A132" s="5" t="s">
        <v>159</v>
      </c>
      <c r="B132" t="s">
        <v>25</v>
      </c>
      <c r="F132" s="14"/>
      <c r="G132" s="14"/>
      <c r="H132" s="15"/>
      <c r="I132" s="50">
        <v>0</v>
      </c>
      <c r="J132" s="15"/>
      <c r="K132" s="16">
        <v>0</v>
      </c>
    </row>
    <row r="133" spans="1:11" ht="18" customHeight="1">
      <c r="A133" s="5" t="s">
        <v>160</v>
      </c>
      <c r="B133" s="636"/>
      <c r="C133" s="637"/>
      <c r="D133" s="638"/>
      <c r="F133" s="14"/>
      <c r="G133" s="14"/>
      <c r="H133" s="15"/>
      <c r="I133" s="50">
        <v>0</v>
      </c>
      <c r="J133" s="15"/>
      <c r="K133" s="16">
        <v>0</v>
      </c>
    </row>
    <row r="134" spans="1:11" ht="18" customHeight="1">
      <c r="A134" s="5" t="s">
        <v>161</v>
      </c>
      <c r="B134" s="636"/>
      <c r="C134" s="637"/>
      <c r="D134" s="638"/>
      <c r="F134" s="14"/>
      <c r="G134" s="14"/>
      <c r="H134" s="15"/>
      <c r="I134" s="50">
        <v>0</v>
      </c>
      <c r="J134" s="15"/>
      <c r="K134" s="16">
        <v>0</v>
      </c>
    </row>
    <row r="135" spans="1:11" ht="18" customHeight="1">
      <c r="A135" s="5" t="s">
        <v>162</v>
      </c>
      <c r="B135" s="636"/>
      <c r="C135" s="637"/>
      <c r="D135" s="638"/>
      <c r="F135" s="14"/>
      <c r="G135" s="14"/>
      <c r="H135" s="15"/>
      <c r="I135" s="50">
        <v>0</v>
      </c>
      <c r="J135" s="15"/>
      <c r="K135" s="16">
        <v>0</v>
      </c>
    </row>
    <row r="136" spans="1:11" ht="18" customHeight="1">
      <c r="A136" s="6"/>
    </row>
    <row r="137" spans="1:11" ht="18" customHeight="1">
      <c r="A137" s="6" t="s">
        <v>163</v>
      </c>
      <c r="B137" s="2" t="s">
        <v>27</v>
      </c>
      <c r="F137" s="18">
        <v>0</v>
      </c>
      <c r="G137" s="18">
        <v>0</v>
      </c>
      <c r="H137" s="16">
        <v>0</v>
      </c>
      <c r="I137" s="16">
        <v>0</v>
      </c>
      <c r="J137" s="16">
        <v>0</v>
      </c>
      <c r="K137" s="16">
        <v>0</v>
      </c>
    </row>
    <row r="138" spans="1:11" ht="18" customHeight="1">
      <c r="A138"/>
    </row>
    <row r="139" spans="1:11" ht="42.75" customHeight="1">
      <c r="F139" s="9" t="s">
        <v>9</v>
      </c>
      <c r="G139" s="9" t="s">
        <v>37</v>
      </c>
      <c r="H139" s="9" t="s">
        <v>29</v>
      </c>
      <c r="I139" s="9" t="s">
        <v>30</v>
      </c>
      <c r="J139" s="9" t="s">
        <v>33</v>
      </c>
      <c r="K139" s="9" t="s">
        <v>34</v>
      </c>
    </row>
    <row r="140" spans="1:11" ht="18" customHeight="1">
      <c r="A140" s="6" t="s">
        <v>166</v>
      </c>
      <c r="B140" s="2" t="s">
        <v>26</v>
      </c>
    </row>
    <row r="141" spans="1:11" ht="18" customHeight="1">
      <c r="A141" s="5" t="s">
        <v>137</v>
      </c>
      <c r="B141" s="2" t="s">
        <v>64</v>
      </c>
      <c r="F141" s="41">
        <v>1064</v>
      </c>
      <c r="G141" s="41">
        <v>47673</v>
      </c>
      <c r="H141" s="41">
        <v>58239.957371794873</v>
      </c>
      <c r="I141" s="41">
        <v>29119.978685897437</v>
      </c>
      <c r="J141" s="41">
        <v>0</v>
      </c>
      <c r="K141" s="41">
        <v>87359.936057692306</v>
      </c>
    </row>
    <row r="142" spans="1:11" ht="18" customHeight="1">
      <c r="A142" s="5" t="s">
        <v>142</v>
      </c>
      <c r="B142" s="2" t="s">
        <v>65</v>
      </c>
      <c r="F142" s="41">
        <v>2328</v>
      </c>
      <c r="G142" s="41">
        <v>81</v>
      </c>
      <c r="H142" s="41">
        <v>96452.375</v>
      </c>
      <c r="I142" s="41">
        <v>48226.1875</v>
      </c>
      <c r="J142" s="41">
        <v>0</v>
      </c>
      <c r="K142" s="41">
        <v>144678.5625</v>
      </c>
    </row>
    <row r="143" spans="1:11" ht="18" customHeight="1">
      <c r="A143" s="5" t="s">
        <v>144</v>
      </c>
      <c r="B143" s="2" t="s">
        <v>66</v>
      </c>
      <c r="F143" s="41">
        <v>9141</v>
      </c>
      <c r="G143" s="41">
        <v>3671</v>
      </c>
      <c r="H143" s="41">
        <v>880868</v>
      </c>
      <c r="I143" s="41">
        <v>440434</v>
      </c>
      <c r="J143" s="41">
        <v>518980</v>
      </c>
      <c r="K143" s="41">
        <v>802322</v>
      </c>
    </row>
    <row r="144" spans="1:11" ht="18" customHeight="1">
      <c r="A144" s="5" t="s">
        <v>146</v>
      </c>
      <c r="B144" s="2" t="s">
        <v>67</v>
      </c>
      <c r="F144" s="41">
        <v>100</v>
      </c>
      <c r="G144" s="41">
        <v>0</v>
      </c>
      <c r="H144" s="41">
        <v>0</v>
      </c>
      <c r="I144" s="41">
        <v>0</v>
      </c>
      <c r="J144" s="41">
        <v>0</v>
      </c>
      <c r="K144" s="41">
        <v>0</v>
      </c>
    </row>
    <row r="145" spans="1:11" ht="18" customHeight="1">
      <c r="A145" s="5" t="s">
        <v>148</v>
      </c>
      <c r="B145" s="2" t="s">
        <v>68</v>
      </c>
      <c r="F145" s="41">
        <v>68</v>
      </c>
      <c r="G145" s="41">
        <v>900</v>
      </c>
      <c r="H145" s="41">
        <v>40633.666666666664</v>
      </c>
      <c r="I145" s="41">
        <v>20316.833333333332</v>
      </c>
      <c r="J145" s="41">
        <v>0</v>
      </c>
      <c r="K145" s="41">
        <v>60950.5</v>
      </c>
    </row>
    <row r="146" spans="1:11" ht="18" customHeight="1">
      <c r="A146" s="5" t="s">
        <v>150</v>
      </c>
      <c r="B146" s="2" t="s">
        <v>69</v>
      </c>
      <c r="F146" s="41">
        <v>644</v>
      </c>
      <c r="G146" s="41">
        <v>3615</v>
      </c>
      <c r="H146" s="41">
        <v>136034.64102564103</v>
      </c>
      <c r="I146" s="41">
        <v>68017.320512820515</v>
      </c>
      <c r="J146" s="41">
        <v>0</v>
      </c>
      <c r="K146" s="41">
        <v>204051.96153846153</v>
      </c>
    </row>
    <row r="147" spans="1:11" ht="18" customHeight="1">
      <c r="A147" s="5" t="s">
        <v>153</v>
      </c>
      <c r="B147" s="2" t="s">
        <v>61</v>
      </c>
      <c r="F147" s="18">
        <v>1676.666666666667</v>
      </c>
      <c r="G147" s="18">
        <v>0</v>
      </c>
      <c r="H147" s="18">
        <v>63176.053333333344</v>
      </c>
      <c r="I147" s="18">
        <v>31588.026666666672</v>
      </c>
      <c r="J147" s="18">
        <v>0</v>
      </c>
      <c r="K147" s="18">
        <v>94764.080000000016</v>
      </c>
    </row>
    <row r="148" spans="1:11" ht="18" customHeight="1">
      <c r="A148" s="5" t="s">
        <v>155</v>
      </c>
      <c r="B148" s="2" t="s">
        <v>70</v>
      </c>
      <c r="F148" s="42" t="s">
        <v>73</v>
      </c>
      <c r="G148" s="42" t="s">
        <v>73</v>
      </c>
      <c r="H148" s="43" t="s">
        <v>73</v>
      </c>
      <c r="I148" s="43" t="s">
        <v>73</v>
      </c>
      <c r="J148" s="43" t="s">
        <v>73</v>
      </c>
      <c r="K148" s="37">
        <v>173338</v>
      </c>
    </row>
    <row r="149" spans="1:11" ht="18" customHeight="1">
      <c r="A149" s="5" t="s">
        <v>163</v>
      </c>
      <c r="B149" s="2" t="s">
        <v>71</v>
      </c>
      <c r="F149" s="18">
        <v>0</v>
      </c>
      <c r="G149" s="18">
        <v>0</v>
      </c>
      <c r="H149" s="18">
        <v>0</v>
      </c>
      <c r="I149" s="18">
        <v>0</v>
      </c>
      <c r="J149" s="18">
        <v>0</v>
      </c>
      <c r="K149" s="18">
        <v>0</v>
      </c>
    </row>
    <row r="150" spans="1:11" ht="18" customHeight="1">
      <c r="A150" s="5" t="s">
        <v>185</v>
      </c>
      <c r="B150" s="2" t="s">
        <v>186</v>
      </c>
      <c r="F150" s="42" t="s">
        <v>73</v>
      </c>
      <c r="G150" s="42" t="s">
        <v>73</v>
      </c>
      <c r="H150" s="18">
        <v>0</v>
      </c>
      <c r="I150" s="18">
        <v>0</v>
      </c>
      <c r="J150" s="18">
        <v>0</v>
      </c>
      <c r="K150" s="18">
        <v>0</v>
      </c>
    </row>
    <row r="151" spans="1:11" ht="18" customHeight="1">
      <c r="B151" s="2"/>
      <c r="F151" s="48"/>
      <c r="G151" s="48"/>
      <c r="H151" s="48"/>
      <c r="I151" s="48"/>
      <c r="J151" s="48"/>
      <c r="K151" s="48"/>
    </row>
    <row r="152" spans="1:11" ht="18" customHeight="1">
      <c r="A152" s="6" t="s">
        <v>165</v>
      </c>
      <c r="B152" s="2" t="s">
        <v>26</v>
      </c>
      <c r="F152" s="49">
        <v>15021.666666666668</v>
      </c>
      <c r="G152" s="49">
        <v>55940</v>
      </c>
      <c r="H152" s="49">
        <v>1275404.6933974358</v>
      </c>
      <c r="I152" s="49">
        <v>637702.34669871791</v>
      </c>
      <c r="J152" s="49">
        <v>518980</v>
      </c>
      <c r="K152" s="49">
        <v>1567465.040096154</v>
      </c>
    </row>
    <row r="154" spans="1:11" ht="18" customHeight="1">
      <c r="A154" s="6" t="s">
        <v>168</v>
      </c>
      <c r="B154" s="2" t="s">
        <v>28</v>
      </c>
      <c r="F154" s="64">
        <f>K152/F121</f>
        <v>3.13227942005588E-2</v>
      </c>
    </row>
    <row r="155" spans="1:11" ht="18" customHeight="1">
      <c r="A155" s="6" t="s">
        <v>169</v>
      </c>
      <c r="B155" s="2" t="s">
        <v>72</v>
      </c>
      <c r="F155" s="64">
        <f>K152/F127</f>
        <v>0.19780166342556887</v>
      </c>
      <c r="G155" s="2"/>
    </row>
    <row r="156" spans="1:11" ht="18" customHeight="1">
      <c r="G156" s="2"/>
    </row>
  </sheetData>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F60"/>
  <sheetViews>
    <sheetView topLeftCell="C1" zoomScaleNormal="100" workbookViewId="0">
      <selection activeCell="Q19" sqref="Q19"/>
    </sheetView>
  </sheetViews>
  <sheetFormatPr defaultRowHeight="15"/>
  <cols>
    <col min="1" max="1" width="11.5703125" style="70" customWidth="1"/>
    <col min="2" max="2" width="40.28515625" style="70" bestFit="1" customWidth="1"/>
    <col min="3" max="3" width="19.140625" style="581" bestFit="1" customWidth="1"/>
    <col min="4" max="4" width="20.5703125" style="87" customWidth="1"/>
    <col min="5" max="5" width="23.28515625" style="581" customWidth="1"/>
    <col min="6" max="6" width="25" style="70" customWidth="1"/>
    <col min="7" max="16384" width="9.140625" style="70"/>
  </cols>
  <sheetData>
    <row r="1" spans="1:6" ht="23.25">
      <c r="B1" s="86" t="s">
        <v>1006</v>
      </c>
      <c r="C1" s="86" t="s">
        <v>1013</v>
      </c>
    </row>
    <row r="2" spans="1:6">
      <c r="B2" s="82" t="s">
        <v>296</v>
      </c>
    </row>
    <row r="3" spans="1:6">
      <c r="B3" s="82"/>
    </row>
    <row r="4" spans="1:6" s="92" customFormat="1" ht="28.5" customHeight="1">
      <c r="A4" s="71"/>
      <c r="B4" s="89" t="s">
        <v>998</v>
      </c>
      <c r="C4" s="582" t="s">
        <v>261</v>
      </c>
      <c r="D4" s="91" t="s">
        <v>262</v>
      </c>
      <c r="E4" s="582" t="s">
        <v>263</v>
      </c>
      <c r="F4" s="90" t="s">
        <v>264</v>
      </c>
    </row>
    <row r="5" spans="1:6">
      <c r="A5" s="77">
        <v>1</v>
      </c>
      <c r="B5" s="70" t="s">
        <v>205</v>
      </c>
      <c r="C5" s="425">
        <v>295465.2</v>
      </c>
      <c r="D5" s="93">
        <v>0</v>
      </c>
      <c r="E5" s="581">
        <v>7505016.0715666804</v>
      </c>
      <c r="F5" s="595">
        <f t="shared" ref="F5:F36" si="0">C5+D5+E5</f>
        <v>7800481.2715666806</v>
      </c>
    </row>
    <row r="6" spans="1:6">
      <c r="A6" s="77">
        <v>2</v>
      </c>
      <c r="B6" s="586" t="s">
        <v>995</v>
      </c>
      <c r="C6" s="581">
        <v>1420398</v>
      </c>
      <c r="D6" s="87">
        <v>91440450</v>
      </c>
      <c r="E6" s="425">
        <v>73498008.777051061</v>
      </c>
      <c r="F6" s="595">
        <f t="shared" si="0"/>
        <v>166358856.77705106</v>
      </c>
    </row>
    <row r="7" spans="1:6">
      <c r="A7" s="77">
        <v>3</v>
      </c>
      <c r="B7" s="70" t="s">
        <v>299</v>
      </c>
      <c r="C7" s="581">
        <v>255903.80000000002</v>
      </c>
      <c r="D7" s="87">
        <v>3988329.9999999995</v>
      </c>
      <c r="E7" s="425">
        <v>17544926.793202955</v>
      </c>
      <c r="F7" s="595">
        <f t="shared" si="0"/>
        <v>21789160.593202956</v>
      </c>
    </row>
    <row r="8" spans="1:6">
      <c r="A8" s="77">
        <v>4</v>
      </c>
      <c r="B8" s="70" t="s">
        <v>300</v>
      </c>
      <c r="C8" s="581">
        <v>453731.60000000003</v>
      </c>
      <c r="D8" s="87">
        <v>2757759.9999999995</v>
      </c>
      <c r="E8" s="425">
        <v>25676243.203648206</v>
      </c>
      <c r="F8" s="595">
        <f t="shared" si="0"/>
        <v>28887734.803648204</v>
      </c>
    </row>
    <row r="9" spans="1:6">
      <c r="A9" s="77">
        <v>5</v>
      </c>
      <c r="B9" s="70" t="s">
        <v>206</v>
      </c>
      <c r="C9" s="581">
        <v>334410.30000000005</v>
      </c>
      <c r="D9" s="87">
        <v>0</v>
      </c>
      <c r="E9" s="425">
        <v>11690942.040708635</v>
      </c>
      <c r="F9" s="595">
        <f t="shared" si="0"/>
        <v>12025352.340708636</v>
      </c>
    </row>
    <row r="10" spans="1:6" s="83" customFormat="1">
      <c r="A10" s="77">
        <v>6</v>
      </c>
      <c r="B10" s="83" t="s">
        <v>301</v>
      </c>
      <c r="C10" s="583">
        <v>104451.40000000001</v>
      </c>
      <c r="D10" s="95">
        <v>0</v>
      </c>
      <c r="E10" s="585">
        <v>3046391.2456796248</v>
      </c>
      <c r="F10" s="595">
        <f t="shared" si="0"/>
        <v>3150842.6456796248</v>
      </c>
    </row>
    <row r="11" spans="1:6">
      <c r="A11" s="77">
        <v>8</v>
      </c>
      <c r="B11" s="70" t="s">
        <v>302</v>
      </c>
      <c r="C11" s="581">
        <v>459265.69999999995</v>
      </c>
      <c r="D11" s="87">
        <v>4675330</v>
      </c>
      <c r="E11" s="425">
        <v>21375445.226552382</v>
      </c>
      <c r="F11" s="595">
        <f t="shared" si="0"/>
        <v>26510040.926552381</v>
      </c>
    </row>
    <row r="12" spans="1:6">
      <c r="A12" s="77">
        <v>9</v>
      </c>
      <c r="B12" s="70" t="s">
        <v>303</v>
      </c>
      <c r="C12" s="581">
        <v>1851351.5</v>
      </c>
      <c r="D12" s="87">
        <v>103050920.00000001</v>
      </c>
      <c r="E12" s="425">
        <v>34749785.997731254</v>
      </c>
      <c r="F12" s="595">
        <f t="shared" si="0"/>
        <v>139652057.49773127</v>
      </c>
    </row>
    <row r="13" spans="1:6">
      <c r="A13" s="77">
        <v>10</v>
      </c>
      <c r="B13" s="70" t="s">
        <v>304</v>
      </c>
      <c r="C13" s="581">
        <v>59359.9</v>
      </c>
      <c r="D13" s="87">
        <v>0</v>
      </c>
      <c r="E13" s="425">
        <v>1760573.4804999891</v>
      </c>
      <c r="F13" s="595">
        <f t="shared" si="0"/>
        <v>1819933.380499989</v>
      </c>
    </row>
    <row r="14" spans="1:6">
      <c r="A14" s="77">
        <v>11</v>
      </c>
      <c r="B14" s="70" t="s">
        <v>207</v>
      </c>
      <c r="C14" s="581">
        <v>401564.2</v>
      </c>
      <c r="D14" s="87">
        <v>6888070.0000000019</v>
      </c>
      <c r="E14" s="425">
        <v>9860633.3477781788</v>
      </c>
      <c r="F14" s="595">
        <f t="shared" si="0"/>
        <v>17150267.547778182</v>
      </c>
    </row>
    <row r="15" spans="1:6">
      <c r="A15" s="77">
        <v>12</v>
      </c>
      <c r="B15" s="70" t="s">
        <v>305</v>
      </c>
      <c r="C15" s="581">
        <v>676602.70000000019</v>
      </c>
      <c r="D15" s="87">
        <v>15265590.000000004</v>
      </c>
      <c r="E15" s="425">
        <v>12231834.238266826</v>
      </c>
      <c r="F15" s="595">
        <f t="shared" si="0"/>
        <v>28174026.938266829</v>
      </c>
    </row>
    <row r="16" spans="1:6">
      <c r="A16" s="77">
        <v>13</v>
      </c>
      <c r="B16" s="70" t="s">
        <v>208</v>
      </c>
      <c r="C16" s="581">
        <v>130651.8</v>
      </c>
      <c r="D16" s="87">
        <v>0</v>
      </c>
      <c r="E16" s="425">
        <v>11914216.246866208</v>
      </c>
      <c r="F16" s="595">
        <f t="shared" si="0"/>
        <v>12044868.046866208</v>
      </c>
    </row>
    <row r="17" spans="1:6">
      <c r="A17" s="77">
        <v>15</v>
      </c>
      <c r="B17" s="70" t="s">
        <v>306</v>
      </c>
      <c r="C17" s="581">
        <v>477082</v>
      </c>
      <c r="D17" s="87">
        <v>7574040</v>
      </c>
      <c r="E17" s="425">
        <v>17181538.858762309</v>
      </c>
      <c r="F17" s="595">
        <f t="shared" si="0"/>
        <v>25232660.858762309</v>
      </c>
    </row>
    <row r="18" spans="1:6">
      <c r="A18" s="77">
        <v>16</v>
      </c>
      <c r="B18" s="70" t="s">
        <v>307</v>
      </c>
      <c r="C18" s="581">
        <v>260716.09999999998</v>
      </c>
      <c r="D18" s="87">
        <v>0</v>
      </c>
      <c r="E18" s="425">
        <v>12237739.184539799</v>
      </c>
      <c r="F18" s="595">
        <f t="shared" si="0"/>
        <v>12498455.284539798</v>
      </c>
    </row>
    <row r="19" spans="1:6" s="83" customFormat="1">
      <c r="A19" s="77">
        <v>17</v>
      </c>
      <c r="B19" s="83" t="s">
        <v>308</v>
      </c>
      <c r="C19" s="583">
        <v>42709.9</v>
      </c>
      <c r="D19" s="95">
        <v>0</v>
      </c>
      <c r="E19" s="585">
        <v>3045379.6434958875</v>
      </c>
      <c r="F19" s="595">
        <f t="shared" si="0"/>
        <v>3088089.5434958874</v>
      </c>
    </row>
    <row r="20" spans="1:6">
      <c r="A20" s="77">
        <v>18</v>
      </c>
      <c r="B20" s="70" t="s">
        <v>309</v>
      </c>
      <c r="C20" s="581">
        <v>165915</v>
      </c>
      <c r="D20" s="87">
        <v>0</v>
      </c>
      <c r="E20" s="425">
        <v>5404355.3436977621</v>
      </c>
      <c r="F20" s="595">
        <f t="shared" si="0"/>
        <v>5570270.3436977621</v>
      </c>
    </row>
    <row r="21" spans="1:6">
      <c r="A21" s="77">
        <v>19</v>
      </c>
      <c r="B21" s="70" t="s">
        <v>310</v>
      </c>
      <c r="C21" s="581">
        <v>414765.5</v>
      </c>
      <c r="D21" s="87">
        <v>0</v>
      </c>
      <c r="E21" s="425">
        <v>11675563.165767927</v>
      </c>
      <c r="F21" s="595">
        <f t="shared" si="0"/>
        <v>12090328.665767927</v>
      </c>
    </row>
    <row r="22" spans="1:6">
      <c r="A22" s="77">
        <v>22</v>
      </c>
      <c r="B22" s="70" t="s">
        <v>311</v>
      </c>
      <c r="C22" s="581">
        <v>272892.40000000002</v>
      </c>
      <c r="D22" s="87">
        <v>314919.99999999994</v>
      </c>
      <c r="E22" s="425">
        <v>4354573.9962266125</v>
      </c>
      <c r="F22" s="595">
        <f t="shared" si="0"/>
        <v>4942386.3962266129</v>
      </c>
    </row>
    <row r="23" spans="1:6">
      <c r="A23" s="77">
        <v>23</v>
      </c>
      <c r="B23" s="70" t="s">
        <v>312</v>
      </c>
      <c r="C23" s="581">
        <v>523717</v>
      </c>
      <c r="D23" s="87">
        <v>0</v>
      </c>
      <c r="E23" s="425">
        <v>4779088.2458036188</v>
      </c>
      <c r="F23" s="595">
        <f t="shared" si="0"/>
        <v>5302805.2458036188</v>
      </c>
    </row>
    <row r="24" spans="1:6">
      <c r="A24" s="77">
        <v>24</v>
      </c>
      <c r="B24" s="70" t="s">
        <v>313</v>
      </c>
      <c r="C24" s="581">
        <v>422530.70000000007</v>
      </c>
      <c r="D24" s="87">
        <v>11238489.999999998</v>
      </c>
      <c r="E24" s="425">
        <v>13694623.43922138</v>
      </c>
      <c r="F24" s="595">
        <f t="shared" si="0"/>
        <v>25355644.139221378</v>
      </c>
    </row>
    <row r="25" spans="1:6">
      <c r="A25" s="77">
        <v>27</v>
      </c>
      <c r="B25" s="70" t="s">
        <v>314</v>
      </c>
      <c r="C25" s="581">
        <v>308555.8</v>
      </c>
      <c r="D25" s="87">
        <v>0</v>
      </c>
      <c r="E25" s="425">
        <v>10507545.267292544</v>
      </c>
      <c r="F25" s="595">
        <f t="shared" si="0"/>
        <v>10816101.067292545</v>
      </c>
    </row>
    <row r="26" spans="1:6">
      <c r="A26" s="77">
        <v>28</v>
      </c>
      <c r="B26" s="70" t="s">
        <v>315</v>
      </c>
      <c r="C26" s="581">
        <v>151897</v>
      </c>
      <c r="D26" s="87">
        <v>0</v>
      </c>
      <c r="E26" s="425">
        <v>4606885.91207653</v>
      </c>
      <c r="F26" s="595">
        <f t="shared" si="0"/>
        <v>4758782.91207653</v>
      </c>
    </row>
    <row r="27" spans="1:6">
      <c r="A27" s="77">
        <v>29</v>
      </c>
      <c r="B27" s="70" t="s">
        <v>316</v>
      </c>
      <c r="C27" s="581">
        <v>584860.1</v>
      </c>
      <c r="D27" s="87">
        <v>21979800</v>
      </c>
      <c r="E27" s="425">
        <v>19315954.399303865</v>
      </c>
      <c r="F27" s="595">
        <f t="shared" si="0"/>
        <v>41880614.499303862</v>
      </c>
    </row>
    <row r="28" spans="1:6">
      <c r="A28" s="77">
        <v>30</v>
      </c>
      <c r="B28" s="70" t="s">
        <v>317</v>
      </c>
      <c r="C28" s="581">
        <v>65051.700000000004</v>
      </c>
      <c r="D28" s="87">
        <v>0</v>
      </c>
      <c r="E28" s="425">
        <v>1619811.5004017334</v>
      </c>
      <c r="F28" s="595">
        <f t="shared" si="0"/>
        <v>1684863.2004017334</v>
      </c>
    </row>
    <row r="29" spans="1:6">
      <c r="A29" s="77">
        <v>32</v>
      </c>
      <c r="B29" s="70" t="s">
        <v>318</v>
      </c>
      <c r="C29" s="581">
        <v>148428.40000000002</v>
      </c>
      <c r="D29" s="87">
        <v>0</v>
      </c>
      <c r="E29" s="425">
        <v>3466913.5225015166</v>
      </c>
      <c r="F29" s="595">
        <f t="shared" si="0"/>
        <v>3615341.9225015165</v>
      </c>
    </row>
    <row r="30" spans="1:6">
      <c r="A30" s="77">
        <v>33</v>
      </c>
      <c r="B30" s="70" t="s">
        <v>319</v>
      </c>
      <c r="C30" s="581">
        <v>243424.4</v>
      </c>
      <c r="D30" s="87">
        <v>0</v>
      </c>
      <c r="E30" s="425">
        <v>3885617.3386139744</v>
      </c>
      <c r="F30" s="595">
        <f t="shared" si="0"/>
        <v>4129041.7386139743</v>
      </c>
    </row>
    <row r="31" spans="1:6">
      <c r="A31" s="77">
        <v>34</v>
      </c>
      <c r="B31" s="70" t="s">
        <v>320</v>
      </c>
      <c r="C31" s="581">
        <v>209694.30000000005</v>
      </c>
      <c r="D31" s="87">
        <v>4402330</v>
      </c>
      <c r="E31" s="425">
        <v>10513303.399116961</v>
      </c>
      <c r="F31" s="595">
        <f t="shared" si="0"/>
        <v>15125327.69911696</v>
      </c>
    </row>
    <row r="32" spans="1:6">
      <c r="A32" s="77">
        <v>35</v>
      </c>
      <c r="B32" s="70" t="s">
        <v>321</v>
      </c>
      <c r="C32" s="581">
        <v>126393.90000000001</v>
      </c>
      <c r="D32" s="87">
        <v>0</v>
      </c>
      <c r="E32" s="425">
        <v>2019044.642194618</v>
      </c>
      <c r="F32" s="595">
        <f t="shared" si="0"/>
        <v>2145438.5421946179</v>
      </c>
    </row>
    <row r="33" spans="1:6">
      <c r="A33" s="77">
        <v>37</v>
      </c>
      <c r="B33" s="70" t="s">
        <v>322</v>
      </c>
      <c r="C33" s="581">
        <v>184647.5</v>
      </c>
      <c r="D33" s="87">
        <v>0</v>
      </c>
      <c r="E33" s="425">
        <v>4330984.1173485508</v>
      </c>
      <c r="F33" s="595">
        <f t="shared" si="0"/>
        <v>4515631.6173485508</v>
      </c>
    </row>
    <row r="34" spans="1:6">
      <c r="A34" s="77">
        <v>38</v>
      </c>
      <c r="B34" s="70" t="s">
        <v>323</v>
      </c>
      <c r="C34" s="581">
        <v>185438.39</v>
      </c>
      <c r="D34" s="87">
        <v>4245769.9999999991</v>
      </c>
      <c r="E34" s="425">
        <v>12068846.860882109</v>
      </c>
      <c r="F34" s="595">
        <f t="shared" si="0"/>
        <v>16500055.250882108</v>
      </c>
    </row>
    <row r="35" spans="1:6">
      <c r="A35" s="77">
        <v>39</v>
      </c>
      <c r="B35" s="70" t="s">
        <v>324</v>
      </c>
      <c r="C35" s="581">
        <v>135740.5</v>
      </c>
      <c r="D35" s="87">
        <v>0</v>
      </c>
      <c r="E35" s="425">
        <v>6787442.1457510013</v>
      </c>
      <c r="F35" s="595">
        <f t="shared" si="0"/>
        <v>6923182.6457510013</v>
      </c>
    </row>
    <row r="36" spans="1:6">
      <c r="A36" s="77">
        <v>40</v>
      </c>
      <c r="B36" s="70" t="s">
        <v>325</v>
      </c>
      <c r="C36" s="581">
        <v>238730.10000000003</v>
      </c>
      <c r="D36" s="87">
        <v>0</v>
      </c>
      <c r="E36" s="425">
        <v>5797833.5000206949</v>
      </c>
      <c r="F36" s="595">
        <f t="shared" si="0"/>
        <v>6036563.6000206945</v>
      </c>
    </row>
    <row r="37" spans="1:6">
      <c r="A37" s="77">
        <v>43</v>
      </c>
      <c r="B37" s="70" t="s">
        <v>326</v>
      </c>
      <c r="C37" s="581">
        <v>381065.3</v>
      </c>
      <c r="D37" s="87">
        <v>421820</v>
      </c>
      <c r="E37" s="425">
        <v>10211355.424411267</v>
      </c>
      <c r="F37" s="595">
        <f t="shared" ref="F37:F56" si="1">C37+D37+E37</f>
        <v>11014240.724411268</v>
      </c>
    </row>
    <row r="38" spans="1:6">
      <c r="A38" s="77">
        <v>44</v>
      </c>
      <c r="B38" s="70" t="s">
        <v>212</v>
      </c>
      <c r="C38" s="581">
        <v>426432.4</v>
      </c>
      <c r="D38" s="87">
        <v>5078600</v>
      </c>
      <c r="E38" s="425">
        <v>4352953.1805849709</v>
      </c>
      <c r="F38" s="595">
        <f t="shared" si="1"/>
        <v>9857985.5805849712</v>
      </c>
    </row>
    <row r="39" spans="1:6">
      <c r="A39" s="77">
        <v>45</v>
      </c>
      <c r="B39" s="70" t="s">
        <v>213</v>
      </c>
      <c r="C39" s="581">
        <v>17710.400000000001</v>
      </c>
      <c r="D39" s="87">
        <v>0</v>
      </c>
      <c r="E39" s="425">
        <v>647064.65196037653</v>
      </c>
      <c r="F39" s="595">
        <f t="shared" si="1"/>
        <v>664775.05196037656</v>
      </c>
    </row>
    <row r="40" spans="1:6">
      <c r="A40" s="77">
        <v>48</v>
      </c>
      <c r="B40" s="70" t="s">
        <v>327</v>
      </c>
      <c r="C40" s="581">
        <v>275201.89999999997</v>
      </c>
      <c r="D40" s="87">
        <v>0</v>
      </c>
      <c r="E40" s="425">
        <v>7117812.7694894327</v>
      </c>
      <c r="F40" s="595">
        <f t="shared" si="1"/>
        <v>7393014.6694894331</v>
      </c>
    </row>
    <row r="41" spans="1:6">
      <c r="A41" s="77">
        <v>49</v>
      </c>
      <c r="B41" s="70" t="s">
        <v>328</v>
      </c>
      <c r="C41" s="581">
        <v>283588</v>
      </c>
      <c r="D41" s="87">
        <v>0</v>
      </c>
      <c r="E41" s="425">
        <v>5072095.9686554167</v>
      </c>
      <c r="F41" s="595">
        <f t="shared" si="1"/>
        <v>5355683.9686554167</v>
      </c>
    </row>
    <row r="42" spans="1:6" s="83" customFormat="1">
      <c r="A42" s="77">
        <v>51</v>
      </c>
      <c r="B42" s="83" t="s">
        <v>329</v>
      </c>
      <c r="C42" s="583">
        <v>214285.30000000002</v>
      </c>
      <c r="D42" s="95">
        <v>0</v>
      </c>
      <c r="E42" s="585">
        <v>12025484.892026136</v>
      </c>
      <c r="F42" s="595">
        <f t="shared" si="1"/>
        <v>12239770.192026136</v>
      </c>
    </row>
    <row r="43" spans="1:6">
      <c r="A43" s="77">
        <v>55</v>
      </c>
      <c r="B43" s="70" t="s">
        <v>330</v>
      </c>
      <c r="C43" s="581">
        <v>118724.40000000002</v>
      </c>
      <c r="D43" s="87">
        <v>0</v>
      </c>
      <c r="E43" s="425">
        <v>4544596.6218199776</v>
      </c>
      <c r="F43" s="595">
        <f t="shared" si="1"/>
        <v>4663321.021819978</v>
      </c>
    </row>
    <row r="44" spans="1:6" s="83" customFormat="1">
      <c r="A44" s="77">
        <v>60</v>
      </c>
      <c r="B44" s="70" t="s">
        <v>331</v>
      </c>
      <c r="C44" s="581">
        <v>46176.442000000003</v>
      </c>
      <c r="D44" s="87">
        <v>0</v>
      </c>
      <c r="E44" s="425">
        <v>3281074.5412454642</v>
      </c>
      <c r="F44" s="595">
        <f t="shared" si="1"/>
        <v>3327250.983245464</v>
      </c>
    </row>
    <row r="45" spans="1:6">
      <c r="A45" s="77">
        <v>61</v>
      </c>
      <c r="B45" s="83" t="s">
        <v>214</v>
      </c>
      <c r="C45" s="583">
        <v>95474.2</v>
      </c>
      <c r="D45" s="95">
        <v>0</v>
      </c>
      <c r="E45" s="585">
        <v>2452495.4319403376</v>
      </c>
      <c r="F45" s="595">
        <f t="shared" si="1"/>
        <v>2547969.6319403378</v>
      </c>
    </row>
    <row r="46" spans="1:6" s="83" customFormat="1">
      <c r="A46" s="77">
        <v>62</v>
      </c>
      <c r="B46" s="83" t="s">
        <v>332</v>
      </c>
      <c r="C46" s="583">
        <v>249258.4</v>
      </c>
      <c r="D46" s="95">
        <v>0</v>
      </c>
      <c r="E46" s="585">
        <v>3383194.4147574506</v>
      </c>
      <c r="F46" s="595">
        <f t="shared" si="1"/>
        <v>3632452.8147574505</v>
      </c>
    </row>
    <row r="47" spans="1:6">
      <c r="A47" s="77">
        <v>63</v>
      </c>
      <c r="B47" s="70" t="s">
        <v>333</v>
      </c>
      <c r="C47" s="581">
        <v>354785.60000000003</v>
      </c>
      <c r="D47" s="87">
        <v>0</v>
      </c>
      <c r="E47" s="425">
        <v>4751548.0094787972</v>
      </c>
      <c r="F47" s="595">
        <f t="shared" si="1"/>
        <v>5106333.6094787968</v>
      </c>
    </row>
    <row r="48" spans="1:6">
      <c r="A48" s="77">
        <v>2001</v>
      </c>
      <c r="B48" s="70" t="s">
        <v>335</v>
      </c>
      <c r="C48" s="581">
        <v>117995.40000000001</v>
      </c>
      <c r="D48" s="87">
        <v>3801620.0000000005</v>
      </c>
      <c r="E48" s="425">
        <v>863428.17738198838</v>
      </c>
      <c r="F48" s="595">
        <f t="shared" si="1"/>
        <v>4783043.577381989</v>
      </c>
    </row>
    <row r="49" spans="1:6">
      <c r="A49" s="77">
        <v>2004</v>
      </c>
      <c r="B49" s="83" t="s">
        <v>336</v>
      </c>
      <c r="C49" s="581">
        <v>311855.40000000002</v>
      </c>
      <c r="D49" s="87">
        <v>4767169.9999999991</v>
      </c>
      <c r="E49" s="425">
        <v>7018282.1564175244</v>
      </c>
      <c r="F49" s="595">
        <f t="shared" si="1"/>
        <v>12097307.556417525</v>
      </c>
    </row>
    <row r="50" spans="1:6" s="83" customFormat="1">
      <c r="A50" s="70">
        <v>5050</v>
      </c>
      <c r="B50" s="70" t="s">
        <v>340</v>
      </c>
      <c r="C50" s="583">
        <v>348706.2</v>
      </c>
      <c r="D50" s="95">
        <v>0</v>
      </c>
      <c r="E50" s="585">
        <v>10040391.106153121</v>
      </c>
      <c r="F50" s="595">
        <f t="shared" si="1"/>
        <v>10389097.30615312</v>
      </c>
    </row>
    <row r="51" spans="1:6">
      <c r="A51" s="77">
        <v>64</v>
      </c>
      <c r="B51" s="70" t="s">
        <v>334</v>
      </c>
      <c r="C51" s="584">
        <v>52498.9</v>
      </c>
      <c r="D51" s="96">
        <v>0</v>
      </c>
      <c r="E51" s="584">
        <v>0</v>
      </c>
      <c r="F51" s="595">
        <f t="shared" si="1"/>
        <v>52498.9</v>
      </c>
    </row>
    <row r="52" spans="1:6">
      <c r="A52" s="77">
        <v>3029</v>
      </c>
      <c r="B52" s="83" t="s">
        <v>337</v>
      </c>
      <c r="C52" s="581">
        <v>51233.4</v>
      </c>
      <c r="D52" s="87">
        <v>0</v>
      </c>
      <c r="E52" s="581">
        <v>0</v>
      </c>
      <c r="F52" s="595">
        <f t="shared" si="1"/>
        <v>51233.4</v>
      </c>
    </row>
    <row r="53" spans="1:6">
      <c r="A53" s="77">
        <v>3478</v>
      </c>
      <c r="B53" s="83" t="s">
        <v>338</v>
      </c>
      <c r="C53" s="581">
        <v>0</v>
      </c>
      <c r="D53" s="87">
        <v>0</v>
      </c>
      <c r="E53" s="581">
        <v>0</v>
      </c>
      <c r="F53" s="595">
        <f t="shared" si="1"/>
        <v>0</v>
      </c>
    </row>
    <row r="54" spans="1:6">
      <c r="A54" s="77">
        <v>4000</v>
      </c>
      <c r="B54" s="70" t="s">
        <v>258</v>
      </c>
      <c r="C54" s="581">
        <v>140136.1</v>
      </c>
      <c r="D54" s="87">
        <v>2436050</v>
      </c>
      <c r="E54" s="581">
        <v>0</v>
      </c>
      <c r="F54" s="595">
        <f t="shared" si="1"/>
        <v>2576186.1</v>
      </c>
    </row>
    <row r="55" spans="1:6">
      <c r="A55" s="77">
        <v>4013</v>
      </c>
      <c r="B55" s="586" t="s">
        <v>297</v>
      </c>
      <c r="C55" s="581">
        <v>0</v>
      </c>
      <c r="D55" s="87">
        <v>80000</v>
      </c>
      <c r="E55" s="581">
        <v>0</v>
      </c>
      <c r="F55" s="595">
        <f t="shared" si="1"/>
        <v>80000</v>
      </c>
    </row>
    <row r="56" spans="1:6" ht="13.5" customHeight="1">
      <c r="A56" s="70">
        <v>5034</v>
      </c>
      <c r="B56" s="70" t="s">
        <v>339</v>
      </c>
      <c r="C56" s="581">
        <v>49446.700000000004</v>
      </c>
      <c r="D56" s="87">
        <v>0</v>
      </c>
      <c r="E56" s="581">
        <v>0</v>
      </c>
      <c r="F56" s="595">
        <f t="shared" si="1"/>
        <v>49446.700000000004</v>
      </c>
    </row>
    <row r="57" spans="1:6">
      <c r="A57" s="606"/>
      <c r="B57" s="607" t="s">
        <v>215</v>
      </c>
      <c r="C57" s="608">
        <f>SUM(C5:C56)</f>
        <v>15140921.232000003</v>
      </c>
      <c r="D57" s="609">
        <f>SUM(D5:D56)</f>
        <v>294407060</v>
      </c>
      <c r="E57" s="608">
        <f>SUM(E5:E56)</f>
        <v>463908838.49889356</v>
      </c>
      <c r="F57" s="610">
        <f>SUM(F5:F56)</f>
        <v>773456819.73089385</v>
      </c>
    </row>
    <row r="60" spans="1:6">
      <c r="B60" s="586" t="s">
        <v>1000</v>
      </c>
    </row>
  </sheetData>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K64"/>
  <sheetViews>
    <sheetView zoomScaleNormal="100" workbookViewId="0">
      <selection sqref="A1:C1"/>
    </sheetView>
  </sheetViews>
  <sheetFormatPr defaultRowHeight="15"/>
  <cols>
    <col min="1" max="1" width="10.85546875" style="70" customWidth="1"/>
    <col min="2" max="2" width="41.42578125" style="70" bestFit="1" customWidth="1"/>
    <col min="3" max="3" width="10.7109375" style="149" customWidth="1"/>
    <col min="4" max="4" width="16.42578125" style="70" customWidth="1"/>
    <col min="5" max="5" width="21" style="143" customWidth="1"/>
    <col min="6" max="6" width="18.42578125" style="143" customWidth="1"/>
    <col min="7" max="7" width="20.28515625" style="97" customWidth="1"/>
    <col min="8" max="8" width="23.140625" style="88" customWidth="1"/>
    <col min="9" max="9" width="31.85546875" style="151" customWidth="1"/>
    <col min="10" max="10" width="26.42578125" style="97" customWidth="1"/>
    <col min="11" max="11" width="14.5703125" style="143" bestFit="1" customWidth="1"/>
    <col min="12" max="16384" width="9.140625" style="70"/>
  </cols>
  <sheetData>
    <row r="1" spans="1:11">
      <c r="A1" s="633" t="s">
        <v>1020</v>
      </c>
      <c r="B1" s="634"/>
      <c r="C1" s="634"/>
    </row>
    <row r="2" spans="1:11" s="92" customFormat="1" ht="64.5" customHeight="1">
      <c r="A2" s="124" t="s">
        <v>221</v>
      </c>
      <c r="B2" s="124" t="s">
        <v>227</v>
      </c>
      <c r="C2" s="125" t="s">
        <v>287</v>
      </c>
      <c r="D2" s="126" t="s">
        <v>288</v>
      </c>
      <c r="E2" s="127" t="s">
        <v>289</v>
      </c>
      <c r="F2" s="127" t="s">
        <v>290</v>
      </c>
      <c r="G2" s="128" t="s">
        <v>291</v>
      </c>
      <c r="H2" s="126" t="s">
        <v>1002</v>
      </c>
      <c r="I2" s="129" t="s">
        <v>292</v>
      </c>
      <c r="J2" s="128" t="s">
        <v>293</v>
      </c>
      <c r="K2" s="127" t="s">
        <v>294</v>
      </c>
    </row>
    <row r="3" spans="1:11">
      <c r="A3" s="77">
        <v>1</v>
      </c>
      <c r="B3" s="70" t="s">
        <v>205</v>
      </c>
      <c r="C3" s="131">
        <f>'#1-Meritus'!$C$7</f>
        <v>0</v>
      </c>
      <c r="D3" s="131">
        <f>'#1-Meritus'!$F$108</f>
        <v>828</v>
      </c>
      <c r="E3" s="131">
        <f>'#1-Meritus'!$F$121</f>
        <v>292347127</v>
      </c>
      <c r="F3" s="131">
        <f>'#1-Meritus'!K152</f>
        <v>23844609.524300002</v>
      </c>
      <c r="G3" s="132">
        <f t="shared" ref="G3:G34" si="0">F3/E3</f>
        <v>8.1562660693771757E-2</v>
      </c>
      <c r="H3" s="133">
        <f>'Rate Support-Attachment I'!F5</f>
        <v>7800481.2715666806</v>
      </c>
      <c r="I3" s="134">
        <f t="shared" ref="I3:I34" si="1">F3-H3</f>
        <v>16044128.25273332</v>
      </c>
      <c r="J3" s="132">
        <f t="shared" ref="J3:J34" si="2">I3/E3</f>
        <v>5.4880403366280799E-2</v>
      </c>
      <c r="K3" s="131">
        <f>'#1-Meritus'!$F$111</f>
        <v>7993597</v>
      </c>
    </row>
    <row r="4" spans="1:11">
      <c r="A4" s="77">
        <v>2</v>
      </c>
      <c r="B4" s="70" t="s">
        <v>298</v>
      </c>
      <c r="C4" s="131">
        <f>'#2-UMMC'!$C$7</f>
        <v>8288</v>
      </c>
      <c r="D4" s="131">
        <f>'#2-UMMC'!$F$108</f>
        <v>1164</v>
      </c>
      <c r="E4" s="131">
        <f>'#2-UMMC'!$F$121</f>
        <v>1305636000</v>
      </c>
      <c r="F4" s="131">
        <f>'#2-UMMC'!K152</f>
        <v>201474941.53068978</v>
      </c>
      <c r="G4" s="132">
        <f t="shared" si="0"/>
        <v>0.15431172358198592</v>
      </c>
      <c r="H4" s="133">
        <f>'Rate Support-Attachment I'!F6</f>
        <v>166358856.77705106</v>
      </c>
      <c r="I4" s="134">
        <f t="shared" si="1"/>
        <v>35116084.753638715</v>
      </c>
      <c r="J4" s="132">
        <f t="shared" si="2"/>
        <v>2.6895769382614079E-2</v>
      </c>
      <c r="K4" s="131">
        <f>'#2-UMMC'!$F$111</f>
        <v>55444257.280000001</v>
      </c>
    </row>
    <row r="5" spans="1:11">
      <c r="A5" s="77">
        <v>3</v>
      </c>
      <c r="B5" s="70" t="s">
        <v>299</v>
      </c>
      <c r="C5" s="131">
        <f>'#3-Prince Georges Hospital'!$C$7</f>
        <v>1678</v>
      </c>
      <c r="D5" s="131">
        <f>'#3-Prince Georges Hospital'!$F$108</f>
        <v>160</v>
      </c>
      <c r="E5" s="131">
        <f>'#3-Prince Georges Hospital'!$F$121</f>
        <v>217477100</v>
      </c>
      <c r="F5" s="131">
        <f>'#3-Prince Georges Hospital'!K152</f>
        <v>59720404.731124997</v>
      </c>
      <c r="G5" s="132">
        <f t="shared" si="0"/>
        <v>0.27460548596208517</v>
      </c>
      <c r="H5" s="133">
        <f>'Rate Support-Attachment I'!F7</f>
        <v>21789160.593202956</v>
      </c>
      <c r="I5" s="134">
        <f t="shared" si="1"/>
        <v>37931244.137922041</v>
      </c>
      <c r="J5" s="132">
        <f t="shared" si="2"/>
        <v>0.1744148884545639</v>
      </c>
      <c r="K5" s="131">
        <f>'#3-Prince Georges Hospital'!$F$111</f>
        <v>15861400</v>
      </c>
    </row>
    <row r="6" spans="1:11">
      <c r="A6" s="77">
        <v>4</v>
      </c>
      <c r="B6" s="70" t="s">
        <v>300</v>
      </c>
      <c r="C6" s="131">
        <f>'#4-Holy Cross Hospital'!$C$7</f>
        <v>3293</v>
      </c>
      <c r="D6" s="131">
        <f>'#4-Holy Cross Hospital'!$F$108</f>
        <v>5776</v>
      </c>
      <c r="E6" s="131">
        <f>'#4-Holy Cross Hospital'!$F$121</f>
        <v>390575586</v>
      </c>
      <c r="F6" s="131">
        <f>'#4-Holy Cross Hospital'!K152</f>
        <v>55856400</v>
      </c>
      <c r="G6" s="132">
        <f t="shared" si="0"/>
        <v>0.14301047480218079</v>
      </c>
      <c r="H6" s="133">
        <f>'Rate Support-Attachment I'!F8</f>
        <v>28887734.803648204</v>
      </c>
      <c r="I6" s="134">
        <f t="shared" si="1"/>
        <v>26968665.196351796</v>
      </c>
      <c r="J6" s="132">
        <f t="shared" si="2"/>
        <v>6.9048517529080269E-2</v>
      </c>
      <c r="K6" s="131">
        <f>'#4-Holy Cross Hospital'!$F$111</f>
        <v>30739060</v>
      </c>
    </row>
    <row r="7" spans="1:11">
      <c r="A7" s="77">
        <v>5</v>
      </c>
      <c r="B7" s="70" t="s">
        <v>206</v>
      </c>
      <c r="C7" s="131">
        <f>'#5-Frederick Memorial Hospital'!$C$7</f>
        <v>2110</v>
      </c>
      <c r="D7" s="131">
        <f>'#5-Frederick Memorial Hospital'!$F$108</f>
        <v>0</v>
      </c>
      <c r="E7" s="131">
        <f>'#5-Frederick Memorial Hospital'!$F$121</f>
        <v>319313000</v>
      </c>
      <c r="F7" s="131">
        <f>'#5-Frederick Memorial Hospital'!K152</f>
        <v>30580563.217099998</v>
      </c>
      <c r="G7" s="132">
        <f t="shared" si="0"/>
        <v>9.5769865984472916E-2</v>
      </c>
      <c r="H7" s="133">
        <f>'Rate Support-Attachment I'!F9</f>
        <v>12025352.340708636</v>
      </c>
      <c r="I7" s="134">
        <f t="shared" si="1"/>
        <v>18555210.876391362</v>
      </c>
      <c r="J7" s="132">
        <f t="shared" si="2"/>
        <v>5.8109788440781809E-2</v>
      </c>
      <c r="K7" s="131">
        <f>'#5-Frederick Memorial Hospital'!$F$111</f>
        <v>14227000</v>
      </c>
    </row>
    <row r="8" spans="1:11">
      <c r="A8" s="77">
        <v>6</v>
      </c>
      <c r="B8" s="83" t="s">
        <v>301</v>
      </c>
      <c r="C8" s="131">
        <f>'#6-UM Harford Memorial'!$C$7</f>
        <v>875</v>
      </c>
      <c r="D8" s="131">
        <f>'#6-UM Harford Memorial'!$F$108</f>
        <v>941.4</v>
      </c>
      <c r="E8" s="131">
        <f>'#6-UM Harford Memorial'!$F$121</f>
        <v>80416000</v>
      </c>
      <c r="F8" s="131">
        <f>'#6-UM Harford Memorial'!K152</f>
        <v>8026522.5489000008</v>
      </c>
      <c r="G8" s="132">
        <f t="shared" si="0"/>
        <v>9.9812506825756084E-2</v>
      </c>
      <c r="H8" s="133">
        <f>'Rate Support-Attachment I'!F10</f>
        <v>3150842.6456796248</v>
      </c>
      <c r="I8" s="134">
        <f t="shared" si="1"/>
        <v>4875679.903220376</v>
      </c>
      <c r="J8" s="132">
        <f t="shared" si="2"/>
        <v>6.0630719051188518E-2</v>
      </c>
      <c r="K8" s="131">
        <f>'#6-UM Harford Memorial'!$F$111</f>
        <v>3428179</v>
      </c>
    </row>
    <row r="9" spans="1:11">
      <c r="A9" s="77">
        <v>8</v>
      </c>
      <c r="B9" s="70" t="s">
        <v>302</v>
      </c>
      <c r="C9" s="131" t="str">
        <f>'#8-Mercy'!$C$7</f>
        <v>3920</v>
      </c>
      <c r="D9" s="131">
        <f>'#8-Mercy'!$F$108</f>
        <v>2785</v>
      </c>
      <c r="E9" s="131">
        <f>'#8-Mercy'!$F$121</f>
        <v>426907600</v>
      </c>
      <c r="F9" s="131">
        <f>'#8-Mercy'!K152</f>
        <v>61821824.667000003</v>
      </c>
      <c r="G9" s="132">
        <f t="shared" si="0"/>
        <v>0.14481312740040234</v>
      </c>
      <c r="H9" s="133">
        <f>'Rate Support-Attachment I'!F11</f>
        <v>26510040.926552381</v>
      </c>
      <c r="I9" s="134">
        <f t="shared" si="1"/>
        <v>35311783.740447626</v>
      </c>
      <c r="J9" s="132">
        <f t="shared" si="2"/>
        <v>8.2715284854257984E-2</v>
      </c>
      <c r="K9" s="131">
        <f>'#8-Mercy'!$F$111</f>
        <v>24885600</v>
      </c>
    </row>
    <row r="10" spans="1:11">
      <c r="A10" s="77">
        <v>9</v>
      </c>
      <c r="B10" s="70" t="s">
        <v>303</v>
      </c>
      <c r="C10" s="131">
        <f>'#9-Johns Hopkins'!$C$7</f>
        <v>0</v>
      </c>
      <c r="D10" s="131">
        <f>'#9-Johns Hopkins'!$F$108</f>
        <v>7063</v>
      </c>
      <c r="E10" s="131">
        <f>'#9-Johns Hopkins'!$F$121</f>
        <v>1928280000</v>
      </c>
      <c r="F10" s="131">
        <f>'#9-Johns Hopkins'!K152</f>
        <v>188270622.29142603</v>
      </c>
      <c r="G10" s="132">
        <f t="shared" si="0"/>
        <v>9.7636558119892358E-2</v>
      </c>
      <c r="H10" s="133">
        <f>'Rate Support-Attachment I'!F12</f>
        <v>139652057.49773127</v>
      </c>
      <c r="I10" s="134">
        <f t="shared" si="1"/>
        <v>48618564.793694764</v>
      </c>
      <c r="J10" s="132">
        <f t="shared" si="2"/>
        <v>2.5213436219685297E-2</v>
      </c>
      <c r="K10" s="131">
        <f>'#9-Johns Hopkins'!$F$111</f>
        <v>32721000</v>
      </c>
    </row>
    <row r="11" spans="1:11">
      <c r="A11" s="77">
        <v>10</v>
      </c>
      <c r="B11" s="70" t="s">
        <v>304</v>
      </c>
      <c r="C11" s="131">
        <f>'#10-UM Shore Health Dorchester'!$C$7</f>
        <v>627</v>
      </c>
      <c r="D11" s="131">
        <f>'#10-UM Shore Health Dorchester'!$F$108</f>
        <v>375</v>
      </c>
      <c r="E11" s="131">
        <f>'#10-UM Shore Health Dorchester'!$F$121</f>
        <v>39674000</v>
      </c>
      <c r="F11" s="131">
        <f>'#10-UM Shore Health Dorchester'!K152</f>
        <v>5394100.3189478032</v>
      </c>
      <c r="G11" s="132">
        <f t="shared" si="0"/>
        <v>0.13596058675575448</v>
      </c>
      <c r="H11" s="133">
        <f>'Rate Support-Attachment I'!F13</f>
        <v>1819933.380499989</v>
      </c>
      <c r="I11" s="134">
        <f t="shared" si="1"/>
        <v>3574166.9384478144</v>
      </c>
      <c r="J11" s="132">
        <f t="shared" si="2"/>
        <v>9.0088393871246022E-2</v>
      </c>
      <c r="K11" s="131">
        <f>'#10-UM Shore Health Dorchester'!$F$111</f>
        <v>2305000</v>
      </c>
    </row>
    <row r="12" spans="1:11">
      <c r="A12" s="77">
        <v>11</v>
      </c>
      <c r="B12" s="70" t="s">
        <v>207</v>
      </c>
      <c r="C12" s="131">
        <f>'#11-St. Agnes Hospital'!$C$7</f>
        <v>2690</v>
      </c>
      <c r="D12" s="131">
        <f>'#11-St. Agnes Hospital'!$F$108</f>
        <v>0</v>
      </c>
      <c r="E12" s="131">
        <f>'#11-St. Agnes Hospital'!$F$121</f>
        <v>392471131.77999997</v>
      </c>
      <c r="F12" s="131">
        <f>'#11-St. Agnes Hospital'!K152</f>
        <v>26869027.330627993</v>
      </c>
      <c r="G12" s="132">
        <f t="shared" si="0"/>
        <v>6.8461155878566507E-2</v>
      </c>
      <c r="H12" s="133">
        <f>'Rate Support-Attachment I'!F14</f>
        <v>17150267.547778182</v>
      </c>
      <c r="I12" s="134">
        <f t="shared" si="1"/>
        <v>9718759.782849811</v>
      </c>
      <c r="J12" s="132">
        <f t="shared" si="2"/>
        <v>2.4762992729609652E-2</v>
      </c>
      <c r="K12" s="131">
        <f>'#11-St. Agnes Hospital'!$F$111</f>
        <v>11750468.134</v>
      </c>
    </row>
    <row r="13" spans="1:11">
      <c r="A13" s="77">
        <v>12</v>
      </c>
      <c r="B13" s="70" t="s">
        <v>305</v>
      </c>
      <c r="C13" s="131">
        <f>'#12-Lifebridge Sinai Hospital'!$C$7</f>
        <v>4612</v>
      </c>
      <c r="D13" s="131">
        <f>'#12-Lifebridge Sinai Hospital'!$F$108</f>
        <v>5971</v>
      </c>
      <c r="E13" s="131">
        <f>'#12-Lifebridge Sinai Hospital'!$F$121</f>
        <v>669579000</v>
      </c>
      <c r="F13" s="131">
        <f>'#12-Lifebridge Sinai Hospital'!K152</f>
        <v>58776319.296700001</v>
      </c>
      <c r="G13" s="132">
        <f t="shared" si="0"/>
        <v>8.7781007613291342E-2</v>
      </c>
      <c r="H13" s="133">
        <f>'Rate Support-Attachment I'!F15</f>
        <v>28174026.938266829</v>
      </c>
      <c r="I13" s="134">
        <f t="shared" si="1"/>
        <v>30602292.358433172</v>
      </c>
      <c r="J13" s="132">
        <f t="shared" si="2"/>
        <v>4.5703781567870513E-2</v>
      </c>
      <c r="K13" s="131">
        <f>'#12-Lifebridge Sinai Hospital'!$F$111</f>
        <v>12880700</v>
      </c>
    </row>
    <row r="14" spans="1:11">
      <c r="A14" s="77">
        <v>13</v>
      </c>
      <c r="B14" s="70" t="s">
        <v>208</v>
      </c>
      <c r="C14" s="131">
        <f>'#13-Bon Secours'!$C$7</f>
        <v>785</v>
      </c>
      <c r="D14" s="131">
        <f>'#13-Bon Secours'!$F$108</f>
        <v>0</v>
      </c>
      <c r="E14" s="131">
        <f>'#13-Bon Secours'!$F$121</f>
        <v>119439002</v>
      </c>
      <c r="F14" s="131">
        <f>'#13-Bon Secours'!K152</f>
        <v>22271851.719999999</v>
      </c>
      <c r="G14" s="132">
        <f t="shared" si="0"/>
        <v>0.18647051086377964</v>
      </c>
      <c r="H14" s="133">
        <f>'Rate Support-Attachment I'!F16</f>
        <v>12044868.046866208</v>
      </c>
      <c r="I14" s="134">
        <f t="shared" si="1"/>
        <v>10226983.67313379</v>
      </c>
      <c r="J14" s="132">
        <f t="shared" si="2"/>
        <v>8.5625160139347026E-2</v>
      </c>
      <c r="K14" s="131">
        <f>'#13-Bon Secours'!$F$111</f>
        <v>12073632</v>
      </c>
    </row>
    <row r="15" spans="1:11">
      <c r="A15" s="77">
        <v>15</v>
      </c>
      <c r="B15" s="70" t="s">
        <v>306</v>
      </c>
      <c r="C15" s="131">
        <f>'#15-MedStar Franklin Square'!$C$7</f>
        <v>3309</v>
      </c>
      <c r="D15" s="131">
        <f>'#15-MedStar Franklin Square'!$F$108</f>
        <v>3360</v>
      </c>
      <c r="E15" s="131">
        <f>'#15-MedStar Franklin Square'!$F$121</f>
        <v>469241214</v>
      </c>
      <c r="F15" s="131">
        <f>'#15-MedStar Franklin Square'!K152</f>
        <v>35491348.329999998</v>
      </c>
      <c r="G15" s="132">
        <f t="shared" si="0"/>
        <v>7.5635616120454413E-2</v>
      </c>
      <c r="H15" s="133">
        <f>'Rate Support-Attachment I'!F17</f>
        <v>25232660.858762309</v>
      </c>
      <c r="I15" s="134">
        <f t="shared" si="1"/>
        <v>10258687.471237689</v>
      </c>
      <c r="J15" s="132">
        <f t="shared" si="2"/>
        <v>2.1862289937809448E-2</v>
      </c>
      <c r="K15" s="131">
        <f>'#15-MedStar Franklin Square'!$F$111</f>
        <v>13581700</v>
      </c>
    </row>
    <row r="16" spans="1:11">
      <c r="A16" s="77">
        <v>16</v>
      </c>
      <c r="B16" s="628" t="s">
        <v>1015</v>
      </c>
      <c r="C16" s="131" t="str">
        <f>'#16-Washington Adventist'!$C$7</f>
        <v>1389</v>
      </c>
      <c r="D16" s="131">
        <f>'#16-Washington Adventist'!$F$108</f>
        <v>1432.0092808609088</v>
      </c>
      <c r="E16" s="131">
        <f>'#16-Washington Adventist'!$F$121</f>
        <v>217791712.05199996</v>
      </c>
      <c r="F16" s="131">
        <f>'#16-Washington Adventist'!K152</f>
        <v>38552254.63022095</v>
      </c>
      <c r="G16" s="132">
        <f t="shared" si="0"/>
        <v>0.17701433294677538</v>
      </c>
      <c r="H16" s="133">
        <f>'Rate Support-Attachment I'!F18</f>
        <v>12498455.284539798</v>
      </c>
      <c r="I16" s="134">
        <f t="shared" si="1"/>
        <v>26053799.345681153</v>
      </c>
      <c r="J16" s="132">
        <f t="shared" si="2"/>
        <v>0.11962713870149727</v>
      </c>
      <c r="K16" s="131">
        <f>'#16-Washington Adventist'!$F$111</f>
        <v>14404325.460000001</v>
      </c>
    </row>
    <row r="17" spans="1:11">
      <c r="A17" s="77">
        <v>17</v>
      </c>
      <c r="B17" s="83" t="s">
        <v>308</v>
      </c>
      <c r="C17" s="131">
        <f>'#17-Garrett County Memorial'!$C$7</f>
        <v>344</v>
      </c>
      <c r="D17" s="131">
        <f>'#17-Garrett County Memorial'!$F$108</f>
        <v>80</v>
      </c>
      <c r="E17" s="131">
        <f>'#17-Garrett County Memorial'!$F$121</f>
        <v>38194377</v>
      </c>
      <c r="F17" s="131">
        <f>'#17-Garrett County Memorial'!K152</f>
        <v>4687445.0969200004</v>
      </c>
      <c r="G17" s="132">
        <f t="shared" si="0"/>
        <v>0.12272605197670852</v>
      </c>
      <c r="H17" s="133">
        <f>'Rate Support-Attachment I'!F19</f>
        <v>3088089.5434958874</v>
      </c>
      <c r="I17" s="134">
        <f t="shared" si="1"/>
        <v>1599355.553424113</v>
      </c>
      <c r="J17" s="132">
        <f t="shared" si="2"/>
        <v>4.1874110249896547E-2</v>
      </c>
      <c r="K17" s="131">
        <f>'#17-Garrett County Memorial'!$F$111</f>
        <v>3225760</v>
      </c>
    </row>
    <row r="18" spans="1:11">
      <c r="A18" s="77">
        <v>18</v>
      </c>
      <c r="B18" s="70" t="s">
        <v>309</v>
      </c>
      <c r="C18" s="131">
        <f>'#18-MedStar Montgomery General'!$C$7</f>
        <v>1166</v>
      </c>
      <c r="D18" s="131">
        <f>'#18-MedStar Montgomery General'!$F$108</f>
        <v>0</v>
      </c>
      <c r="E18" s="131">
        <f>'#18-MedStar Montgomery General'!$F$121</f>
        <v>141655632</v>
      </c>
      <c r="F18" s="131">
        <f>'#18-MedStar Montgomery General'!K152</f>
        <v>9749053</v>
      </c>
      <c r="G18" s="132">
        <f t="shared" si="0"/>
        <v>6.882220538891104E-2</v>
      </c>
      <c r="H18" s="133">
        <f>'Rate Support-Attachment I'!F20</f>
        <v>5570270.3436977621</v>
      </c>
      <c r="I18" s="134">
        <f t="shared" si="1"/>
        <v>4178782.6563022379</v>
      </c>
      <c r="J18" s="132">
        <f t="shared" si="2"/>
        <v>2.9499587113502399E-2</v>
      </c>
      <c r="K18" s="131">
        <f>'#18-MedStar Montgomery General'!$F$111</f>
        <v>4722141</v>
      </c>
    </row>
    <row r="19" spans="1:11">
      <c r="A19" s="77">
        <v>19</v>
      </c>
      <c r="B19" s="70" t="s">
        <v>310</v>
      </c>
      <c r="C19" s="131">
        <f>'#19-Peninsula Regional'!$C$7</f>
        <v>2538</v>
      </c>
      <c r="D19" s="131">
        <f>'#19-Peninsula Regional'!$F$108</f>
        <v>184</v>
      </c>
      <c r="E19" s="131">
        <f>'#19-Peninsula Regional'!$F$121</f>
        <v>368170415</v>
      </c>
      <c r="F19" s="131">
        <f>'#19-Peninsula Regional'!K152</f>
        <v>35900136.009999998</v>
      </c>
      <c r="G19" s="132">
        <f t="shared" si="0"/>
        <v>9.750956227702326E-2</v>
      </c>
      <c r="H19" s="133">
        <f>'Rate Support-Attachment I'!F21</f>
        <v>12090328.665767927</v>
      </c>
      <c r="I19" s="134">
        <f t="shared" si="1"/>
        <v>23809807.344232071</v>
      </c>
      <c r="J19" s="132">
        <f t="shared" si="2"/>
        <v>6.4670615492643732E-2</v>
      </c>
      <c r="K19" s="131">
        <f>'#19-Peninsula Regional'!$F$111</f>
        <v>13261500</v>
      </c>
    </row>
    <row r="20" spans="1:11">
      <c r="A20" s="77">
        <v>22</v>
      </c>
      <c r="B20" s="70" t="s">
        <v>311</v>
      </c>
      <c r="C20" s="131">
        <f>'#22-Suburban'!$C$7</f>
        <v>1753</v>
      </c>
      <c r="D20" s="131">
        <f>'#22-Suburban'!$F$108</f>
        <v>1796.6999999999998</v>
      </c>
      <c r="E20" s="131">
        <f>'#22-Suburban'!$F$121</f>
        <v>225204531.06999999</v>
      </c>
      <c r="F20" s="131">
        <f>'#22-Suburban'!K152</f>
        <v>21432491.732343487</v>
      </c>
      <c r="G20" s="132">
        <f t="shared" si="0"/>
        <v>9.5169007615045084E-2</v>
      </c>
      <c r="H20" s="133">
        <f>'Rate Support-Attachment I'!F22</f>
        <v>4942386.3962266129</v>
      </c>
      <c r="I20" s="134">
        <f t="shared" si="1"/>
        <v>16490105.336116875</v>
      </c>
      <c r="J20" s="132">
        <f t="shared" si="2"/>
        <v>7.3222795552862471E-2</v>
      </c>
      <c r="K20" s="131">
        <f>'#22-Suburban'!$F$111</f>
        <v>4501300</v>
      </c>
    </row>
    <row r="21" spans="1:11">
      <c r="A21" s="77">
        <v>23</v>
      </c>
      <c r="B21" s="70" t="s">
        <v>312</v>
      </c>
      <c r="C21" s="131">
        <f>'#23-Anne Arundel Medical Center'!$C$7</f>
        <v>4136</v>
      </c>
      <c r="D21" s="131">
        <f>'#23-Anne Arundel Medical Center'!$F$108</f>
        <v>1440</v>
      </c>
      <c r="E21" s="131">
        <f>'#23-Anne Arundel Medical Center'!$F$121</f>
        <v>514545000</v>
      </c>
      <c r="F21" s="131">
        <f>'#23-Anne Arundel Medical Center'!K152</f>
        <v>36050991.331767999</v>
      </c>
      <c r="G21" s="132">
        <f t="shared" si="0"/>
        <v>7.0063825966179827E-2</v>
      </c>
      <c r="H21" s="133">
        <f>'Rate Support-Attachment I'!F23</f>
        <v>5302805.2458036188</v>
      </c>
      <c r="I21" s="134">
        <f t="shared" si="1"/>
        <v>30748186.085964382</v>
      </c>
      <c r="J21" s="132">
        <f t="shared" si="2"/>
        <v>5.9758011614075311E-2</v>
      </c>
      <c r="K21" s="131">
        <f>'#23-Anne Arundel Medical Center'!$F$111</f>
        <v>5688100</v>
      </c>
    </row>
    <row r="22" spans="1:11">
      <c r="A22" s="77">
        <v>24</v>
      </c>
      <c r="B22" s="70" t="s">
        <v>313</v>
      </c>
      <c r="C22" s="131">
        <f>'#24-MedStar Union Memorial'!$C$7</f>
        <v>2256</v>
      </c>
      <c r="D22" s="131">
        <f>'#24-MedStar Union Memorial'!$F$108</f>
        <v>0</v>
      </c>
      <c r="E22" s="131">
        <f>'#24-MedStar Union Memorial'!$F$121</f>
        <v>394669299</v>
      </c>
      <c r="F22" s="131">
        <f>'#24-MedStar Union Memorial'!K152</f>
        <v>42190902</v>
      </c>
      <c r="G22" s="132">
        <f t="shared" si="0"/>
        <v>0.10690191030034997</v>
      </c>
      <c r="H22" s="133">
        <f>'Rate Support-Attachment I'!F24</f>
        <v>25355644.139221378</v>
      </c>
      <c r="I22" s="134">
        <f t="shared" si="1"/>
        <v>16835257.860778622</v>
      </c>
      <c r="J22" s="132">
        <f t="shared" si="2"/>
        <v>4.2656618853899306E-2</v>
      </c>
      <c r="K22" s="131">
        <f>'#24-MedStar Union Memorial'!$F$111</f>
        <v>13169128</v>
      </c>
    </row>
    <row r="23" spans="1:11">
      <c r="A23" s="77">
        <v>27</v>
      </c>
      <c r="B23" s="70" t="s">
        <v>314</v>
      </c>
      <c r="C23" s="131">
        <f>'#27-Western Maryland Regional'!$C$7</f>
        <v>2141</v>
      </c>
      <c r="D23" s="131">
        <f>'#27-Western Maryland Regional'!$F$108</f>
        <v>324</v>
      </c>
      <c r="E23" s="131">
        <f>'#27-Western Maryland Regional'!$F$121</f>
        <v>282308921</v>
      </c>
      <c r="F23" s="131">
        <f>'#27-Western Maryland Regional'!K152</f>
        <v>36523849.900601998</v>
      </c>
      <c r="G23" s="132">
        <f t="shared" si="0"/>
        <v>0.1293754719873057</v>
      </c>
      <c r="H23" s="133">
        <f>'Rate Support-Attachment I'!F25</f>
        <v>10816101.067292545</v>
      </c>
      <c r="I23" s="134">
        <f t="shared" si="1"/>
        <v>25707748.833309453</v>
      </c>
      <c r="J23" s="132">
        <f t="shared" si="2"/>
        <v>9.1062474194038859E-2</v>
      </c>
      <c r="K23" s="131">
        <f>'#27-Western Maryland Regional'!$F$111</f>
        <v>14413981</v>
      </c>
    </row>
    <row r="24" spans="1:11">
      <c r="A24" s="77">
        <v>28</v>
      </c>
      <c r="B24" s="70" t="s">
        <v>315</v>
      </c>
      <c r="C24" s="131">
        <f>'#28-MedStar St. Marys'!$C$7</f>
        <v>1277</v>
      </c>
      <c r="D24" s="131">
        <f>'#28-MedStar St. Marys'!$F$108</f>
        <v>9370</v>
      </c>
      <c r="E24" s="131">
        <f>'#28-MedStar St. Marys'!$F$121</f>
        <v>131503457</v>
      </c>
      <c r="F24" s="131">
        <f>'#28-MedStar St. Marys'!K152</f>
        <v>10240708</v>
      </c>
      <c r="G24" s="132">
        <f t="shared" si="0"/>
        <v>7.7874059234807794E-2</v>
      </c>
      <c r="H24" s="133">
        <f>'Rate Support-Attachment I'!F26</f>
        <v>4758782.91207653</v>
      </c>
      <c r="I24" s="134">
        <f t="shared" si="1"/>
        <v>5481925.08792347</v>
      </c>
      <c r="J24" s="132">
        <f t="shared" si="2"/>
        <v>4.1686547357636917E-2</v>
      </c>
      <c r="K24" s="131">
        <f>'#28-MedStar St. Marys'!$F$111</f>
        <v>3430456</v>
      </c>
    </row>
    <row r="25" spans="1:11">
      <c r="A25" s="77">
        <v>29</v>
      </c>
      <c r="B25" s="70" t="s">
        <v>316</v>
      </c>
      <c r="C25" s="131">
        <f>'#29-Johns Hopkins Bayview'!$C$7</f>
        <v>3367</v>
      </c>
      <c r="D25" s="131">
        <f>'#29-Johns Hopkins Bayview'!$F$108</f>
        <v>1256</v>
      </c>
      <c r="E25" s="131">
        <f>'#29-Johns Hopkins Bayview'!$F$121</f>
        <v>530603000</v>
      </c>
      <c r="F25" s="131">
        <f>'#29-Johns Hopkins Bayview'!K152</f>
        <v>58159947.670828216</v>
      </c>
      <c r="G25" s="132">
        <f t="shared" si="0"/>
        <v>0.10961104191048339</v>
      </c>
      <c r="H25" s="133">
        <f>'Rate Support-Attachment I'!F27</f>
        <v>41880614.499303862</v>
      </c>
      <c r="I25" s="134">
        <f t="shared" si="1"/>
        <v>16279333.171524353</v>
      </c>
      <c r="J25" s="132">
        <f t="shared" si="2"/>
        <v>3.0680816300556826E-2</v>
      </c>
      <c r="K25" s="131">
        <f>'#29-Johns Hopkins Bayview'!$F$111</f>
        <v>22183000</v>
      </c>
    </row>
    <row r="26" spans="1:11">
      <c r="A26" s="77">
        <v>30</v>
      </c>
      <c r="B26" s="70" t="s">
        <v>317</v>
      </c>
      <c r="C26" s="131">
        <f>'#30-UM Shore Health Chester Riv'!$C$7</f>
        <v>374</v>
      </c>
      <c r="D26" s="131">
        <f>'#30-UM Shore Health Chester Riv'!$F$108</f>
        <v>500</v>
      </c>
      <c r="E26" s="131">
        <f>'#30-UM Shore Health Chester Riv'!$F$121</f>
        <v>47354000</v>
      </c>
      <c r="F26" s="131">
        <f>'#30-UM Shore Health Chester Riv'!K152</f>
        <v>7895986.8141858727</v>
      </c>
      <c r="G26" s="132">
        <f t="shared" si="0"/>
        <v>0.16674381919554573</v>
      </c>
      <c r="H26" s="133">
        <f>'Rate Support-Attachment I'!F28</f>
        <v>1684863.2004017334</v>
      </c>
      <c r="I26" s="134">
        <f t="shared" si="1"/>
        <v>6211123.613784139</v>
      </c>
      <c r="J26" s="132">
        <f t="shared" si="2"/>
        <v>0.1311636527808451</v>
      </c>
      <c r="K26" s="131">
        <f>'#30-UM Shore Health Chester Riv'!$F$111</f>
        <v>2067000</v>
      </c>
    </row>
    <row r="27" spans="1:11">
      <c r="A27" s="77">
        <v>32</v>
      </c>
      <c r="B27" s="70" t="s">
        <v>318</v>
      </c>
      <c r="C27" s="131">
        <f>'#32-Union Hospital Cecil Co'!$C$7</f>
        <v>1109</v>
      </c>
      <c r="D27" s="131">
        <f>'#32-Union Hospital Cecil Co'!$F$108</f>
        <v>2179</v>
      </c>
      <c r="E27" s="131">
        <f>'#32-Union Hospital Cecil Co'!$F$121</f>
        <v>146635757</v>
      </c>
      <c r="F27" s="131">
        <f>'#32-Union Hospital Cecil Co'!K152</f>
        <v>10648111</v>
      </c>
      <c r="G27" s="132">
        <f t="shared" si="0"/>
        <v>7.2616060487893139E-2</v>
      </c>
      <c r="H27" s="133">
        <f>'Rate Support-Attachment I'!F29</f>
        <v>3615341.9225015165</v>
      </c>
      <c r="I27" s="134">
        <f t="shared" si="1"/>
        <v>7032769.0774984835</v>
      </c>
      <c r="J27" s="132">
        <f t="shared" si="2"/>
        <v>4.7960805886510229E-2</v>
      </c>
      <c r="K27" s="131">
        <f>'#32-Union Hospital Cecil Co'!$F$111</f>
        <v>3064396</v>
      </c>
    </row>
    <row r="28" spans="1:11">
      <c r="A28" s="77">
        <v>33</v>
      </c>
      <c r="B28" s="70" t="s">
        <v>319</v>
      </c>
      <c r="C28" s="131">
        <f>'#33-Carroll Hospital Center'!$C$7</f>
        <v>2027</v>
      </c>
      <c r="D28" s="131">
        <f>'#33-Carroll Hospital Center'!$F$108</f>
        <v>2080</v>
      </c>
      <c r="E28" s="131">
        <f>'#33-Carroll Hospital Center'!$F$121</f>
        <v>209384000</v>
      </c>
      <c r="F28" s="131">
        <f>'#33-Carroll Hospital Center'!K152</f>
        <v>16040969.5</v>
      </c>
      <c r="G28" s="132">
        <f t="shared" si="0"/>
        <v>7.6610292572498379E-2</v>
      </c>
      <c r="H28" s="133">
        <f>'Rate Support-Attachment I'!F30</f>
        <v>4129041.7386139743</v>
      </c>
      <c r="I28" s="134">
        <f t="shared" si="1"/>
        <v>11911927.761386026</v>
      </c>
      <c r="J28" s="132">
        <f t="shared" si="2"/>
        <v>5.689034387243546E-2</v>
      </c>
      <c r="K28" s="131">
        <f>'#33-Carroll Hospital Center'!$F$111</f>
        <v>3355681</v>
      </c>
    </row>
    <row r="29" spans="1:11">
      <c r="A29" s="77">
        <v>34</v>
      </c>
      <c r="B29" s="70" t="s">
        <v>320</v>
      </c>
      <c r="C29" s="131">
        <f>'#34-MedStar Harbor Hospital'!$C$7</f>
        <v>1241</v>
      </c>
      <c r="D29" s="131">
        <f>'#34-MedStar Harbor Hospital'!$F$108</f>
        <v>177</v>
      </c>
      <c r="E29" s="131">
        <f>'#34-MedStar Harbor Hospital'!$F$121</f>
        <v>189700114</v>
      </c>
      <c r="F29" s="131">
        <f>'#34-MedStar Harbor Hospital'!K152</f>
        <v>22372525.899999999</v>
      </c>
      <c r="G29" s="132">
        <f t="shared" si="0"/>
        <v>0.11793628073412754</v>
      </c>
      <c r="H29" s="133">
        <f>'Rate Support-Attachment I'!F31</f>
        <v>15125327.69911696</v>
      </c>
      <c r="I29" s="134">
        <f t="shared" si="1"/>
        <v>7247198.2008830383</v>
      </c>
      <c r="J29" s="132">
        <f t="shared" si="2"/>
        <v>3.8203446735319509E-2</v>
      </c>
      <c r="K29" s="131">
        <f>'#34-MedStar Harbor Hospital'!$F$111</f>
        <v>6997841.9000000004</v>
      </c>
    </row>
    <row r="30" spans="1:11">
      <c r="A30" s="77">
        <v>35</v>
      </c>
      <c r="B30" s="70" t="s">
        <v>321</v>
      </c>
      <c r="C30" s="131">
        <f>'#35-UM Charles Regional'!$C$7</f>
        <v>0</v>
      </c>
      <c r="D30" s="131">
        <f>'#35-UM Charles Regional'!$F$108</f>
        <v>1622</v>
      </c>
      <c r="E30" s="131">
        <f>'#35-UM Charles Regional'!$F$121</f>
        <v>108755000</v>
      </c>
      <c r="F30" s="131">
        <f>'#35-UM Charles Regional'!K152</f>
        <v>9583933</v>
      </c>
      <c r="G30" s="132">
        <f t="shared" si="0"/>
        <v>8.812406785894901E-2</v>
      </c>
      <c r="H30" s="133">
        <f>'Rate Support-Attachment I'!F32</f>
        <v>2145438.5421946179</v>
      </c>
      <c r="I30" s="134">
        <f t="shared" si="1"/>
        <v>7438494.4578053821</v>
      </c>
      <c r="J30" s="132">
        <f t="shared" si="2"/>
        <v>6.83968043566308E-2</v>
      </c>
      <c r="K30" s="131">
        <f>'#35-UM Charles Regional'!$F$111</f>
        <v>1864000</v>
      </c>
    </row>
    <row r="31" spans="1:11">
      <c r="A31" s="77">
        <v>37</v>
      </c>
      <c r="B31" s="70" t="s">
        <v>322</v>
      </c>
      <c r="C31" s="131">
        <f>'#37-UM Shore Health Easton'!$C$7</f>
        <v>1292</v>
      </c>
      <c r="D31" s="131">
        <f>'#37-UM Shore Health Easton'!$F$108</f>
        <v>820</v>
      </c>
      <c r="E31" s="131">
        <f>'#37-UM Shore Health Easton'!$F$121</f>
        <v>160829000</v>
      </c>
      <c r="F31" s="131">
        <f>'#37-UM Shore Health Easton'!K152</f>
        <v>15078264.305683417</v>
      </c>
      <c r="G31" s="132">
        <f t="shared" si="0"/>
        <v>9.3753392147457343E-2</v>
      </c>
      <c r="H31" s="133">
        <f>'Rate Support-Attachment I'!F33</f>
        <v>4515631.6173485508</v>
      </c>
      <c r="I31" s="134">
        <f t="shared" si="1"/>
        <v>10562632.688334867</v>
      </c>
      <c r="J31" s="132">
        <f t="shared" si="2"/>
        <v>6.5676169648103688E-2</v>
      </c>
      <c r="K31" s="131">
        <f>'#37-UM Shore Health Easton'!$F$111</f>
        <v>5828000</v>
      </c>
    </row>
    <row r="32" spans="1:11">
      <c r="A32" s="77">
        <v>38</v>
      </c>
      <c r="B32" s="70" t="s">
        <v>323</v>
      </c>
      <c r="C32" s="131" t="str">
        <f>'#38-UM Midtown'!$C$7</f>
        <v>1,120</v>
      </c>
      <c r="D32" s="131">
        <f>'#38-UM Midtown'!$F$108</f>
        <v>1188</v>
      </c>
      <c r="E32" s="131">
        <f>'#38-UM Midtown'!$F$121</f>
        <v>178869000</v>
      </c>
      <c r="F32" s="131">
        <f>'#38-UM Midtown'!K152</f>
        <v>35810878.452399999</v>
      </c>
      <c r="G32" s="132">
        <f t="shared" si="0"/>
        <v>0.20020729389888689</v>
      </c>
      <c r="H32" s="133">
        <f>'Rate Support-Attachment I'!F34</f>
        <v>16500055.250882108</v>
      </c>
      <c r="I32" s="134">
        <f t="shared" si="1"/>
        <v>19310823.201517891</v>
      </c>
      <c r="J32" s="132">
        <f t="shared" si="2"/>
        <v>0.10796070421100297</v>
      </c>
      <c r="K32" s="131">
        <f>'#38-UM Midtown'!$F$111</f>
        <v>14755634</v>
      </c>
    </row>
    <row r="33" spans="1:11">
      <c r="A33" s="77">
        <v>39</v>
      </c>
      <c r="B33" s="70" t="s">
        <v>324</v>
      </c>
      <c r="C33" s="131">
        <f>'#39-Calvert Memorial'!$C$7</f>
        <v>1400</v>
      </c>
      <c r="D33" s="131">
        <f>'#39-Calvert Memorial'!$F$108</f>
        <v>183</v>
      </c>
      <c r="E33" s="131">
        <f>'#39-Calvert Memorial'!$F$121</f>
        <v>119481772</v>
      </c>
      <c r="F33" s="131">
        <f>'#39-Calvert Memorial'!K152</f>
        <v>19895054.324239265</v>
      </c>
      <c r="G33" s="132">
        <f t="shared" si="0"/>
        <v>0.16651120912601852</v>
      </c>
      <c r="H33" s="133">
        <f>'Rate Support-Attachment I'!F35</f>
        <v>6923182.6457510013</v>
      </c>
      <c r="I33" s="134">
        <f t="shared" si="1"/>
        <v>12971871.678488264</v>
      </c>
      <c r="J33" s="132">
        <f t="shared" si="2"/>
        <v>0.10856778788389801</v>
      </c>
      <c r="K33" s="131">
        <f>'#39-Calvert Memorial'!$F$111</f>
        <v>7010751</v>
      </c>
    </row>
    <row r="34" spans="1:11">
      <c r="A34" s="77">
        <v>40</v>
      </c>
      <c r="B34" s="70" t="s">
        <v>325</v>
      </c>
      <c r="C34" s="131">
        <f>'#40-Lifebridge Northwest'!$C$7</f>
        <v>1607</v>
      </c>
      <c r="D34" s="131">
        <f>'#40-Lifebridge Northwest'!$F$108</f>
        <v>583</v>
      </c>
      <c r="E34" s="131">
        <f>'#40-Lifebridge Northwest'!$F$121</f>
        <v>212164000</v>
      </c>
      <c r="F34" s="131">
        <f>'#40-Lifebridge Northwest'!K152</f>
        <v>17551055.254600003</v>
      </c>
      <c r="G34" s="132">
        <f t="shared" si="0"/>
        <v>8.2724002444335532E-2</v>
      </c>
      <c r="H34" s="133">
        <f>'Rate Support-Attachment I'!F36</f>
        <v>6036563.6000206945</v>
      </c>
      <c r="I34" s="134">
        <f t="shared" si="1"/>
        <v>11514491.654579308</v>
      </c>
      <c r="J34" s="132">
        <f t="shared" si="2"/>
        <v>5.4271656146091266E-2</v>
      </c>
      <c r="K34" s="131">
        <f>'#40-Lifebridge Northwest'!$F$111</f>
        <v>6203971</v>
      </c>
    </row>
    <row r="35" spans="1:11">
      <c r="A35" s="77">
        <v>43</v>
      </c>
      <c r="B35" s="70" t="s">
        <v>326</v>
      </c>
      <c r="C35" s="131">
        <f>'#43-UM BWMC'!$C$7</f>
        <v>2909</v>
      </c>
      <c r="D35" s="131">
        <f>'#43-UM BWMC'!$F$108</f>
        <v>104</v>
      </c>
      <c r="E35" s="131">
        <f>'#43-UM BWMC'!$F$121</f>
        <v>319031000</v>
      </c>
      <c r="F35" s="131">
        <f>'#43-UM BWMC'!K152</f>
        <v>31234487.140000001</v>
      </c>
      <c r="G35" s="132">
        <f t="shared" ref="G35:G66" si="3">F35/E35</f>
        <v>9.7904238584965095E-2</v>
      </c>
      <c r="H35" s="133">
        <f>'Rate Support-Attachment I'!F37</f>
        <v>11014240.724411268</v>
      </c>
      <c r="I35" s="134">
        <f t="shared" ref="I35:I66" si="4">F35-H35</f>
        <v>20220246.415588733</v>
      </c>
      <c r="J35" s="132">
        <f t="shared" ref="J35:J66" si="5">I35/E35</f>
        <v>6.3380193196237139E-2</v>
      </c>
      <c r="K35" s="131">
        <f>'#43-UM BWMC'!$F$111</f>
        <v>13307037.59</v>
      </c>
    </row>
    <row r="36" spans="1:11">
      <c r="A36" s="77">
        <v>44</v>
      </c>
      <c r="B36" s="70" t="s">
        <v>212</v>
      </c>
      <c r="C36" s="131">
        <f>'#44-GBMC'!$C$7</f>
        <v>2559</v>
      </c>
      <c r="D36" s="131">
        <f>'#44-GBMC'!$F$108</f>
        <v>4370</v>
      </c>
      <c r="E36" s="131">
        <f>'#44-GBMC'!$F$121</f>
        <v>381697000</v>
      </c>
      <c r="F36" s="131">
        <f>'#44-GBMC'!K152</f>
        <v>18320492.252</v>
      </c>
      <c r="G36" s="132">
        <f t="shared" si="3"/>
        <v>4.7997475096739038E-2</v>
      </c>
      <c r="H36" s="133">
        <f>'Rate Support-Attachment I'!F38</f>
        <v>9857985.5805849712</v>
      </c>
      <c r="I36" s="134">
        <f t="shared" si="4"/>
        <v>8462506.6714150291</v>
      </c>
      <c r="J36" s="132">
        <f t="shared" si="5"/>
        <v>2.2170744520955181E-2</v>
      </c>
      <c r="K36" s="131">
        <f>'#44-GBMC'!$F$111</f>
        <v>4337420</v>
      </c>
    </row>
    <row r="37" spans="1:11">
      <c r="A37" s="77">
        <v>45</v>
      </c>
      <c r="B37" s="70" t="s">
        <v>213</v>
      </c>
      <c r="C37" s="131">
        <f>'#45-McCready'!$C$7</f>
        <v>250</v>
      </c>
      <c r="D37" s="131">
        <f>'#45-McCready'!$F$108</f>
        <v>30</v>
      </c>
      <c r="E37" s="131">
        <f>'#45-McCready'!$F$121</f>
        <v>14682491</v>
      </c>
      <c r="F37" s="131">
        <f>'#45-McCready'!K152</f>
        <v>758175.18799999997</v>
      </c>
      <c r="G37" s="132">
        <f t="shared" si="3"/>
        <v>5.1638048884211814E-2</v>
      </c>
      <c r="H37" s="133">
        <f>'Rate Support-Attachment I'!F39</f>
        <v>664775.05196037656</v>
      </c>
      <c r="I37" s="134">
        <f t="shared" si="4"/>
        <v>93400.136039623409</v>
      </c>
      <c r="J37" s="132">
        <f t="shared" si="5"/>
        <v>6.3613276547980456E-3</v>
      </c>
      <c r="K37" s="131">
        <f>'#45-McCready'!$F$111</f>
        <v>572384</v>
      </c>
    </row>
    <row r="38" spans="1:11">
      <c r="A38" s="77">
        <v>48</v>
      </c>
      <c r="B38" s="70" t="s">
        <v>327</v>
      </c>
      <c r="C38" s="131">
        <f>'#48-Howard County'!$C$7</f>
        <v>1671</v>
      </c>
      <c r="D38" s="131">
        <f>'#48-Howard County'!$F$108</f>
        <v>803</v>
      </c>
      <c r="E38" s="131">
        <f>'#48-Howard County'!$F$121</f>
        <v>231080000</v>
      </c>
      <c r="F38" s="131">
        <f>'#48-Howard County'!K152</f>
        <v>21136745.136809818</v>
      </c>
      <c r="G38" s="132">
        <f t="shared" si="3"/>
        <v>9.1469383489743025E-2</v>
      </c>
      <c r="H38" s="133">
        <f>'Rate Support-Attachment I'!F40</f>
        <v>7393014.6694894331</v>
      </c>
      <c r="I38" s="134">
        <f t="shared" si="4"/>
        <v>13743730.467320386</v>
      </c>
      <c r="J38" s="132">
        <f t="shared" si="5"/>
        <v>5.947607091622116E-2</v>
      </c>
      <c r="K38" s="131">
        <f>'#48-Howard County'!$F$111</f>
        <v>6010719.6799999997</v>
      </c>
    </row>
    <row r="39" spans="1:11">
      <c r="A39" s="77">
        <v>49</v>
      </c>
      <c r="B39" s="70" t="s">
        <v>328</v>
      </c>
      <c r="C39" s="131">
        <f>'#49-UM Upper Chesapeake Medical'!$C$7</f>
        <v>2037</v>
      </c>
      <c r="D39" s="131">
        <f>'#49-UM Upper Chesapeake Medical'!$F$108</f>
        <v>2196.6</v>
      </c>
      <c r="E39" s="131">
        <f>'#49-UM Upper Chesapeake Medical'!$F$121</f>
        <v>236718000</v>
      </c>
      <c r="F39" s="131">
        <f>'#49-UM Upper Chesapeake Medical'!K152</f>
        <v>15009652.244859997</v>
      </c>
      <c r="G39" s="132">
        <f t="shared" si="3"/>
        <v>6.3407312687924017E-2</v>
      </c>
      <c r="H39" s="133">
        <f>'Rate Support-Attachment I'!F41</f>
        <v>5355683.9686554167</v>
      </c>
      <c r="I39" s="134">
        <f t="shared" si="4"/>
        <v>9653968.2762045804</v>
      </c>
      <c r="J39" s="132">
        <f t="shared" si="5"/>
        <v>4.0782569454813664E-2</v>
      </c>
      <c r="K39" s="131">
        <f>'#49-UM Upper Chesapeake Medical'!$F$111</f>
        <v>4956053.3099999996</v>
      </c>
    </row>
    <row r="40" spans="1:11">
      <c r="A40" s="77">
        <v>51</v>
      </c>
      <c r="B40" s="83" t="s">
        <v>329</v>
      </c>
      <c r="C40" s="131">
        <f>'#51-Doctors Community Hospital'!$C$7</f>
        <v>1466</v>
      </c>
      <c r="D40" s="131">
        <f>'#51-Doctors Community Hospital'!$F$108</f>
        <v>2200</v>
      </c>
      <c r="E40" s="131">
        <f>'#51-Doctors Community Hospital'!$F$121</f>
        <v>176796204</v>
      </c>
      <c r="F40" s="131">
        <f>'#51-Doctors Community Hospital'!K152</f>
        <v>18627103.289999999</v>
      </c>
      <c r="G40" s="132">
        <f t="shared" si="3"/>
        <v>0.10535918118468199</v>
      </c>
      <c r="H40" s="133">
        <f>'Rate Support-Attachment I'!F42</f>
        <v>12239770.192026136</v>
      </c>
      <c r="I40" s="134">
        <f t="shared" si="4"/>
        <v>6387333.0979738627</v>
      </c>
      <c r="J40" s="132">
        <f t="shared" si="5"/>
        <v>3.6128225343423449E-2</v>
      </c>
      <c r="K40" s="131">
        <f>'#51-Doctors Community Hospital'!$F$111</f>
        <v>14726686</v>
      </c>
    </row>
    <row r="41" spans="1:11">
      <c r="A41" s="77">
        <v>55</v>
      </c>
      <c r="B41" s="70" t="s">
        <v>330</v>
      </c>
      <c r="C41" s="131">
        <f>'#55-Laurel Regional'!$C$7</f>
        <v>743</v>
      </c>
      <c r="D41" s="131">
        <f>'#55-Laurel Regional'!$F$108</f>
        <v>160</v>
      </c>
      <c r="E41" s="131">
        <f>'#55-Laurel Regional'!$F$121</f>
        <v>104245600</v>
      </c>
      <c r="F41" s="131">
        <f>'#55-Laurel Regional'!K152</f>
        <v>15661029.792100001</v>
      </c>
      <c r="G41" s="132">
        <f t="shared" si="3"/>
        <v>0.1502320461688551</v>
      </c>
      <c r="H41" s="133">
        <f>'Rate Support-Attachment I'!F43</f>
        <v>4663321.021819978</v>
      </c>
      <c r="I41" s="134">
        <f t="shared" si="4"/>
        <v>10997708.770280022</v>
      </c>
      <c r="J41" s="132">
        <f t="shared" si="5"/>
        <v>0.1054980619832398</v>
      </c>
      <c r="K41" s="131">
        <f>'#55-Laurel Regional'!$F$111</f>
        <v>4507400</v>
      </c>
    </row>
    <row r="42" spans="1:11">
      <c r="A42" s="77">
        <v>60</v>
      </c>
      <c r="B42" s="612" t="s">
        <v>1007</v>
      </c>
      <c r="C42" s="131">
        <f>'#60-Ft. Washington Medical'!$C$7</f>
        <v>417</v>
      </c>
      <c r="D42" s="131">
        <f>'#60-Ft. Washington Medical'!$F$108</f>
        <v>0</v>
      </c>
      <c r="E42" s="131">
        <f>'#60-Ft. Washington Medical'!$F$121</f>
        <v>38620727</v>
      </c>
      <c r="F42" s="131">
        <f>'#60-Ft. Washington Medical'!K152</f>
        <v>2222903.0999199999</v>
      </c>
      <c r="G42" s="132">
        <f t="shared" si="3"/>
        <v>5.7557256752831194E-2</v>
      </c>
      <c r="H42" s="133">
        <f>'Rate Support-Attachment I'!F44</f>
        <v>3327250.983245464</v>
      </c>
      <c r="I42" s="134">
        <f t="shared" si="4"/>
        <v>-1104347.8833254641</v>
      </c>
      <c r="J42" s="132">
        <f t="shared" si="5"/>
        <v>-2.8594694328914733E-2</v>
      </c>
      <c r="K42" s="131">
        <f>'#60-Ft. Washington Medical'!$F$111</f>
        <v>1614129</v>
      </c>
    </row>
    <row r="43" spans="1:11">
      <c r="A43" s="77">
        <v>61</v>
      </c>
      <c r="B43" s="596" t="s">
        <v>214</v>
      </c>
      <c r="C43" s="131">
        <f>'#61-Atlantic General'!$C$7</f>
        <v>835</v>
      </c>
      <c r="D43" s="131">
        <f>'#61-Atlantic General'!$F$108</f>
        <v>158</v>
      </c>
      <c r="E43" s="131">
        <f>'#61-Atlantic General'!$F$121</f>
        <v>101574098</v>
      </c>
      <c r="F43" s="131">
        <f>'#61-Atlantic General'!K152</f>
        <v>14249336.199999999</v>
      </c>
      <c r="G43" s="132">
        <f t="shared" si="3"/>
        <v>0.14028513647248927</v>
      </c>
      <c r="H43" s="133">
        <f>'Rate Support-Attachment I'!F45</f>
        <v>2547969.6319403378</v>
      </c>
      <c r="I43" s="134">
        <f t="shared" si="4"/>
        <v>11701366.56805966</v>
      </c>
      <c r="J43" s="132">
        <f t="shared" si="5"/>
        <v>0.11520030006133709</v>
      </c>
      <c r="K43" s="131">
        <f>'#61-Atlantic General'!$F$111</f>
        <v>3594293</v>
      </c>
    </row>
    <row r="44" spans="1:11">
      <c r="A44" s="77">
        <v>62</v>
      </c>
      <c r="B44" s="83" t="s">
        <v>332</v>
      </c>
      <c r="C44" s="131">
        <f>'#62-Medstar Southern Maryland'!$C$7</f>
        <v>1638</v>
      </c>
      <c r="D44" s="131">
        <f>'#62-Medstar Southern Maryland'!$F$108</f>
        <v>7807</v>
      </c>
      <c r="E44" s="131">
        <f>'#62-Medstar Southern Maryland'!$F$121</f>
        <v>219466790</v>
      </c>
      <c r="F44" s="131">
        <f>'#62-Medstar Southern Maryland'!K152</f>
        <v>10833218</v>
      </c>
      <c r="G44" s="132">
        <f t="shared" si="3"/>
        <v>4.9361536658917737E-2</v>
      </c>
      <c r="H44" s="133">
        <f>'Rate Support-Attachment I'!F46</f>
        <v>3632452.8147574505</v>
      </c>
      <c r="I44" s="134">
        <f t="shared" si="4"/>
        <v>7200765.1852425495</v>
      </c>
      <c r="J44" s="132">
        <f t="shared" si="5"/>
        <v>3.2810272502926521E-2</v>
      </c>
      <c r="K44" s="131">
        <f>'#62-Medstar Southern Maryland'!$F$111</f>
        <v>3582453</v>
      </c>
    </row>
    <row r="45" spans="1:11">
      <c r="A45" s="77">
        <v>63</v>
      </c>
      <c r="B45" s="70" t="s">
        <v>333</v>
      </c>
      <c r="C45" s="131">
        <f>'#63-UM St Joseph'!$C$7</f>
        <v>2332</v>
      </c>
      <c r="D45" s="131">
        <f>'#63-UM St Joseph'!$F$108</f>
        <v>0</v>
      </c>
      <c r="E45" s="131">
        <f>'#63-UM St Joseph'!$F$121</f>
        <v>310933000</v>
      </c>
      <c r="F45" s="131">
        <f>'#63-UM St Joseph'!K152</f>
        <v>35667679.851682767</v>
      </c>
      <c r="G45" s="132">
        <f t="shared" si="3"/>
        <v>0.11471178630664088</v>
      </c>
      <c r="H45" s="133">
        <f>'Rate Support-Attachment I'!F47</f>
        <v>5106333.6094787968</v>
      </c>
      <c r="I45" s="134">
        <f t="shared" si="4"/>
        <v>30561346.24220397</v>
      </c>
      <c r="J45" s="132">
        <f t="shared" si="5"/>
        <v>9.8289169185014041E-2</v>
      </c>
      <c r="K45" s="131">
        <f>'#63-UM St Joseph'!$F$111</f>
        <v>7375768.9299999997</v>
      </c>
    </row>
    <row r="46" spans="1:11">
      <c r="A46" s="77">
        <v>64</v>
      </c>
      <c r="B46" s="70" t="s">
        <v>334</v>
      </c>
      <c r="C46" s="131">
        <f>'#64-Levindale'!$C$7</f>
        <v>832</v>
      </c>
      <c r="D46" s="131">
        <f>'#64-Levindale'!$F$108</f>
        <v>520</v>
      </c>
      <c r="E46" s="131">
        <f>'#64-Levindale'!$F$121</f>
        <v>74832811</v>
      </c>
      <c r="F46" s="131">
        <f>'#64-Levindale'!K152</f>
        <v>1955387.951233</v>
      </c>
      <c r="G46" s="132">
        <f t="shared" si="3"/>
        <v>2.6130088193974166E-2</v>
      </c>
      <c r="H46" s="133">
        <f>'Rate Support-Attachment I'!F51</f>
        <v>52498.9</v>
      </c>
      <c r="I46" s="134">
        <f t="shared" si="4"/>
        <v>1902889.0512330001</v>
      </c>
      <c r="J46" s="132">
        <f t="shared" si="5"/>
        <v>2.5428538976479183E-2</v>
      </c>
      <c r="K46" s="131">
        <f>'#64-Levindale'!$F$111</f>
        <v>767401</v>
      </c>
    </row>
    <row r="47" spans="1:11">
      <c r="A47" s="77">
        <v>2001</v>
      </c>
      <c r="B47" s="70" t="s">
        <v>335</v>
      </c>
      <c r="C47" s="131">
        <f>' #2001-UM Rehab &amp; Ortho Inst.'!$C$7</f>
        <v>686</v>
      </c>
      <c r="D47" s="131">
        <f>' #2001-UM Rehab &amp; Ortho Inst.'!$F$108</f>
        <v>728</v>
      </c>
      <c r="E47" s="131">
        <f>' #2001-UM Rehab &amp; Ortho Inst.'!$F$121</f>
        <v>102736500</v>
      </c>
      <c r="F47" s="131">
        <f>' #2001-UM Rehab &amp; Ortho Inst.'!K152</f>
        <v>11513709.98048</v>
      </c>
      <c r="G47" s="132">
        <f t="shared" si="3"/>
        <v>0.11207029615063779</v>
      </c>
      <c r="H47" s="133">
        <f>'Rate Support-Attachment I'!F48</f>
        <v>4783043.577381989</v>
      </c>
      <c r="I47" s="134">
        <f t="shared" si="4"/>
        <v>6730666.4030980114</v>
      </c>
      <c r="J47" s="132">
        <f t="shared" si="5"/>
        <v>6.5513876792551926E-2</v>
      </c>
      <c r="K47" s="131">
        <f>' #2001-UM Rehab &amp; Ortho Inst.'!$F$111</f>
        <v>841000</v>
      </c>
    </row>
    <row r="48" spans="1:11">
      <c r="A48" s="77">
        <v>2004</v>
      </c>
      <c r="B48" s="83" t="s">
        <v>336</v>
      </c>
      <c r="C48" s="131">
        <f>'#2004-MedStar Good Samaritan'!$C$7</f>
        <v>0</v>
      </c>
      <c r="D48" s="131">
        <f>'#2004-MedStar Good Samaritan'!$F$108</f>
        <v>1788</v>
      </c>
      <c r="E48" s="131">
        <f>'#2004-MedStar Good Samaritan'!$F$121</f>
        <v>303307419</v>
      </c>
      <c r="F48" s="131">
        <f>'#2004-MedStar Good Samaritan'!K152</f>
        <v>24043259.59</v>
      </c>
      <c r="G48" s="132">
        <f t="shared" si="3"/>
        <v>7.9270265360703224E-2</v>
      </c>
      <c r="H48" s="133">
        <f>'Rate Support-Attachment I'!F49</f>
        <v>12097307.556417525</v>
      </c>
      <c r="I48" s="134">
        <f t="shared" si="4"/>
        <v>11945952.033582475</v>
      </c>
      <c r="J48" s="132">
        <f t="shared" si="5"/>
        <v>3.9385624238827056E-2</v>
      </c>
      <c r="K48" s="131">
        <f>'#2004-MedStar Good Samaritan'!$F$111</f>
        <v>7581945</v>
      </c>
    </row>
    <row r="49" spans="1:11">
      <c r="A49" s="77">
        <v>3029</v>
      </c>
      <c r="B49" s="629" t="s">
        <v>1017</v>
      </c>
      <c r="C49" s="131" t="str">
        <f>'#3029-Adventist Rehab'!$C$7</f>
        <v>414</v>
      </c>
      <c r="D49" s="131">
        <f>'#3029-Adventist Rehab'!$F$108</f>
        <v>170.03997509359294</v>
      </c>
      <c r="E49" s="131">
        <f>'#3029-Adventist Rehab'!$F$121</f>
        <v>33160122.263000004</v>
      </c>
      <c r="F49" s="131">
        <f>'#3029-Adventist Rehab'!K152</f>
        <v>1792946.9912717389</v>
      </c>
      <c r="G49" s="132">
        <f t="shared" si="3"/>
        <v>5.406937215283749E-2</v>
      </c>
      <c r="H49" s="133">
        <f>'Rate Support-Attachment I'!F52</f>
        <v>51233.4</v>
      </c>
      <c r="I49" s="134">
        <f t="shared" si="4"/>
        <v>1741713.591271739</v>
      </c>
      <c r="J49" s="132">
        <f t="shared" si="5"/>
        <v>5.2524341661283301E-2</v>
      </c>
      <c r="K49" s="131">
        <f>'#3029-Adventist Rehab'!$F$111</f>
        <v>756000</v>
      </c>
    </row>
    <row r="50" spans="1:11">
      <c r="A50" s="77">
        <v>3478</v>
      </c>
      <c r="B50" s="629" t="s">
        <v>1018</v>
      </c>
      <c r="C50" s="131" t="str">
        <f>'#3478-ABH-ES'!$C$7</f>
        <v>131</v>
      </c>
      <c r="D50" s="131">
        <f>'#3478-ABH-ES'!$F$108</f>
        <v>41.878231294700505</v>
      </c>
      <c r="E50" s="131">
        <f>'#3478-ABH-ES'!$F$121</f>
        <v>9317745.1960000005</v>
      </c>
      <c r="F50" s="131">
        <f>'#3478-ABH-ES'!K152</f>
        <v>1084396.3219808114</v>
      </c>
      <c r="G50" s="132">
        <f t="shared" si="3"/>
        <v>0.11637969263704809</v>
      </c>
      <c r="H50" s="133">
        <f>'Rate Support-Attachment I'!F53</f>
        <v>0</v>
      </c>
      <c r="I50" s="134">
        <f t="shared" si="4"/>
        <v>1084396.3219808114</v>
      </c>
      <c r="J50" s="132">
        <f t="shared" si="5"/>
        <v>0.11637969263704809</v>
      </c>
      <c r="K50" s="131">
        <f>'#3478-ABH-ES'!$F$111</f>
        <v>161347.31</v>
      </c>
    </row>
    <row r="51" spans="1:11">
      <c r="A51" s="77">
        <v>4000</v>
      </c>
      <c r="B51" s="628" t="s">
        <v>258</v>
      </c>
      <c r="C51" s="131">
        <f>'#4000-Sheppard Pratt'!$C$7</f>
        <v>2485</v>
      </c>
      <c r="D51" s="131">
        <f>'#4000-Sheppard Pratt'!$F$108</f>
        <v>395</v>
      </c>
      <c r="E51" s="131">
        <f>'#4000-Sheppard Pratt'!$F$121</f>
        <v>198270704</v>
      </c>
      <c r="F51" s="131">
        <f>'#4000-Sheppard Pratt'!K152</f>
        <v>12705185.459490001</v>
      </c>
      <c r="G51" s="132">
        <f t="shared" si="3"/>
        <v>6.4079993681214753E-2</v>
      </c>
      <c r="H51" s="133">
        <f>'Rate Support-Attachment I'!F54</f>
        <v>2576186.1</v>
      </c>
      <c r="I51" s="134">
        <f t="shared" si="4"/>
        <v>10128999.359490002</v>
      </c>
      <c r="J51" s="132">
        <f t="shared" si="5"/>
        <v>5.1086717074903823E-2</v>
      </c>
      <c r="K51" s="131">
        <f>'#4000-Sheppard Pratt'!$F$111</f>
        <v>8367519</v>
      </c>
    </row>
    <row r="52" spans="1:11" s="77" customFormat="1">
      <c r="A52" s="77">
        <v>4013</v>
      </c>
      <c r="B52" s="628" t="s">
        <v>1019</v>
      </c>
      <c r="C52" s="131" t="str">
        <f>'#4013-ABH-Rockville'!$C$7</f>
        <v>395</v>
      </c>
      <c r="D52" s="131">
        <f>'#4013-ABH-Rockville'!$F$108</f>
        <v>145.69751278908893</v>
      </c>
      <c r="E52" s="131">
        <f>'#4013-ABH-Rockville'!$F$121</f>
        <v>33990541.447999999</v>
      </c>
      <c r="F52" s="131">
        <f>'#4013-ABH-Rockville'!K152</f>
        <v>4309098.2394025987</v>
      </c>
      <c r="G52" s="132">
        <f t="shared" si="3"/>
        <v>0.12677345096119808</v>
      </c>
      <c r="H52" s="133">
        <f>'Rate Support-Attachment I'!F55</f>
        <v>80000</v>
      </c>
      <c r="I52" s="134">
        <f t="shared" si="4"/>
        <v>4229098.2394025987</v>
      </c>
      <c r="J52" s="132">
        <f t="shared" si="5"/>
        <v>0.12441985503150726</v>
      </c>
      <c r="K52" s="131">
        <f>'#4013-ABH-Rockville'!$F$111</f>
        <v>2546393.0720000002</v>
      </c>
    </row>
    <row r="53" spans="1:11" s="82" customFormat="1">
      <c r="A53" s="70">
        <v>5034</v>
      </c>
      <c r="B53" s="70" t="s">
        <v>339</v>
      </c>
      <c r="C53" s="131">
        <f>'#5034-Mt. Washington Pediatric'!$C$7</f>
        <v>650</v>
      </c>
      <c r="D53" s="131">
        <f>'#5034-Mt. Washington Pediatric'!$F$108</f>
        <v>1676.666666666667</v>
      </c>
      <c r="E53" s="131">
        <f>'#5034-Mt. Washington Pediatric'!$F$121</f>
        <v>50042312</v>
      </c>
      <c r="F53" s="131">
        <f>'#5034-Mt. Washington Pediatric'!K152</f>
        <v>1567465.040096154</v>
      </c>
      <c r="G53" s="132">
        <f t="shared" si="3"/>
        <v>3.13227942005588E-2</v>
      </c>
      <c r="H53" s="133">
        <f>'Rate Support-Attachment I'!F56</f>
        <v>49446.700000000004</v>
      </c>
      <c r="I53" s="134">
        <f t="shared" si="4"/>
        <v>1518018.340096154</v>
      </c>
      <c r="J53" s="132">
        <f t="shared" si="5"/>
        <v>3.0334696368468229E-2</v>
      </c>
      <c r="K53" s="131">
        <f>'#5034-Mt. Washington Pediatric'!$F$111</f>
        <v>173338</v>
      </c>
    </row>
    <row r="54" spans="1:11" s="82" customFormat="1">
      <c r="A54" s="77">
        <v>5050</v>
      </c>
      <c r="B54" s="629" t="s">
        <v>1016</v>
      </c>
      <c r="C54" s="131" t="str">
        <f>'#5050-Shady Grove Adventist'!$C$7</f>
        <v>2027</v>
      </c>
      <c r="D54" s="131">
        <f>'#5050-Shady Grove Adventist'!$F$108</f>
        <v>1789.6249999999998</v>
      </c>
      <c r="E54" s="131">
        <f>'#5050-Shady Grove Adventist'!$F$121</f>
        <v>295844877.08899999</v>
      </c>
      <c r="F54" s="131">
        <f>'#5050-Shady Grove Adventist'!K152</f>
        <v>28669946.138586216</v>
      </c>
      <c r="G54" s="132">
        <f t="shared" si="3"/>
        <v>9.6908712500576241E-2</v>
      </c>
      <c r="H54" s="133">
        <f>'Rate Support-Attachment I'!F50</f>
        <v>10389097.30615312</v>
      </c>
      <c r="I54" s="134">
        <f t="shared" si="4"/>
        <v>18280848.832433097</v>
      </c>
      <c r="J54" s="132">
        <f t="shared" si="5"/>
        <v>6.1792007393569333E-2</v>
      </c>
      <c r="K54" s="131">
        <f>'#5050-Shady Grove Adventist'!$F$111</f>
        <v>10015260.608000001</v>
      </c>
    </row>
    <row r="55" spans="1:11">
      <c r="A55" s="130"/>
      <c r="B55" s="130"/>
      <c r="C55" s="137">
        <f>SUM(C3:C54)</f>
        <v>77805</v>
      </c>
      <c r="D55" s="138">
        <f>SUM(D3:D54)</f>
        <v>78721.616666704955</v>
      </c>
      <c r="E55" s="139">
        <f>SUM(E3:E54)</f>
        <v>14105523689.898001</v>
      </c>
      <c r="F55" s="139">
        <f>SUM(F3:F54)</f>
        <v>1498125311.3385208</v>
      </c>
      <c r="G55" s="140">
        <f t="shared" si="3"/>
        <v>0.10620841482202026</v>
      </c>
      <c r="H55" s="139">
        <f>SUM(H3:H54)</f>
        <v>773456819.73089397</v>
      </c>
      <c r="I55" s="141">
        <f>SUM(I3:I54)</f>
        <v>724668491.60762727</v>
      </c>
      <c r="J55" s="140">
        <f t="shared" ref="J55" si="6">I55/E55</f>
        <v>5.1374802349707545E-2</v>
      </c>
      <c r="K55" s="139">
        <f>SUM(K3:K54)</f>
        <v>483833108.27399999</v>
      </c>
    </row>
    <row r="56" spans="1:11">
      <c r="A56" s="77"/>
      <c r="B56" s="77"/>
      <c r="C56" s="137"/>
      <c r="D56" s="138"/>
      <c r="E56" s="139"/>
      <c r="F56" s="139"/>
      <c r="G56" s="140"/>
      <c r="H56" s="139"/>
      <c r="I56" s="141"/>
      <c r="J56" s="140"/>
      <c r="K56" s="139"/>
    </row>
    <row r="57" spans="1:11">
      <c r="C57" s="137">
        <f>AVERAGE(C3:C54)</f>
        <v>1729</v>
      </c>
      <c r="D57" s="137">
        <f>AVERAGE(D3:D54)</f>
        <v>1513.8772435904798</v>
      </c>
      <c r="E57" s="142"/>
      <c r="F57" s="142"/>
      <c r="G57" s="140">
        <f>AVERAGE(G3:G54)</f>
        <v>0.10467410070766237</v>
      </c>
      <c r="H57" s="136"/>
      <c r="I57" s="141"/>
      <c r="J57" s="140">
        <f>AVERAGE(J3:J54)</f>
        <v>6.1772098137701362E-2</v>
      </c>
      <c r="K57" s="139"/>
    </row>
    <row r="58" spans="1:11" ht="113.25" customHeight="1">
      <c r="B58" s="632" t="s">
        <v>1003</v>
      </c>
      <c r="C58" s="632"/>
      <c r="D58" s="632"/>
    </row>
    <row r="59" spans="1:11">
      <c r="B59" s="77"/>
      <c r="C59" s="622"/>
      <c r="D59" s="77"/>
      <c r="E59" s="623"/>
      <c r="F59" s="623"/>
      <c r="G59" s="624"/>
      <c r="H59" s="625"/>
      <c r="I59" s="626"/>
      <c r="J59" s="627"/>
      <c r="K59" s="623"/>
    </row>
    <row r="60" spans="1:11">
      <c r="B60" s="77"/>
      <c r="C60" s="635"/>
      <c r="D60" s="635"/>
      <c r="E60" s="635"/>
      <c r="F60" s="635"/>
      <c r="G60" s="635"/>
      <c r="H60" s="635"/>
      <c r="I60" s="635"/>
      <c r="J60" s="635"/>
      <c r="K60" s="623"/>
    </row>
    <row r="61" spans="1:11">
      <c r="C61" s="144"/>
      <c r="D61" s="145"/>
      <c r="E61" s="146"/>
      <c r="F61" s="146"/>
      <c r="G61" s="147"/>
      <c r="H61" s="96"/>
      <c r="I61" s="148"/>
      <c r="J61" s="147"/>
    </row>
    <row r="64" spans="1:11">
      <c r="D64" s="150"/>
    </row>
  </sheetData>
  <sortState ref="A3:K54">
    <sortCondition ref="A41:A42"/>
  </sortState>
  <dataConsolidate/>
  <mergeCells count="3">
    <mergeCell ref="C60:J60"/>
    <mergeCell ref="B58:D58"/>
    <mergeCell ref="A1:C1"/>
  </mergeCells>
  <pageMargins left="0.7" right="0.7" top="0.75" bottom="0.75" header="0.3" footer="0.3"/>
  <pageSetup scale="50" orientation="landscape" r:id="rId1"/>
  <headerFooter>
    <oddHeader>&amp;L&amp;12ATTACHMENT II A
&amp;C&amp;12FY2014 Analysis - All Hospitals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O127"/>
  <sheetViews>
    <sheetView view="pageBreakPreview" zoomScaleNormal="100" zoomScaleSheetLayoutView="100" workbookViewId="0">
      <selection activeCell="L120" sqref="L120"/>
    </sheetView>
  </sheetViews>
  <sheetFormatPr defaultRowHeight="12.75"/>
  <cols>
    <col min="1" max="1" width="6.28515625" style="483" customWidth="1"/>
    <col min="2" max="2" width="4.42578125" style="483" customWidth="1"/>
    <col min="3" max="3" width="56.140625" style="483" customWidth="1"/>
    <col min="4" max="4" width="17.5703125" style="483" bestFit="1" customWidth="1"/>
    <col min="5" max="5" width="3" style="483" hidden="1" customWidth="1"/>
    <col min="6" max="6" width="2.42578125" style="483" customWidth="1"/>
    <col min="7" max="7" width="28.140625" style="483" customWidth="1"/>
    <col min="8" max="8" width="19.28515625" style="483" bestFit="1" customWidth="1"/>
    <col min="9" max="9" width="16" style="483" bestFit="1" customWidth="1"/>
    <col min="10" max="10" width="16.42578125" style="483" bestFit="1" customWidth="1"/>
    <col min="11" max="11" width="16.7109375" style="483" bestFit="1" customWidth="1"/>
    <col min="12" max="12" width="16.5703125" style="483" bestFit="1" customWidth="1"/>
    <col min="13" max="13" width="15.7109375" style="483" bestFit="1" customWidth="1"/>
    <col min="14" max="241" width="9.140625" style="483"/>
    <col min="242" max="242" width="6.28515625" style="483" customWidth="1"/>
    <col min="243" max="243" width="4.42578125" style="483" customWidth="1"/>
    <col min="244" max="244" width="38.42578125" style="483" customWidth="1"/>
    <col min="245" max="246" width="9.140625" style="483" customWidth="1"/>
    <col min="247" max="247" width="28.140625" style="483" customWidth="1"/>
    <col min="248" max="248" width="19.28515625" style="483" bestFit="1" customWidth="1"/>
    <col min="249" max="249" width="18" style="483" bestFit="1" customWidth="1"/>
    <col min="250" max="250" width="16.28515625" style="483" bestFit="1" customWidth="1"/>
    <col min="251" max="251" width="16.5703125" style="483" bestFit="1" customWidth="1"/>
    <col min="252" max="252" width="16.42578125" style="483" bestFit="1" customWidth="1"/>
    <col min="253" max="253" width="15.5703125" style="483" bestFit="1" customWidth="1"/>
    <col min="254" max="254" width="14.85546875" style="483" bestFit="1" customWidth="1"/>
    <col min="255" max="255" width="16" style="483" bestFit="1" customWidth="1"/>
    <col min="256" max="256" width="14.85546875" style="483" bestFit="1" customWidth="1"/>
    <col min="257" max="257" width="16" style="483" bestFit="1" customWidth="1"/>
    <col min="258" max="258" width="12.7109375" style="483" bestFit="1" customWidth="1"/>
    <col min="259" max="259" width="14.85546875" style="483" bestFit="1" customWidth="1"/>
    <col min="260" max="497" width="9.140625" style="483"/>
    <col min="498" max="498" width="6.28515625" style="483" customWidth="1"/>
    <col min="499" max="499" width="4.42578125" style="483" customWidth="1"/>
    <col min="500" max="500" width="38.42578125" style="483" customWidth="1"/>
    <col min="501" max="502" width="9.140625" style="483" customWidth="1"/>
    <col min="503" max="503" width="28.140625" style="483" customWidth="1"/>
    <col min="504" max="504" width="19.28515625" style="483" bestFit="1" customWidth="1"/>
    <col min="505" max="505" width="18" style="483" bestFit="1" customWidth="1"/>
    <col min="506" max="506" width="16.28515625" style="483" bestFit="1" customWidth="1"/>
    <col min="507" max="507" width="16.5703125" style="483" bestFit="1" customWidth="1"/>
    <col min="508" max="508" width="16.42578125" style="483" bestFit="1" customWidth="1"/>
    <col min="509" max="509" width="15.5703125" style="483" bestFit="1" customWidth="1"/>
    <col min="510" max="510" width="14.85546875" style="483" bestFit="1" customWidth="1"/>
    <col min="511" max="511" width="16" style="483" bestFit="1" customWidth="1"/>
    <col min="512" max="512" width="14.85546875" style="483" bestFit="1" customWidth="1"/>
    <col min="513" max="513" width="16" style="483" bestFit="1" customWidth="1"/>
    <col min="514" max="514" width="12.7109375" style="483" bestFit="1" customWidth="1"/>
    <col min="515" max="515" width="14.85546875" style="483" bestFit="1" customWidth="1"/>
    <col min="516" max="753" width="9.140625" style="483"/>
    <col min="754" max="754" width="6.28515625" style="483" customWidth="1"/>
    <col min="755" max="755" width="4.42578125" style="483" customWidth="1"/>
    <col min="756" max="756" width="38.42578125" style="483" customWidth="1"/>
    <col min="757" max="758" width="9.140625" style="483" customWidth="1"/>
    <col min="759" max="759" width="28.140625" style="483" customWidth="1"/>
    <col min="760" max="760" width="19.28515625" style="483" bestFit="1" customWidth="1"/>
    <col min="761" max="761" width="18" style="483" bestFit="1" customWidth="1"/>
    <col min="762" max="762" width="16.28515625" style="483" bestFit="1" customWidth="1"/>
    <col min="763" max="763" width="16.5703125" style="483" bestFit="1" customWidth="1"/>
    <col min="764" max="764" width="16.42578125" style="483" bestFit="1" customWidth="1"/>
    <col min="765" max="765" width="15.5703125" style="483" bestFit="1" customWidth="1"/>
    <col min="766" max="766" width="14.85546875" style="483" bestFit="1" customWidth="1"/>
    <col min="767" max="767" width="16" style="483" bestFit="1" customWidth="1"/>
    <col min="768" max="768" width="14.85546875" style="483" bestFit="1" customWidth="1"/>
    <col min="769" max="769" width="16" style="483" bestFit="1" customWidth="1"/>
    <col min="770" max="770" width="12.7109375" style="483" bestFit="1" customWidth="1"/>
    <col min="771" max="771" width="14.85546875" style="483" bestFit="1" customWidth="1"/>
    <col min="772" max="1009" width="9.140625" style="483"/>
    <col min="1010" max="1010" width="6.28515625" style="483" customWidth="1"/>
    <col min="1011" max="1011" width="4.42578125" style="483" customWidth="1"/>
    <col min="1012" max="1012" width="38.42578125" style="483" customWidth="1"/>
    <col min="1013" max="1014" width="9.140625" style="483" customWidth="1"/>
    <col min="1015" max="1015" width="28.140625" style="483" customWidth="1"/>
    <col min="1016" max="1016" width="19.28515625" style="483" bestFit="1" customWidth="1"/>
    <col min="1017" max="1017" width="18" style="483" bestFit="1" customWidth="1"/>
    <col min="1018" max="1018" width="16.28515625" style="483" bestFit="1" customWidth="1"/>
    <col min="1019" max="1019" width="16.5703125" style="483" bestFit="1" customWidth="1"/>
    <col min="1020" max="1020" width="16.42578125" style="483" bestFit="1" customWidth="1"/>
    <col min="1021" max="1021" width="15.5703125" style="483" bestFit="1" customWidth="1"/>
    <col min="1022" max="1022" width="14.85546875" style="483" bestFit="1" customWidth="1"/>
    <col min="1023" max="1023" width="16" style="483" bestFit="1" customWidth="1"/>
    <col min="1024" max="1024" width="14.85546875" style="483" bestFit="1" customWidth="1"/>
    <col min="1025" max="1025" width="16" style="483" bestFit="1" customWidth="1"/>
    <col min="1026" max="1026" width="12.7109375" style="483" bestFit="1" customWidth="1"/>
    <col min="1027" max="1027" width="14.85546875" style="483" bestFit="1" customWidth="1"/>
    <col min="1028" max="1265" width="9.140625" style="483"/>
    <col min="1266" max="1266" width="6.28515625" style="483" customWidth="1"/>
    <col min="1267" max="1267" width="4.42578125" style="483" customWidth="1"/>
    <col min="1268" max="1268" width="38.42578125" style="483" customWidth="1"/>
    <col min="1269" max="1270" width="9.140625" style="483" customWidth="1"/>
    <col min="1271" max="1271" width="28.140625" style="483" customWidth="1"/>
    <col min="1272" max="1272" width="19.28515625" style="483" bestFit="1" customWidth="1"/>
    <col min="1273" max="1273" width="18" style="483" bestFit="1" customWidth="1"/>
    <col min="1274" max="1274" width="16.28515625" style="483" bestFit="1" customWidth="1"/>
    <col min="1275" max="1275" width="16.5703125" style="483" bestFit="1" customWidth="1"/>
    <col min="1276" max="1276" width="16.42578125" style="483" bestFit="1" customWidth="1"/>
    <col min="1277" max="1277" width="15.5703125" style="483" bestFit="1" customWidth="1"/>
    <col min="1278" max="1278" width="14.85546875" style="483" bestFit="1" customWidth="1"/>
    <col min="1279" max="1279" width="16" style="483" bestFit="1" customWidth="1"/>
    <col min="1280" max="1280" width="14.85546875" style="483" bestFit="1" customWidth="1"/>
    <col min="1281" max="1281" width="16" style="483" bestFit="1" customWidth="1"/>
    <col min="1282" max="1282" width="12.7109375" style="483" bestFit="1" customWidth="1"/>
    <col min="1283" max="1283" width="14.85546875" style="483" bestFit="1" customWidth="1"/>
    <col min="1284" max="1521" width="9.140625" style="483"/>
    <col min="1522" max="1522" width="6.28515625" style="483" customWidth="1"/>
    <col min="1523" max="1523" width="4.42578125" style="483" customWidth="1"/>
    <col min="1524" max="1524" width="38.42578125" style="483" customWidth="1"/>
    <col min="1525" max="1526" width="9.140625" style="483" customWidth="1"/>
    <col min="1527" max="1527" width="28.140625" style="483" customWidth="1"/>
    <col min="1528" max="1528" width="19.28515625" style="483" bestFit="1" customWidth="1"/>
    <col min="1529" max="1529" width="18" style="483" bestFit="1" customWidth="1"/>
    <col min="1530" max="1530" width="16.28515625" style="483" bestFit="1" customWidth="1"/>
    <col min="1531" max="1531" width="16.5703125" style="483" bestFit="1" customWidth="1"/>
    <col min="1532" max="1532" width="16.42578125" style="483" bestFit="1" customWidth="1"/>
    <col min="1533" max="1533" width="15.5703125" style="483" bestFit="1" customWidth="1"/>
    <col min="1534" max="1534" width="14.85546875" style="483" bestFit="1" customWidth="1"/>
    <col min="1535" max="1535" width="16" style="483" bestFit="1" customWidth="1"/>
    <col min="1536" max="1536" width="14.85546875" style="483" bestFit="1" customWidth="1"/>
    <col min="1537" max="1537" width="16" style="483" bestFit="1" customWidth="1"/>
    <col min="1538" max="1538" width="12.7109375" style="483" bestFit="1" customWidth="1"/>
    <col min="1539" max="1539" width="14.85546875" style="483" bestFit="1" customWidth="1"/>
    <col min="1540" max="1777" width="9.140625" style="483"/>
    <col min="1778" max="1778" width="6.28515625" style="483" customWidth="1"/>
    <col min="1779" max="1779" width="4.42578125" style="483" customWidth="1"/>
    <col min="1780" max="1780" width="38.42578125" style="483" customWidth="1"/>
    <col min="1781" max="1782" width="9.140625" style="483" customWidth="1"/>
    <col min="1783" max="1783" width="28.140625" style="483" customWidth="1"/>
    <col min="1784" max="1784" width="19.28515625" style="483" bestFit="1" customWidth="1"/>
    <col min="1785" max="1785" width="18" style="483" bestFit="1" customWidth="1"/>
    <col min="1786" max="1786" width="16.28515625" style="483" bestFit="1" customWidth="1"/>
    <col min="1787" max="1787" width="16.5703125" style="483" bestFit="1" customWidth="1"/>
    <col min="1788" max="1788" width="16.42578125" style="483" bestFit="1" customWidth="1"/>
    <col min="1789" max="1789" width="15.5703125" style="483" bestFit="1" customWidth="1"/>
    <col min="1790" max="1790" width="14.85546875" style="483" bestFit="1" customWidth="1"/>
    <col min="1791" max="1791" width="16" style="483" bestFit="1" customWidth="1"/>
    <col min="1792" max="1792" width="14.85546875" style="483" bestFit="1" customWidth="1"/>
    <col min="1793" max="1793" width="16" style="483" bestFit="1" customWidth="1"/>
    <col min="1794" max="1794" width="12.7109375" style="483" bestFit="1" customWidth="1"/>
    <col min="1795" max="1795" width="14.85546875" style="483" bestFit="1" customWidth="1"/>
    <col min="1796" max="2033" width="9.140625" style="483"/>
    <col min="2034" max="2034" width="6.28515625" style="483" customWidth="1"/>
    <col min="2035" max="2035" width="4.42578125" style="483" customWidth="1"/>
    <col min="2036" max="2036" width="38.42578125" style="483" customWidth="1"/>
    <col min="2037" max="2038" width="9.140625" style="483" customWidth="1"/>
    <col min="2039" max="2039" width="28.140625" style="483" customWidth="1"/>
    <col min="2040" max="2040" width="19.28515625" style="483" bestFit="1" customWidth="1"/>
    <col min="2041" max="2041" width="18" style="483" bestFit="1" customWidth="1"/>
    <col min="2042" max="2042" width="16.28515625" style="483" bestFit="1" customWidth="1"/>
    <col min="2043" max="2043" width="16.5703125" style="483" bestFit="1" customWidth="1"/>
    <col min="2044" max="2044" width="16.42578125" style="483" bestFit="1" customWidth="1"/>
    <col min="2045" max="2045" width="15.5703125" style="483" bestFit="1" customWidth="1"/>
    <col min="2046" max="2046" width="14.85546875" style="483" bestFit="1" customWidth="1"/>
    <col min="2047" max="2047" width="16" style="483" bestFit="1" customWidth="1"/>
    <col min="2048" max="2048" width="14.85546875" style="483" bestFit="1" customWidth="1"/>
    <col min="2049" max="2049" width="16" style="483" bestFit="1" customWidth="1"/>
    <col min="2050" max="2050" width="12.7109375" style="483" bestFit="1" customWidth="1"/>
    <col min="2051" max="2051" width="14.85546875" style="483" bestFit="1" customWidth="1"/>
    <col min="2052" max="2289" width="9.140625" style="483"/>
    <col min="2290" max="2290" width="6.28515625" style="483" customWidth="1"/>
    <col min="2291" max="2291" width="4.42578125" style="483" customWidth="1"/>
    <col min="2292" max="2292" width="38.42578125" style="483" customWidth="1"/>
    <col min="2293" max="2294" width="9.140625" style="483" customWidth="1"/>
    <col min="2295" max="2295" width="28.140625" style="483" customWidth="1"/>
    <col min="2296" max="2296" width="19.28515625" style="483" bestFit="1" customWidth="1"/>
    <col min="2297" max="2297" width="18" style="483" bestFit="1" customWidth="1"/>
    <col min="2298" max="2298" width="16.28515625" style="483" bestFit="1" customWidth="1"/>
    <col min="2299" max="2299" width="16.5703125" style="483" bestFit="1" customWidth="1"/>
    <col min="2300" max="2300" width="16.42578125" style="483" bestFit="1" customWidth="1"/>
    <col min="2301" max="2301" width="15.5703125" style="483" bestFit="1" customWidth="1"/>
    <col min="2302" max="2302" width="14.85546875" style="483" bestFit="1" customWidth="1"/>
    <col min="2303" max="2303" width="16" style="483" bestFit="1" customWidth="1"/>
    <col min="2304" max="2304" width="14.85546875" style="483" bestFit="1" customWidth="1"/>
    <col min="2305" max="2305" width="16" style="483" bestFit="1" customWidth="1"/>
    <col min="2306" max="2306" width="12.7109375" style="483" bestFit="1" customWidth="1"/>
    <col min="2307" max="2307" width="14.85546875" style="483" bestFit="1" customWidth="1"/>
    <col min="2308" max="2545" width="9.140625" style="483"/>
    <col min="2546" max="2546" width="6.28515625" style="483" customWidth="1"/>
    <col min="2547" max="2547" width="4.42578125" style="483" customWidth="1"/>
    <col min="2548" max="2548" width="38.42578125" style="483" customWidth="1"/>
    <col min="2549" max="2550" width="9.140625" style="483" customWidth="1"/>
    <col min="2551" max="2551" width="28.140625" style="483" customWidth="1"/>
    <col min="2552" max="2552" width="19.28515625" style="483" bestFit="1" customWidth="1"/>
    <col min="2553" max="2553" width="18" style="483" bestFit="1" customWidth="1"/>
    <col min="2554" max="2554" width="16.28515625" style="483" bestFit="1" customWidth="1"/>
    <col min="2555" max="2555" width="16.5703125" style="483" bestFit="1" customWidth="1"/>
    <col min="2556" max="2556" width="16.42578125" style="483" bestFit="1" customWidth="1"/>
    <col min="2557" max="2557" width="15.5703125" style="483" bestFit="1" customWidth="1"/>
    <col min="2558" max="2558" width="14.85546875" style="483" bestFit="1" customWidth="1"/>
    <col min="2559" max="2559" width="16" style="483" bestFit="1" customWidth="1"/>
    <col min="2560" max="2560" width="14.85546875" style="483" bestFit="1" customWidth="1"/>
    <col min="2561" max="2561" width="16" style="483" bestFit="1" customWidth="1"/>
    <col min="2562" max="2562" width="12.7109375" style="483" bestFit="1" customWidth="1"/>
    <col min="2563" max="2563" width="14.85546875" style="483" bestFit="1" customWidth="1"/>
    <col min="2564" max="2801" width="9.140625" style="483"/>
    <col min="2802" max="2802" width="6.28515625" style="483" customWidth="1"/>
    <col min="2803" max="2803" width="4.42578125" style="483" customWidth="1"/>
    <col min="2804" max="2804" width="38.42578125" style="483" customWidth="1"/>
    <col min="2805" max="2806" width="9.140625" style="483" customWidth="1"/>
    <col min="2807" max="2807" width="28.140625" style="483" customWidth="1"/>
    <col min="2808" max="2808" width="19.28515625" style="483" bestFit="1" customWidth="1"/>
    <col min="2809" max="2809" width="18" style="483" bestFit="1" customWidth="1"/>
    <col min="2810" max="2810" width="16.28515625" style="483" bestFit="1" customWidth="1"/>
    <col min="2811" max="2811" width="16.5703125" style="483" bestFit="1" customWidth="1"/>
    <col min="2812" max="2812" width="16.42578125" style="483" bestFit="1" customWidth="1"/>
    <col min="2813" max="2813" width="15.5703125" style="483" bestFit="1" customWidth="1"/>
    <col min="2814" max="2814" width="14.85546875" style="483" bestFit="1" customWidth="1"/>
    <col min="2815" max="2815" width="16" style="483" bestFit="1" customWidth="1"/>
    <col min="2816" max="2816" width="14.85546875" style="483" bestFit="1" customWidth="1"/>
    <col min="2817" max="2817" width="16" style="483" bestFit="1" customWidth="1"/>
    <col min="2818" max="2818" width="12.7109375" style="483" bestFit="1" customWidth="1"/>
    <col min="2819" max="2819" width="14.85546875" style="483" bestFit="1" customWidth="1"/>
    <col min="2820" max="3057" width="9.140625" style="483"/>
    <col min="3058" max="3058" width="6.28515625" style="483" customWidth="1"/>
    <col min="3059" max="3059" width="4.42578125" style="483" customWidth="1"/>
    <col min="3060" max="3060" width="38.42578125" style="483" customWidth="1"/>
    <col min="3061" max="3062" width="9.140625" style="483" customWidth="1"/>
    <col min="3063" max="3063" width="28.140625" style="483" customWidth="1"/>
    <col min="3064" max="3064" width="19.28515625" style="483" bestFit="1" customWidth="1"/>
    <col min="3065" max="3065" width="18" style="483" bestFit="1" customWidth="1"/>
    <col min="3066" max="3066" width="16.28515625" style="483" bestFit="1" customWidth="1"/>
    <col min="3067" max="3067" width="16.5703125" style="483" bestFit="1" customWidth="1"/>
    <col min="3068" max="3068" width="16.42578125" style="483" bestFit="1" customWidth="1"/>
    <col min="3069" max="3069" width="15.5703125" style="483" bestFit="1" customWidth="1"/>
    <col min="3070" max="3070" width="14.85546875" style="483" bestFit="1" customWidth="1"/>
    <col min="3071" max="3071" width="16" style="483" bestFit="1" customWidth="1"/>
    <col min="3072" max="3072" width="14.85546875" style="483" bestFit="1" customWidth="1"/>
    <col min="3073" max="3073" width="16" style="483" bestFit="1" customWidth="1"/>
    <col min="3074" max="3074" width="12.7109375" style="483" bestFit="1" customWidth="1"/>
    <col min="3075" max="3075" width="14.85546875" style="483" bestFit="1" customWidth="1"/>
    <col min="3076" max="3313" width="9.140625" style="483"/>
    <col min="3314" max="3314" width="6.28515625" style="483" customWidth="1"/>
    <col min="3315" max="3315" width="4.42578125" style="483" customWidth="1"/>
    <col min="3316" max="3316" width="38.42578125" style="483" customWidth="1"/>
    <col min="3317" max="3318" width="9.140625" style="483" customWidth="1"/>
    <col min="3319" max="3319" width="28.140625" style="483" customWidth="1"/>
    <col min="3320" max="3320" width="19.28515625" style="483" bestFit="1" customWidth="1"/>
    <col min="3321" max="3321" width="18" style="483" bestFit="1" customWidth="1"/>
    <col min="3322" max="3322" width="16.28515625" style="483" bestFit="1" customWidth="1"/>
    <col min="3323" max="3323" width="16.5703125" style="483" bestFit="1" customWidth="1"/>
    <col min="3324" max="3324" width="16.42578125" style="483" bestFit="1" customWidth="1"/>
    <col min="3325" max="3325" width="15.5703125" style="483" bestFit="1" customWidth="1"/>
    <col min="3326" max="3326" width="14.85546875" style="483" bestFit="1" customWidth="1"/>
    <col min="3327" max="3327" width="16" style="483" bestFit="1" customWidth="1"/>
    <col min="3328" max="3328" width="14.85546875" style="483" bestFit="1" customWidth="1"/>
    <col min="3329" max="3329" width="16" style="483" bestFit="1" customWidth="1"/>
    <col min="3330" max="3330" width="12.7109375" style="483" bestFit="1" customWidth="1"/>
    <col min="3331" max="3331" width="14.85546875" style="483" bestFit="1" customWidth="1"/>
    <col min="3332" max="3569" width="9.140625" style="483"/>
    <col min="3570" max="3570" width="6.28515625" style="483" customWidth="1"/>
    <col min="3571" max="3571" width="4.42578125" style="483" customWidth="1"/>
    <col min="3572" max="3572" width="38.42578125" style="483" customWidth="1"/>
    <col min="3573" max="3574" width="9.140625" style="483" customWidth="1"/>
    <col min="3575" max="3575" width="28.140625" style="483" customWidth="1"/>
    <col min="3576" max="3576" width="19.28515625" style="483" bestFit="1" customWidth="1"/>
    <col min="3577" max="3577" width="18" style="483" bestFit="1" customWidth="1"/>
    <col min="3578" max="3578" width="16.28515625" style="483" bestFit="1" customWidth="1"/>
    <col min="3579" max="3579" width="16.5703125" style="483" bestFit="1" customWidth="1"/>
    <col min="3580" max="3580" width="16.42578125" style="483" bestFit="1" customWidth="1"/>
    <col min="3581" max="3581" width="15.5703125" style="483" bestFit="1" customWidth="1"/>
    <col min="3582" max="3582" width="14.85546875" style="483" bestFit="1" customWidth="1"/>
    <col min="3583" max="3583" width="16" style="483" bestFit="1" customWidth="1"/>
    <col min="3584" max="3584" width="14.85546875" style="483" bestFit="1" customWidth="1"/>
    <col min="3585" max="3585" width="16" style="483" bestFit="1" customWidth="1"/>
    <col min="3586" max="3586" width="12.7109375" style="483" bestFit="1" customWidth="1"/>
    <col min="3587" max="3587" width="14.85546875" style="483" bestFit="1" customWidth="1"/>
    <col min="3588" max="3825" width="9.140625" style="483"/>
    <col min="3826" max="3826" width="6.28515625" style="483" customWidth="1"/>
    <col min="3827" max="3827" width="4.42578125" style="483" customWidth="1"/>
    <col min="3828" max="3828" width="38.42578125" style="483" customWidth="1"/>
    <col min="3829" max="3830" width="9.140625" style="483" customWidth="1"/>
    <col min="3831" max="3831" width="28.140625" style="483" customWidth="1"/>
    <col min="3832" max="3832" width="19.28515625" style="483" bestFit="1" customWidth="1"/>
    <col min="3833" max="3833" width="18" style="483" bestFit="1" customWidth="1"/>
    <col min="3834" max="3834" width="16.28515625" style="483" bestFit="1" customWidth="1"/>
    <col min="3835" max="3835" width="16.5703125" style="483" bestFit="1" customWidth="1"/>
    <col min="3836" max="3836" width="16.42578125" style="483" bestFit="1" customWidth="1"/>
    <col min="3837" max="3837" width="15.5703125" style="483" bestFit="1" customWidth="1"/>
    <col min="3838" max="3838" width="14.85546875" style="483" bestFit="1" customWidth="1"/>
    <col min="3839" max="3839" width="16" style="483" bestFit="1" customWidth="1"/>
    <col min="3840" max="3840" width="14.85546875" style="483" bestFit="1" customWidth="1"/>
    <col min="3841" max="3841" width="16" style="483" bestFit="1" customWidth="1"/>
    <col min="3842" max="3842" width="12.7109375" style="483" bestFit="1" customWidth="1"/>
    <col min="3843" max="3843" width="14.85546875" style="483" bestFit="1" customWidth="1"/>
    <col min="3844" max="4081" width="9.140625" style="483"/>
    <col min="4082" max="4082" width="6.28515625" style="483" customWidth="1"/>
    <col min="4083" max="4083" width="4.42578125" style="483" customWidth="1"/>
    <col min="4084" max="4084" width="38.42578125" style="483" customWidth="1"/>
    <col min="4085" max="4086" width="9.140625" style="483" customWidth="1"/>
    <col min="4087" max="4087" width="28.140625" style="483" customWidth="1"/>
    <col min="4088" max="4088" width="19.28515625" style="483" bestFit="1" customWidth="1"/>
    <col min="4089" max="4089" width="18" style="483" bestFit="1" customWidth="1"/>
    <col min="4090" max="4090" width="16.28515625" style="483" bestFit="1" customWidth="1"/>
    <col min="4091" max="4091" width="16.5703125" style="483" bestFit="1" customWidth="1"/>
    <col min="4092" max="4092" width="16.42578125" style="483" bestFit="1" customWidth="1"/>
    <col min="4093" max="4093" width="15.5703125" style="483" bestFit="1" customWidth="1"/>
    <col min="4094" max="4094" width="14.85546875" style="483" bestFit="1" customWidth="1"/>
    <col min="4095" max="4095" width="16" style="483" bestFit="1" customWidth="1"/>
    <col min="4096" max="4096" width="14.85546875" style="483" bestFit="1" customWidth="1"/>
    <col min="4097" max="4097" width="16" style="483" bestFit="1" customWidth="1"/>
    <col min="4098" max="4098" width="12.7109375" style="483" bestFit="1" customWidth="1"/>
    <col min="4099" max="4099" width="14.85546875" style="483" bestFit="1" customWidth="1"/>
    <col min="4100" max="4337" width="9.140625" style="483"/>
    <col min="4338" max="4338" width="6.28515625" style="483" customWidth="1"/>
    <col min="4339" max="4339" width="4.42578125" style="483" customWidth="1"/>
    <col min="4340" max="4340" width="38.42578125" style="483" customWidth="1"/>
    <col min="4341" max="4342" width="9.140625" style="483" customWidth="1"/>
    <col min="4343" max="4343" width="28.140625" style="483" customWidth="1"/>
    <col min="4344" max="4344" width="19.28515625" style="483" bestFit="1" customWidth="1"/>
    <col min="4345" max="4345" width="18" style="483" bestFit="1" customWidth="1"/>
    <col min="4346" max="4346" width="16.28515625" style="483" bestFit="1" customWidth="1"/>
    <col min="4347" max="4347" width="16.5703125" style="483" bestFit="1" customWidth="1"/>
    <col min="4348" max="4348" width="16.42578125" style="483" bestFit="1" customWidth="1"/>
    <col min="4349" max="4349" width="15.5703125" style="483" bestFit="1" customWidth="1"/>
    <col min="4350" max="4350" width="14.85546875" style="483" bestFit="1" customWidth="1"/>
    <col min="4351" max="4351" width="16" style="483" bestFit="1" customWidth="1"/>
    <col min="4352" max="4352" width="14.85546875" style="483" bestFit="1" customWidth="1"/>
    <col min="4353" max="4353" width="16" style="483" bestFit="1" customWidth="1"/>
    <col min="4354" max="4354" width="12.7109375" style="483" bestFit="1" customWidth="1"/>
    <col min="4355" max="4355" width="14.85546875" style="483" bestFit="1" customWidth="1"/>
    <col min="4356" max="4593" width="9.140625" style="483"/>
    <col min="4594" max="4594" width="6.28515625" style="483" customWidth="1"/>
    <col min="4595" max="4595" width="4.42578125" style="483" customWidth="1"/>
    <col min="4596" max="4596" width="38.42578125" style="483" customWidth="1"/>
    <col min="4597" max="4598" width="9.140625" style="483" customWidth="1"/>
    <col min="4599" max="4599" width="28.140625" style="483" customWidth="1"/>
    <col min="4600" max="4600" width="19.28515625" style="483" bestFit="1" customWidth="1"/>
    <col min="4601" max="4601" width="18" style="483" bestFit="1" customWidth="1"/>
    <col min="4602" max="4602" width="16.28515625" style="483" bestFit="1" customWidth="1"/>
    <col min="4603" max="4603" width="16.5703125" style="483" bestFit="1" customWidth="1"/>
    <col min="4604" max="4604" width="16.42578125" style="483" bestFit="1" customWidth="1"/>
    <col min="4605" max="4605" width="15.5703125" style="483" bestFit="1" customWidth="1"/>
    <col min="4606" max="4606" width="14.85546875" style="483" bestFit="1" customWidth="1"/>
    <col min="4607" max="4607" width="16" style="483" bestFit="1" customWidth="1"/>
    <col min="4608" max="4608" width="14.85546875" style="483" bestFit="1" customWidth="1"/>
    <col min="4609" max="4609" width="16" style="483" bestFit="1" customWidth="1"/>
    <col min="4610" max="4610" width="12.7109375" style="483" bestFit="1" customWidth="1"/>
    <col min="4611" max="4611" width="14.85546875" style="483" bestFit="1" customWidth="1"/>
    <col min="4612" max="4849" width="9.140625" style="483"/>
    <col min="4850" max="4850" width="6.28515625" style="483" customWidth="1"/>
    <col min="4851" max="4851" width="4.42578125" style="483" customWidth="1"/>
    <col min="4852" max="4852" width="38.42578125" style="483" customWidth="1"/>
    <col min="4853" max="4854" width="9.140625" style="483" customWidth="1"/>
    <col min="4855" max="4855" width="28.140625" style="483" customWidth="1"/>
    <col min="4856" max="4856" width="19.28515625" style="483" bestFit="1" customWidth="1"/>
    <col min="4857" max="4857" width="18" style="483" bestFit="1" customWidth="1"/>
    <col min="4858" max="4858" width="16.28515625" style="483" bestFit="1" customWidth="1"/>
    <col min="4859" max="4859" width="16.5703125" style="483" bestFit="1" customWidth="1"/>
    <col min="4860" max="4860" width="16.42578125" style="483" bestFit="1" customWidth="1"/>
    <col min="4861" max="4861" width="15.5703125" style="483" bestFit="1" customWidth="1"/>
    <col min="4862" max="4862" width="14.85546875" style="483" bestFit="1" customWidth="1"/>
    <col min="4863" max="4863" width="16" style="483" bestFit="1" customWidth="1"/>
    <col min="4864" max="4864" width="14.85546875" style="483" bestFit="1" customWidth="1"/>
    <col min="4865" max="4865" width="16" style="483" bestFit="1" customWidth="1"/>
    <col min="4866" max="4866" width="12.7109375" style="483" bestFit="1" customWidth="1"/>
    <col min="4867" max="4867" width="14.85546875" style="483" bestFit="1" customWidth="1"/>
    <col min="4868" max="5105" width="9.140625" style="483"/>
    <col min="5106" max="5106" width="6.28515625" style="483" customWidth="1"/>
    <col min="5107" max="5107" width="4.42578125" style="483" customWidth="1"/>
    <col min="5108" max="5108" width="38.42578125" style="483" customWidth="1"/>
    <col min="5109" max="5110" width="9.140625" style="483" customWidth="1"/>
    <col min="5111" max="5111" width="28.140625" style="483" customWidth="1"/>
    <col min="5112" max="5112" width="19.28515625" style="483" bestFit="1" customWidth="1"/>
    <col min="5113" max="5113" width="18" style="483" bestFit="1" customWidth="1"/>
    <col min="5114" max="5114" width="16.28515625" style="483" bestFit="1" customWidth="1"/>
    <col min="5115" max="5115" width="16.5703125" style="483" bestFit="1" customWidth="1"/>
    <col min="5116" max="5116" width="16.42578125" style="483" bestFit="1" customWidth="1"/>
    <col min="5117" max="5117" width="15.5703125" style="483" bestFit="1" customWidth="1"/>
    <col min="5118" max="5118" width="14.85546875" style="483" bestFit="1" customWidth="1"/>
    <col min="5119" max="5119" width="16" style="483" bestFit="1" customWidth="1"/>
    <col min="5120" max="5120" width="14.85546875" style="483" bestFit="1" customWidth="1"/>
    <col min="5121" max="5121" width="16" style="483" bestFit="1" customWidth="1"/>
    <col min="5122" max="5122" width="12.7109375" style="483" bestFit="1" customWidth="1"/>
    <col min="5123" max="5123" width="14.85546875" style="483" bestFit="1" customWidth="1"/>
    <col min="5124" max="5361" width="9.140625" style="483"/>
    <col min="5362" max="5362" width="6.28515625" style="483" customWidth="1"/>
    <col min="5363" max="5363" width="4.42578125" style="483" customWidth="1"/>
    <col min="5364" max="5364" width="38.42578125" style="483" customWidth="1"/>
    <col min="5365" max="5366" width="9.140625" style="483" customWidth="1"/>
    <col min="5367" max="5367" width="28.140625" style="483" customWidth="1"/>
    <col min="5368" max="5368" width="19.28515625" style="483" bestFit="1" customWidth="1"/>
    <col min="5369" max="5369" width="18" style="483" bestFit="1" customWidth="1"/>
    <col min="5370" max="5370" width="16.28515625" style="483" bestFit="1" customWidth="1"/>
    <col min="5371" max="5371" width="16.5703125" style="483" bestFit="1" customWidth="1"/>
    <col min="5372" max="5372" width="16.42578125" style="483" bestFit="1" customWidth="1"/>
    <col min="5373" max="5373" width="15.5703125" style="483" bestFit="1" customWidth="1"/>
    <col min="5374" max="5374" width="14.85546875" style="483" bestFit="1" customWidth="1"/>
    <col min="5375" max="5375" width="16" style="483" bestFit="1" customWidth="1"/>
    <col min="5376" max="5376" width="14.85546875" style="483" bestFit="1" customWidth="1"/>
    <col min="5377" max="5377" width="16" style="483" bestFit="1" customWidth="1"/>
    <col min="5378" max="5378" width="12.7109375" style="483" bestFit="1" customWidth="1"/>
    <col min="5379" max="5379" width="14.85546875" style="483" bestFit="1" customWidth="1"/>
    <col min="5380" max="5617" width="9.140625" style="483"/>
    <col min="5618" max="5618" width="6.28515625" style="483" customWidth="1"/>
    <col min="5619" max="5619" width="4.42578125" style="483" customWidth="1"/>
    <col min="5620" max="5620" width="38.42578125" style="483" customWidth="1"/>
    <col min="5621" max="5622" width="9.140625" style="483" customWidth="1"/>
    <col min="5623" max="5623" width="28.140625" style="483" customWidth="1"/>
    <col min="5624" max="5624" width="19.28515625" style="483" bestFit="1" customWidth="1"/>
    <col min="5625" max="5625" width="18" style="483" bestFit="1" customWidth="1"/>
    <col min="5626" max="5626" width="16.28515625" style="483" bestFit="1" customWidth="1"/>
    <col min="5627" max="5627" width="16.5703125" style="483" bestFit="1" customWidth="1"/>
    <col min="5628" max="5628" width="16.42578125" style="483" bestFit="1" customWidth="1"/>
    <col min="5629" max="5629" width="15.5703125" style="483" bestFit="1" customWidth="1"/>
    <col min="5630" max="5630" width="14.85546875" style="483" bestFit="1" customWidth="1"/>
    <col min="5631" max="5631" width="16" style="483" bestFit="1" customWidth="1"/>
    <col min="5632" max="5632" width="14.85546875" style="483" bestFit="1" customWidth="1"/>
    <col min="5633" max="5633" width="16" style="483" bestFit="1" customWidth="1"/>
    <col min="5634" max="5634" width="12.7109375" style="483" bestFit="1" customWidth="1"/>
    <col min="5635" max="5635" width="14.85546875" style="483" bestFit="1" customWidth="1"/>
    <col min="5636" max="5873" width="9.140625" style="483"/>
    <col min="5874" max="5874" width="6.28515625" style="483" customWidth="1"/>
    <col min="5875" max="5875" width="4.42578125" style="483" customWidth="1"/>
    <col min="5876" max="5876" width="38.42578125" style="483" customWidth="1"/>
    <col min="5877" max="5878" width="9.140625" style="483" customWidth="1"/>
    <col min="5879" max="5879" width="28.140625" style="483" customWidth="1"/>
    <col min="5880" max="5880" width="19.28515625" style="483" bestFit="1" customWidth="1"/>
    <col min="5881" max="5881" width="18" style="483" bestFit="1" customWidth="1"/>
    <col min="5882" max="5882" width="16.28515625" style="483" bestFit="1" customWidth="1"/>
    <col min="5883" max="5883" width="16.5703125" style="483" bestFit="1" customWidth="1"/>
    <col min="5884" max="5884" width="16.42578125" style="483" bestFit="1" customWidth="1"/>
    <col min="5885" max="5885" width="15.5703125" style="483" bestFit="1" customWidth="1"/>
    <col min="5886" max="5886" width="14.85546875" style="483" bestFit="1" customWidth="1"/>
    <col min="5887" max="5887" width="16" style="483" bestFit="1" customWidth="1"/>
    <col min="5888" max="5888" width="14.85546875" style="483" bestFit="1" customWidth="1"/>
    <col min="5889" max="5889" width="16" style="483" bestFit="1" customWidth="1"/>
    <col min="5890" max="5890" width="12.7109375" style="483" bestFit="1" customWidth="1"/>
    <col min="5891" max="5891" width="14.85546875" style="483" bestFit="1" customWidth="1"/>
    <col min="5892" max="6129" width="9.140625" style="483"/>
    <col min="6130" max="6130" width="6.28515625" style="483" customWidth="1"/>
    <col min="6131" max="6131" width="4.42578125" style="483" customWidth="1"/>
    <col min="6132" max="6132" width="38.42578125" style="483" customWidth="1"/>
    <col min="6133" max="6134" width="9.140625" style="483" customWidth="1"/>
    <col min="6135" max="6135" width="28.140625" style="483" customWidth="1"/>
    <col min="6136" max="6136" width="19.28515625" style="483" bestFit="1" customWidth="1"/>
    <col min="6137" max="6137" width="18" style="483" bestFit="1" customWidth="1"/>
    <col min="6138" max="6138" width="16.28515625" style="483" bestFit="1" customWidth="1"/>
    <col min="6139" max="6139" width="16.5703125" style="483" bestFit="1" customWidth="1"/>
    <col min="6140" max="6140" width="16.42578125" style="483" bestFit="1" customWidth="1"/>
    <col min="6141" max="6141" width="15.5703125" style="483" bestFit="1" customWidth="1"/>
    <col min="6142" max="6142" width="14.85546875" style="483" bestFit="1" customWidth="1"/>
    <col min="6143" max="6143" width="16" style="483" bestFit="1" customWidth="1"/>
    <col min="6144" max="6144" width="14.85546875" style="483" bestFit="1" customWidth="1"/>
    <col min="6145" max="6145" width="16" style="483" bestFit="1" customWidth="1"/>
    <col min="6146" max="6146" width="12.7109375" style="483" bestFit="1" customWidth="1"/>
    <col min="6147" max="6147" width="14.85546875" style="483" bestFit="1" customWidth="1"/>
    <col min="6148" max="6385" width="9.140625" style="483"/>
    <col min="6386" max="6386" width="6.28515625" style="483" customWidth="1"/>
    <col min="6387" max="6387" width="4.42578125" style="483" customWidth="1"/>
    <col min="6388" max="6388" width="38.42578125" style="483" customWidth="1"/>
    <col min="6389" max="6390" width="9.140625" style="483" customWidth="1"/>
    <col min="6391" max="6391" width="28.140625" style="483" customWidth="1"/>
    <col min="6392" max="6392" width="19.28515625" style="483" bestFit="1" customWidth="1"/>
    <col min="6393" max="6393" width="18" style="483" bestFit="1" customWidth="1"/>
    <col min="6394" max="6394" width="16.28515625" style="483" bestFit="1" customWidth="1"/>
    <col min="6395" max="6395" width="16.5703125" style="483" bestFit="1" customWidth="1"/>
    <col min="6396" max="6396" width="16.42578125" style="483" bestFit="1" customWidth="1"/>
    <col min="6397" max="6397" width="15.5703125" style="483" bestFit="1" customWidth="1"/>
    <col min="6398" max="6398" width="14.85546875" style="483" bestFit="1" customWidth="1"/>
    <col min="6399" max="6399" width="16" style="483" bestFit="1" customWidth="1"/>
    <col min="6400" max="6400" width="14.85546875" style="483" bestFit="1" customWidth="1"/>
    <col min="6401" max="6401" width="16" style="483" bestFit="1" customWidth="1"/>
    <col min="6402" max="6402" width="12.7109375" style="483" bestFit="1" customWidth="1"/>
    <col min="6403" max="6403" width="14.85546875" style="483" bestFit="1" customWidth="1"/>
    <col min="6404" max="6641" width="9.140625" style="483"/>
    <col min="6642" max="6642" width="6.28515625" style="483" customWidth="1"/>
    <col min="6643" max="6643" width="4.42578125" style="483" customWidth="1"/>
    <col min="6644" max="6644" width="38.42578125" style="483" customWidth="1"/>
    <col min="6645" max="6646" width="9.140625" style="483" customWidth="1"/>
    <col min="6647" max="6647" width="28.140625" style="483" customWidth="1"/>
    <col min="6648" max="6648" width="19.28515625" style="483" bestFit="1" customWidth="1"/>
    <col min="6649" max="6649" width="18" style="483" bestFit="1" customWidth="1"/>
    <col min="6650" max="6650" width="16.28515625" style="483" bestFit="1" customWidth="1"/>
    <col min="6651" max="6651" width="16.5703125" style="483" bestFit="1" customWidth="1"/>
    <col min="6652" max="6652" width="16.42578125" style="483" bestFit="1" customWidth="1"/>
    <col min="6653" max="6653" width="15.5703125" style="483" bestFit="1" customWidth="1"/>
    <col min="6654" max="6654" width="14.85546875" style="483" bestFit="1" customWidth="1"/>
    <col min="6655" max="6655" width="16" style="483" bestFit="1" customWidth="1"/>
    <col min="6656" max="6656" width="14.85546875" style="483" bestFit="1" customWidth="1"/>
    <col min="6657" max="6657" width="16" style="483" bestFit="1" customWidth="1"/>
    <col min="6658" max="6658" width="12.7109375" style="483" bestFit="1" customWidth="1"/>
    <col min="6659" max="6659" width="14.85546875" style="483" bestFit="1" customWidth="1"/>
    <col min="6660" max="6897" width="9.140625" style="483"/>
    <col min="6898" max="6898" width="6.28515625" style="483" customWidth="1"/>
    <col min="6899" max="6899" width="4.42578125" style="483" customWidth="1"/>
    <col min="6900" max="6900" width="38.42578125" style="483" customWidth="1"/>
    <col min="6901" max="6902" width="9.140625" style="483" customWidth="1"/>
    <col min="6903" max="6903" width="28.140625" style="483" customWidth="1"/>
    <col min="6904" max="6904" width="19.28515625" style="483" bestFit="1" customWidth="1"/>
    <col min="6905" max="6905" width="18" style="483" bestFit="1" customWidth="1"/>
    <col min="6906" max="6906" width="16.28515625" style="483" bestFit="1" customWidth="1"/>
    <col min="6907" max="6907" width="16.5703125" style="483" bestFit="1" customWidth="1"/>
    <col min="6908" max="6908" width="16.42578125" style="483" bestFit="1" customWidth="1"/>
    <col min="6909" max="6909" width="15.5703125" style="483" bestFit="1" customWidth="1"/>
    <col min="6910" max="6910" width="14.85546875" style="483" bestFit="1" customWidth="1"/>
    <col min="6911" max="6911" width="16" style="483" bestFit="1" customWidth="1"/>
    <col min="6912" max="6912" width="14.85546875" style="483" bestFit="1" customWidth="1"/>
    <col min="6913" max="6913" width="16" style="483" bestFit="1" customWidth="1"/>
    <col min="6914" max="6914" width="12.7109375" style="483" bestFit="1" customWidth="1"/>
    <col min="6915" max="6915" width="14.85546875" style="483" bestFit="1" customWidth="1"/>
    <col min="6916" max="7153" width="9.140625" style="483"/>
    <col min="7154" max="7154" width="6.28515625" style="483" customWidth="1"/>
    <col min="7155" max="7155" width="4.42578125" style="483" customWidth="1"/>
    <col min="7156" max="7156" width="38.42578125" style="483" customWidth="1"/>
    <col min="7157" max="7158" width="9.140625" style="483" customWidth="1"/>
    <col min="7159" max="7159" width="28.140625" style="483" customWidth="1"/>
    <col min="7160" max="7160" width="19.28515625" style="483" bestFit="1" customWidth="1"/>
    <col min="7161" max="7161" width="18" style="483" bestFit="1" customWidth="1"/>
    <col min="7162" max="7162" width="16.28515625" style="483" bestFit="1" customWidth="1"/>
    <col min="7163" max="7163" width="16.5703125" style="483" bestFit="1" customWidth="1"/>
    <col min="7164" max="7164" width="16.42578125" style="483" bestFit="1" customWidth="1"/>
    <col min="7165" max="7165" width="15.5703125" style="483" bestFit="1" customWidth="1"/>
    <col min="7166" max="7166" width="14.85546875" style="483" bestFit="1" customWidth="1"/>
    <col min="7167" max="7167" width="16" style="483" bestFit="1" customWidth="1"/>
    <col min="7168" max="7168" width="14.85546875" style="483" bestFit="1" customWidth="1"/>
    <col min="7169" max="7169" width="16" style="483" bestFit="1" customWidth="1"/>
    <col min="7170" max="7170" width="12.7109375" style="483" bestFit="1" customWidth="1"/>
    <col min="7171" max="7171" width="14.85546875" style="483" bestFit="1" customWidth="1"/>
    <col min="7172" max="7409" width="9.140625" style="483"/>
    <col min="7410" max="7410" width="6.28515625" style="483" customWidth="1"/>
    <col min="7411" max="7411" width="4.42578125" style="483" customWidth="1"/>
    <col min="7412" max="7412" width="38.42578125" style="483" customWidth="1"/>
    <col min="7413" max="7414" width="9.140625" style="483" customWidth="1"/>
    <col min="7415" max="7415" width="28.140625" style="483" customWidth="1"/>
    <col min="7416" max="7416" width="19.28515625" style="483" bestFit="1" customWidth="1"/>
    <col min="7417" max="7417" width="18" style="483" bestFit="1" customWidth="1"/>
    <col min="7418" max="7418" width="16.28515625" style="483" bestFit="1" customWidth="1"/>
    <col min="7419" max="7419" width="16.5703125" style="483" bestFit="1" customWidth="1"/>
    <col min="7420" max="7420" width="16.42578125" style="483" bestFit="1" customWidth="1"/>
    <col min="7421" max="7421" width="15.5703125" style="483" bestFit="1" customWidth="1"/>
    <col min="7422" max="7422" width="14.85546875" style="483" bestFit="1" customWidth="1"/>
    <col min="7423" max="7423" width="16" style="483" bestFit="1" customWidth="1"/>
    <col min="7424" max="7424" width="14.85546875" style="483" bestFit="1" customWidth="1"/>
    <col min="7425" max="7425" width="16" style="483" bestFit="1" customWidth="1"/>
    <col min="7426" max="7426" width="12.7109375" style="483" bestFit="1" customWidth="1"/>
    <col min="7427" max="7427" width="14.85546875" style="483" bestFit="1" customWidth="1"/>
    <col min="7428" max="7665" width="9.140625" style="483"/>
    <col min="7666" max="7666" width="6.28515625" style="483" customWidth="1"/>
    <col min="7667" max="7667" width="4.42578125" style="483" customWidth="1"/>
    <col min="7668" max="7668" width="38.42578125" style="483" customWidth="1"/>
    <col min="7669" max="7670" width="9.140625" style="483" customWidth="1"/>
    <col min="7671" max="7671" width="28.140625" style="483" customWidth="1"/>
    <col min="7672" max="7672" width="19.28515625" style="483" bestFit="1" customWidth="1"/>
    <col min="7673" max="7673" width="18" style="483" bestFit="1" customWidth="1"/>
    <col min="7674" max="7674" width="16.28515625" style="483" bestFit="1" customWidth="1"/>
    <col min="7675" max="7675" width="16.5703125" style="483" bestFit="1" customWidth="1"/>
    <col min="7676" max="7676" width="16.42578125" style="483" bestFit="1" customWidth="1"/>
    <col min="7677" max="7677" width="15.5703125" style="483" bestFit="1" customWidth="1"/>
    <col min="7678" max="7678" width="14.85546875" style="483" bestFit="1" customWidth="1"/>
    <col min="7679" max="7679" width="16" style="483" bestFit="1" customWidth="1"/>
    <col min="7680" max="7680" width="14.85546875" style="483" bestFit="1" customWidth="1"/>
    <col min="7681" max="7681" width="16" style="483" bestFit="1" customWidth="1"/>
    <col min="7682" max="7682" width="12.7109375" style="483" bestFit="1" customWidth="1"/>
    <col min="7683" max="7683" width="14.85546875" style="483" bestFit="1" customWidth="1"/>
    <col min="7684" max="7921" width="9.140625" style="483"/>
    <col min="7922" max="7922" width="6.28515625" style="483" customWidth="1"/>
    <col min="7923" max="7923" width="4.42578125" style="483" customWidth="1"/>
    <col min="7924" max="7924" width="38.42578125" style="483" customWidth="1"/>
    <col min="7925" max="7926" width="9.140625" style="483" customWidth="1"/>
    <col min="7927" max="7927" width="28.140625" style="483" customWidth="1"/>
    <col min="7928" max="7928" width="19.28515625" style="483" bestFit="1" customWidth="1"/>
    <col min="7929" max="7929" width="18" style="483" bestFit="1" customWidth="1"/>
    <col min="7930" max="7930" width="16.28515625" style="483" bestFit="1" customWidth="1"/>
    <col min="7931" max="7931" width="16.5703125" style="483" bestFit="1" customWidth="1"/>
    <col min="7932" max="7932" width="16.42578125" style="483" bestFit="1" customWidth="1"/>
    <col min="7933" max="7933" width="15.5703125" style="483" bestFit="1" customWidth="1"/>
    <col min="7934" max="7934" width="14.85546875" style="483" bestFit="1" customWidth="1"/>
    <col min="7935" max="7935" width="16" style="483" bestFit="1" customWidth="1"/>
    <col min="7936" max="7936" width="14.85546875" style="483" bestFit="1" customWidth="1"/>
    <col min="7937" max="7937" width="16" style="483" bestFit="1" customWidth="1"/>
    <col min="7938" max="7938" width="12.7109375" style="483" bestFit="1" customWidth="1"/>
    <col min="7939" max="7939" width="14.85546875" style="483" bestFit="1" customWidth="1"/>
    <col min="7940" max="8177" width="9.140625" style="483"/>
    <col min="8178" max="8178" width="6.28515625" style="483" customWidth="1"/>
    <col min="8179" max="8179" width="4.42578125" style="483" customWidth="1"/>
    <col min="8180" max="8180" width="38.42578125" style="483" customWidth="1"/>
    <col min="8181" max="8182" width="9.140625" style="483" customWidth="1"/>
    <col min="8183" max="8183" width="28.140625" style="483" customWidth="1"/>
    <col min="8184" max="8184" width="19.28515625" style="483" bestFit="1" customWidth="1"/>
    <col min="8185" max="8185" width="18" style="483" bestFit="1" customWidth="1"/>
    <col min="8186" max="8186" width="16.28515625" style="483" bestFit="1" customWidth="1"/>
    <col min="8187" max="8187" width="16.5703125" style="483" bestFit="1" customWidth="1"/>
    <col min="8188" max="8188" width="16.42578125" style="483" bestFit="1" customWidth="1"/>
    <col min="8189" max="8189" width="15.5703125" style="483" bestFit="1" customWidth="1"/>
    <col min="8190" max="8190" width="14.85546875" style="483" bestFit="1" customWidth="1"/>
    <col min="8191" max="8191" width="16" style="483" bestFit="1" customWidth="1"/>
    <col min="8192" max="8192" width="14.85546875" style="483" bestFit="1" customWidth="1"/>
    <col min="8193" max="8193" width="16" style="483" bestFit="1" customWidth="1"/>
    <col min="8194" max="8194" width="12.7109375" style="483" bestFit="1" customWidth="1"/>
    <col min="8195" max="8195" width="14.85546875" style="483" bestFit="1" customWidth="1"/>
    <col min="8196" max="8433" width="9.140625" style="483"/>
    <col min="8434" max="8434" width="6.28515625" style="483" customWidth="1"/>
    <col min="8435" max="8435" width="4.42578125" style="483" customWidth="1"/>
    <col min="8436" max="8436" width="38.42578125" style="483" customWidth="1"/>
    <col min="8437" max="8438" width="9.140625" style="483" customWidth="1"/>
    <col min="8439" max="8439" width="28.140625" style="483" customWidth="1"/>
    <col min="8440" max="8440" width="19.28515625" style="483" bestFit="1" customWidth="1"/>
    <col min="8441" max="8441" width="18" style="483" bestFit="1" customWidth="1"/>
    <col min="8442" max="8442" width="16.28515625" style="483" bestFit="1" customWidth="1"/>
    <col min="8443" max="8443" width="16.5703125" style="483" bestFit="1" customWidth="1"/>
    <col min="8444" max="8444" width="16.42578125" style="483" bestFit="1" customWidth="1"/>
    <col min="8445" max="8445" width="15.5703125" style="483" bestFit="1" customWidth="1"/>
    <col min="8446" max="8446" width="14.85546875" style="483" bestFit="1" customWidth="1"/>
    <col min="8447" max="8447" width="16" style="483" bestFit="1" customWidth="1"/>
    <col min="8448" max="8448" width="14.85546875" style="483" bestFit="1" customWidth="1"/>
    <col min="8449" max="8449" width="16" style="483" bestFit="1" customWidth="1"/>
    <col min="8450" max="8450" width="12.7109375" style="483" bestFit="1" customWidth="1"/>
    <col min="8451" max="8451" width="14.85546875" style="483" bestFit="1" customWidth="1"/>
    <col min="8452" max="8689" width="9.140625" style="483"/>
    <col min="8690" max="8690" width="6.28515625" style="483" customWidth="1"/>
    <col min="8691" max="8691" width="4.42578125" style="483" customWidth="1"/>
    <col min="8692" max="8692" width="38.42578125" style="483" customWidth="1"/>
    <col min="8693" max="8694" width="9.140625" style="483" customWidth="1"/>
    <col min="8695" max="8695" width="28.140625" style="483" customWidth="1"/>
    <col min="8696" max="8696" width="19.28515625" style="483" bestFit="1" customWidth="1"/>
    <col min="8697" max="8697" width="18" style="483" bestFit="1" customWidth="1"/>
    <col min="8698" max="8698" width="16.28515625" style="483" bestFit="1" customWidth="1"/>
    <col min="8699" max="8699" width="16.5703125" style="483" bestFit="1" customWidth="1"/>
    <col min="8700" max="8700" width="16.42578125" style="483" bestFit="1" customWidth="1"/>
    <col min="8701" max="8701" width="15.5703125" style="483" bestFit="1" customWidth="1"/>
    <col min="8702" max="8702" width="14.85546875" style="483" bestFit="1" customWidth="1"/>
    <col min="8703" max="8703" width="16" style="483" bestFit="1" customWidth="1"/>
    <col min="8704" max="8704" width="14.85546875" style="483" bestFit="1" customWidth="1"/>
    <col min="8705" max="8705" width="16" style="483" bestFit="1" customWidth="1"/>
    <col min="8706" max="8706" width="12.7109375" style="483" bestFit="1" customWidth="1"/>
    <col min="8707" max="8707" width="14.85546875" style="483" bestFit="1" customWidth="1"/>
    <col min="8708" max="8945" width="9.140625" style="483"/>
    <col min="8946" max="8946" width="6.28515625" style="483" customWidth="1"/>
    <col min="8947" max="8947" width="4.42578125" style="483" customWidth="1"/>
    <col min="8948" max="8948" width="38.42578125" style="483" customWidth="1"/>
    <col min="8949" max="8950" width="9.140625" style="483" customWidth="1"/>
    <col min="8951" max="8951" width="28.140625" style="483" customWidth="1"/>
    <col min="8952" max="8952" width="19.28515625" style="483" bestFit="1" customWidth="1"/>
    <col min="8953" max="8953" width="18" style="483" bestFit="1" customWidth="1"/>
    <col min="8954" max="8954" width="16.28515625" style="483" bestFit="1" customWidth="1"/>
    <col min="8955" max="8955" width="16.5703125" style="483" bestFit="1" customWidth="1"/>
    <col min="8956" max="8956" width="16.42578125" style="483" bestFit="1" customWidth="1"/>
    <col min="8957" max="8957" width="15.5703125" style="483" bestFit="1" customWidth="1"/>
    <col min="8958" max="8958" width="14.85546875" style="483" bestFit="1" customWidth="1"/>
    <col min="8959" max="8959" width="16" style="483" bestFit="1" customWidth="1"/>
    <col min="8960" max="8960" width="14.85546875" style="483" bestFit="1" customWidth="1"/>
    <col min="8961" max="8961" width="16" style="483" bestFit="1" customWidth="1"/>
    <col min="8962" max="8962" width="12.7109375" style="483" bestFit="1" customWidth="1"/>
    <col min="8963" max="8963" width="14.85546875" style="483" bestFit="1" customWidth="1"/>
    <col min="8964" max="9201" width="9.140625" style="483"/>
    <col min="9202" max="9202" width="6.28515625" style="483" customWidth="1"/>
    <col min="9203" max="9203" width="4.42578125" style="483" customWidth="1"/>
    <col min="9204" max="9204" width="38.42578125" style="483" customWidth="1"/>
    <col min="9205" max="9206" width="9.140625" style="483" customWidth="1"/>
    <col min="9207" max="9207" width="28.140625" style="483" customWidth="1"/>
    <col min="9208" max="9208" width="19.28515625" style="483" bestFit="1" customWidth="1"/>
    <col min="9209" max="9209" width="18" style="483" bestFit="1" customWidth="1"/>
    <col min="9210" max="9210" width="16.28515625" style="483" bestFit="1" customWidth="1"/>
    <col min="9211" max="9211" width="16.5703125" style="483" bestFit="1" customWidth="1"/>
    <col min="9212" max="9212" width="16.42578125" style="483" bestFit="1" customWidth="1"/>
    <col min="9213" max="9213" width="15.5703125" style="483" bestFit="1" customWidth="1"/>
    <col min="9214" max="9214" width="14.85546875" style="483" bestFit="1" customWidth="1"/>
    <col min="9215" max="9215" width="16" style="483" bestFit="1" customWidth="1"/>
    <col min="9216" max="9216" width="14.85546875" style="483" bestFit="1" customWidth="1"/>
    <col min="9217" max="9217" width="16" style="483" bestFit="1" customWidth="1"/>
    <col min="9218" max="9218" width="12.7109375" style="483" bestFit="1" customWidth="1"/>
    <col min="9219" max="9219" width="14.85546875" style="483" bestFit="1" customWidth="1"/>
    <col min="9220" max="9457" width="9.140625" style="483"/>
    <col min="9458" max="9458" width="6.28515625" style="483" customWidth="1"/>
    <col min="9459" max="9459" width="4.42578125" style="483" customWidth="1"/>
    <col min="9460" max="9460" width="38.42578125" style="483" customWidth="1"/>
    <col min="9461" max="9462" width="9.140625" style="483" customWidth="1"/>
    <col min="9463" max="9463" width="28.140625" style="483" customWidth="1"/>
    <col min="9464" max="9464" width="19.28515625" style="483" bestFit="1" customWidth="1"/>
    <col min="9465" max="9465" width="18" style="483" bestFit="1" customWidth="1"/>
    <col min="9466" max="9466" width="16.28515625" style="483" bestFit="1" customWidth="1"/>
    <col min="9467" max="9467" width="16.5703125" style="483" bestFit="1" customWidth="1"/>
    <col min="9468" max="9468" width="16.42578125" style="483" bestFit="1" customWidth="1"/>
    <col min="9469" max="9469" width="15.5703125" style="483" bestFit="1" customWidth="1"/>
    <col min="9470" max="9470" width="14.85546875" style="483" bestFit="1" customWidth="1"/>
    <col min="9471" max="9471" width="16" style="483" bestFit="1" customWidth="1"/>
    <col min="9472" max="9472" width="14.85546875" style="483" bestFit="1" customWidth="1"/>
    <col min="9473" max="9473" width="16" style="483" bestFit="1" customWidth="1"/>
    <col min="9474" max="9474" width="12.7109375" style="483" bestFit="1" customWidth="1"/>
    <col min="9475" max="9475" width="14.85546875" style="483" bestFit="1" customWidth="1"/>
    <col min="9476" max="9713" width="9.140625" style="483"/>
    <col min="9714" max="9714" width="6.28515625" style="483" customWidth="1"/>
    <col min="9715" max="9715" width="4.42578125" style="483" customWidth="1"/>
    <col min="9716" max="9716" width="38.42578125" style="483" customWidth="1"/>
    <col min="9717" max="9718" width="9.140625" style="483" customWidth="1"/>
    <col min="9719" max="9719" width="28.140625" style="483" customWidth="1"/>
    <col min="9720" max="9720" width="19.28515625" style="483" bestFit="1" customWidth="1"/>
    <col min="9721" max="9721" width="18" style="483" bestFit="1" customWidth="1"/>
    <col min="9722" max="9722" width="16.28515625" style="483" bestFit="1" customWidth="1"/>
    <col min="9723" max="9723" width="16.5703125" style="483" bestFit="1" customWidth="1"/>
    <col min="9724" max="9724" width="16.42578125" style="483" bestFit="1" customWidth="1"/>
    <col min="9725" max="9725" width="15.5703125" style="483" bestFit="1" customWidth="1"/>
    <col min="9726" max="9726" width="14.85546875" style="483" bestFit="1" customWidth="1"/>
    <col min="9727" max="9727" width="16" style="483" bestFit="1" customWidth="1"/>
    <col min="9728" max="9728" width="14.85546875" style="483" bestFit="1" customWidth="1"/>
    <col min="9729" max="9729" width="16" style="483" bestFit="1" customWidth="1"/>
    <col min="9730" max="9730" width="12.7109375" style="483" bestFit="1" customWidth="1"/>
    <col min="9731" max="9731" width="14.85546875" style="483" bestFit="1" customWidth="1"/>
    <col min="9732" max="9969" width="9.140625" style="483"/>
    <col min="9970" max="9970" width="6.28515625" style="483" customWidth="1"/>
    <col min="9971" max="9971" width="4.42578125" style="483" customWidth="1"/>
    <col min="9972" max="9972" width="38.42578125" style="483" customWidth="1"/>
    <col min="9973" max="9974" width="9.140625" style="483" customWidth="1"/>
    <col min="9975" max="9975" width="28.140625" style="483" customWidth="1"/>
    <col min="9976" max="9976" width="19.28515625" style="483" bestFit="1" customWidth="1"/>
    <col min="9977" max="9977" width="18" style="483" bestFit="1" customWidth="1"/>
    <col min="9978" max="9978" width="16.28515625" style="483" bestFit="1" customWidth="1"/>
    <col min="9979" max="9979" width="16.5703125" style="483" bestFit="1" customWidth="1"/>
    <col min="9980" max="9980" width="16.42578125" style="483" bestFit="1" customWidth="1"/>
    <col min="9981" max="9981" width="15.5703125" style="483" bestFit="1" customWidth="1"/>
    <col min="9982" max="9982" width="14.85546875" style="483" bestFit="1" customWidth="1"/>
    <col min="9983" max="9983" width="16" style="483" bestFit="1" customWidth="1"/>
    <col min="9984" max="9984" width="14.85546875" style="483" bestFit="1" customWidth="1"/>
    <col min="9985" max="9985" width="16" style="483" bestFit="1" customWidth="1"/>
    <col min="9986" max="9986" width="12.7109375" style="483" bestFit="1" customWidth="1"/>
    <col min="9987" max="9987" width="14.85546875" style="483" bestFit="1" customWidth="1"/>
    <col min="9988" max="10225" width="9.140625" style="483"/>
    <col min="10226" max="10226" width="6.28515625" style="483" customWidth="1"/>
    <col min="10227" max="10227" width="4.42578125" style="483" customWidth="1"/>
    <col min="10228" max="10228" width="38.42578125" style="483" customWidth="1"/>
    <col min="10229" max="10230" width="9.140625" style="483" customWidth="1"/>
    <col min="10231" max="10231" width="28.140625" style="483" customWidth="1"/>
    <col min="10232" max="10232" width="19.28515625" style="483" bestFit="1" customWidth="1"/>
    <col min="10233" max="10233" width="18" style="483" bestFit="1" customWidth="1"/>
    <col min="10234" max="10234" width="16.28515625" style="483" bestFit="1" customWidth="1"/>
    <col min="10235" max="10235" width="16.5703125" style="483" bestFit="1" customWidth="1"/>
    <col min="10236" max="10236" width="16.42578125" style="483" bestFit="1" customWidth="1"/>
    <col min="10237" max="10237" width="15.5703125" style="483" bestFit="1" customWidth="1"/>
    <col min="10238" max="10238" width="14.85546875" style="483" bestFit="1" customWidth="1"/>
    <col min="10239" max="10239" width="16" style="483" bestFit="1" customWidth="1"/>
    <col min="10240" max="10240" width="14.85546875" style="483" bestFit="1" customWidth="1"/>
    <col min="10241" max="10241" width="16" style="483" bestFit="1" customWidth="1"/>
    <col min="10242" max="10242" width="12.7109375" style="483" bestFit="1" customWidth="1"/>
    <col min="10243" max="10243" width="14.85546875" style="483" bestFit="1" customWidth="1"/>
    <col min="10244" max="10481" width="9.140625" style="483"/>
    <col min="10482" max="10482" width="6.28515625" style="483" customWidth="1"/>
    <col min="10483" max="10483" width="4.42578125" style="483" customWidth="1"/>
    <col min="10484" max="10484" width="38.42578125" style="483" customWidth="1"/>
    <col min="10485" max="10486" width="9.140625" style="483" customWidth="1"/>
    <col min="10487" max="10487" width="28.140625" style="483" customWidth="1"/>
    <col min="10488" max="10488" width="19.28515625" style="483" bestFit="1" customWidth="1"/>
    <col min="10489" max="10489" width="18" style="483" bestFit="1" customWidth="1"/>
    <col min="10490" max="10490" width="16.28515625" style="483" bestFit="1" customWidth="1"/>
    <col min="10491" max="10491" width="16.5703125" style="483" bestFit="1" customWidth="1"/>
    <col min="10492" max="10492" width="16.42578125" style="483" bestFit="1" customWidth="1"/>
    <col min="10493" max="10493" width="15.5703125" style="483" bestFit="1" customWidth="1"/>
    <col min="10494" max="10494" width="14.85546875" style="483" bestFit="1" customWidth="1"/>
    <col min="10495" max="10495" width="16" style="483" bestFit="1" customWidth="1"/>
    <col min="10496" max="10496" width="14.85546875" style="483" bestFit="1" customWidth="1"/>
    <col min="10497" max="10497" width="16" style="483" bestFit="1" customWidth="1"/>
    <col min="10498" max="10498" width="12.7109375" style="483" bestFit="1" customWidth="1"/>
    <col min="10499" max="10499" width="14.85546875" style="483" bestFit="1" customWidth="1"/>
    <col min="10500" max="10737" width="9.140625" style="483"/>
    <col min="10738" max="10738" width="6.28515625" style="483" customWidth="1"/>
    <col min="10739" max="10739" width="4.42578125" style="483" customWidth="1"/>
    <col min="10740" max="10740" width="38.42578125" style="483" customWidth="1"/>
    <col min="10741" max="10742" width="9.140625" style="483" customWidth="1"/>
    <col min="10743" max="10743" width="28.140625" style="483" customWidth="1"/>
    <col min="10744" max="10744" width="19.28515625" style="483" bestFit="1" customWidth="1"/>
    <col min="10745" max="10745" width="18" style="483" bestFit="1" customWidth="1"/>
    <col min="10746" max="10746" width="16.28515625" style="483" bestFit="1" customWidth="1"/>
    <col min="10747" max="10747" width="16.5703125" style="483" bestFit="1" customWidth="1"/>
    <col min="10748" max="10748" width="16.42578125" style="483" bestFit="1" customWidth="1"/>
    <col min="10749" max="10749" width="15.5703125" style="483" bestFit="1" customWidth="1"/>
    <col min="10750" max="10750" width="14.85546875" style="483" bestFit="1" customWidth="1"/>
    <col min="10751" max="10751" width="16" style="483" bestFit="1" customWidth="1"/>
    <col min="10752" max="10752" width="14.85546875" style="483" bestFit="1" customWidth="1"/>
    <col min="10753" max="10753" width="16" style="483" bestFit="1" customWidth="1"/>
    <col min="10754" max="10754" width="12.7109375" style="483" bestFit="1" customWidth="1"/>
    <col min="10755" max="10755" width="14.85546875" style="483" bestFit="1" customWidth="1"/>
    <col min="10756" max="10993" width="9.140625" style="483"/>
    <col min="10994" max="10994" width="6.28515625" style="483" customWidth="1"/>
    <col min="10995" max="10995" width="4.42578125" style="483" customWidth="1"/>
    <col min="10996" max="10996" width="38.42578125" style="483" customWidth="1"/>
    <col min="10997" max="10998" width="9.140625" style="483" customWidth="1"/>
    <col min="10999" max="10999" width="28.140625" style="483" customWidth="1"/>
    <col min="11000" max="11000" width="19.28515625" style="483" bestFit="1" customWidth="1"/>
    <col min="11001" max="11001" width="18" style="483" bestFit="1" customWidth="1"/>
    <col min="11002" max="11002" width="16.28515625" style="483" bestFit="1" customWidth="1"/>
    <col min="11003" max="11003" width="16.5703125" style="483" bestFit="1" customWidth="1"/>
    <col min="11004" max="11004" width="16.42578125" style="483" bestFit="1" customWidth="1"/>
    <col min="11005" max="11005" width="15.5703125" style="483" bestFit="1" customWidth="1"/>
    <col min="11006" max="11006" width="14.85546875" style="483" bestFit="1" customWidth="1"/>
    <col min="11007" max="11007" width="16" style="483" bestFit="1" customWidth="1"/>
    <col min="11008" max="11008" width="14.85546875" style="483" bestFit="1" customWidth="1"/>
    <col min="11009" max="11009" width="16" style="483" bestFit="1" customWidth="1"/>
    <col min="11010" max="11010" width="12.7109375" style="483" bestFit="1" customWidth="1"/>
    <col min="11011" max="11011" width="14.85546875" style="483" bestFit="1" customWidth="1"/>
    <col min="11012" max="11249" width="9.140625" style="483"/>
    <col min="11250" max="11250" width="6.28515625" style="483" customWidth="1"/>
    <col min="11251" max="11251" width="4.42578125" style="483" customWidth="1"/>
    <col min="11252" max="11252" width="38.42578125" style="483" customWidth="1"/>
    <col min="11253" max="11254" width="9.140625" style="483" customWidth="1"/>
    <col min="11255" max="11255" width="28.140625" style="483" customWidth="1"/>
    <col min="11256" max="11256" width="19.28515625" style="483" bestFit="1" customWidth="1"/>
    <col min="11257" max="11257" width="18" style="483" bestFit="1" customWidth="1"/>
    <col min="11258" max="11258" width="16.28515625" style="483" bestFit="1" customWidth="1"/>
    <col min="11259" max="11259" width="16.5703125" style="483" bestFit="1" customWidth="1"/>
    <col min="11260" max="11260" width="16.42578125" style="483" bestFit="1" customWidth="1"/>
    <col min="11261" max="11261" width="15.5703125" style="483" bestFit="1" customWidth="1"/>
    <col min="11262" max="11262" width="14.85546875" style="483" bestFit="1" customWidth="1"/>
    <col min="11263" max="11263" width="16" style="483" bestFit="1" customWidth="1"/>
    <col min="11264" max="11264" width="14.85546875" style="483" bestFit="1" customWidth="1"/>
    <col min="11265" max="11265" width="16" style="483" bestFit="1" customWidth="1"/>
    <col min="11266" max="11266" width="12.7109375" style="483" bestFit="1" customWidth="1"/>
    <col min="11267" max="11267" width="14.85546875" style="483" bestFit="1" customWidth="1"/>
    <col min="11268" max="11505" width="9.140625" style="483"/>
    <col min="11506" max="11506" width="6.28515625" style="483" customWidth="1"/>
    <col min="11507" max="11507" width="4.42578125" style="483" customWidth="1"/>
    <col min="11508" max="11508" width="38.42578125" style="483" customWidth="1"/>
    <col min="11509" max="11510" width="9.140625" style="483" customWidth="1"/>
    <col min="11511" max="11511" width="28.140625" style="483" customWidth="1"/>
    <col min="11512" max="11512" width="19.28515625" style="483" bestFit="1" customWidth="1"/>
    <col min="11513" max="11513" width="18" style="483" bestFit="1" customWidth="1"/>
    <col min="11514" max="11514" width="16.28515625" style="483" bestFit="1" customWidth="1"/>
    <col min="11515" max="11515" width="16.5703125" style="483" bestFit="1" customWidth="1"/>
    <col min="11516" max="11516" width="16.42578125" style="483" bestFit="1" customWidth="1"/>
    <col min="11517" max="11517" width="15.5703125" style="483" bestFit="1" customWidth="1"/>
    <col min="11518" max="11518" width="14.85546875" style="483" bestFit="1" customWidth="1"/>
    <col min="11519" max="11519" width="16" style="483" bestFit="1" customWidth="1"/>
    <col min="11520" max="11520" width="14.85546875" style="483" bestFit="1" customWidth="1"/>
    <col min="11521" max="11521" width="16" style="483" bestFit="1" customWidth="1"/>
    <col min="11522" max="11522" width="12.7109375" style="483" bestFit="1" customWidth="1"/>
    <col min="11523" max="11523" width="14.85546875" style="483" bestFit="1" customWidth="1"/>
    <col min="11524" max="11761" width="9.140625" style="483"/>
    <col min="11762" max="11762" width="6.28515625" style="483" customWidth="1"/>
    <col min="11763" max="11763" width="4.42578125" style="483" customWidth="1"/>
    <col min="11764" max="11764" width="38.42578125" style="483" customWidth="1"/>
    <col min="11765" max="11766" width="9.140625" style="483" customWidth="1"/>
    <col min="11767" max="11767" width="28.140625" style="483" customWidth="1"/>
    <col min="11768" max="11768" width="19.28515625" style="483" bestFit="1" customWidth="1"/>
    <col min="11769" max="11769" width="18" style="483" bestFit="1" customWidth="1"/>
    <col min="11770" max="11770" width="16.28515625" style="483" bestFit="1" customWidth="1"/>
    <col min="11771" max="11771" width="16.5703125" style="483" bestFit="1" customWidth="1"/>
    <col min="11772" max="11772" width="16.42578125" style="483" bestFit="1" customWidth="1"/>
    <col min="11773" max="11773" width="15.5703125" style="483" bestFit="1" customWidth="1"/>
    <col min="11774" max="11774" width="14.85546875" style="483" bestFit="1" customWidth="1"/>
    <col min="11775" max="11775" width="16" style="483" bestFit="1" customWidth="1"/>
    <col min="11776" max="11776" width="14.85546875" style="483" bestFit="1" customWidth="1"/>
    <col min="11777" max="11777" width="16" style="483" bestFit="1" customWidth="1"/>
    <col min="11778" max="11778" width="12.7109375" style="483" bestFit="1" customWidth="1"/>
    <col min="11779" max="11779" width="14.85546875" style="483" bestFit="1" customWidth="1"/>
    <col min="11780" max="12017" width="9.140625" style="483"/>
    <col min="12018" max="12018" width="6.28515625" style="483" customWidth="1"/>
    <col min="12019" max="12019" width="4.42578125" style="483" customWidth="1"/>
    <col min="12020" max="12020" width="38.42578125" style="483" customWidth="1"/>
    <col min="12021" max="12022" width="9.140625" style="483" customWidth="1"/>
    <col min="12023" max="12023" width="28.140625" style="483" customWidth="1"/>
    <col min="12024" max="12024" width="19.28515625" style="483" bestFit="1" customWidth="1"/>
    <col min="12025" max="12025" width="18" style="483" bestFit="1" customWidth="1"/>
    <col min="12026" max="12026" width="16.28515625" style="483" bestFit="1" customWidth="1"/>
    <col min="12027" max="12027" width="16.5703125" style="483" bestFit="1" customWidth="1"/>
    <col min="12028" max="12028" width="16.42578125" style="483" bestFit="1" customWidth="1"/>
    <col min="12029" max="12029" width="15.5703125" style="483" bestFit="1" customWidth="1"/>
    <col min="12030" max="12030" width="14.85546875" style="483" bestFit="1" customWidth="1"/>
    <col min="12031" max="12031" width="16" style="483" bestFit="1" customWidth="1"/>
    <col min="12032" max="12032" width="14.85546875" style="483" bestFit="1" customWidth="1"/>
    <col min="12033" max="12033" width="16" style="483" bestFit="1" customWidth="1"/>
    <col min="12034" max="12034" width="12.7109375" style="483" bestFit="1" customWidth="1"/>
    <col min="12035" max="12035" width="14.85546875" style="483" bestFit="1" customWidth="1"/>
    <col min="12036" max="12273" width="9.140625" style="483"/>
    <col min="12274" max="12274" width="6.28515625" style="483" customWidth="1"/>
    <col min="12275" max="12275" width="4.42578125" style="483" customWidth="1"/>
    <col min="12276" max="12276" width="38.42578125" style="483" customWidth="1"/>
    <col min="12277" max="12278" width="9.140625" style="483" customWidth="1"/>
    <col min="12279" max="12279" width="28.140625" style="483" customWidth="1"/>
    <col min="12280" max="12280" width="19.28515625" style="483" bestFit="1" customWidth="1"/>
    <col min="12281" max="12281" width="18" style="483" bestFit="1" customWidth="1"/>
    <col min="12282" max="12282" width="16.28515625" style="483" bestFit="1" customWidth="1"/>
    <col min="12283" max="12283" width="16.5703125" style="483" bestFit="1" customWidth="1"/>
    <col min="12284" max="12284" width="16.42578125" style="483" bestFit="1" customWidth="1"/>
    <col min="12285" max="12285" width="15.5703125" style="483" bestFit="1" customWidth="1"/>
    <col min="12286" max="12286" width="14.85546875" style="483" bestFit="1" customWidth="1"/>
    <col min="12287" max="12287" width="16" style="483" bestFit="1" customWidth="1"/>
    <col min="12288" max="12288" width="14.85546875" style="483" bestFit="1" customWidth="1"/>
    <col min="12289" max="12289" width="16" style="483" bestFit="1" customWidth="1"/>
    <col min="12290" max="12290" width="12.7109375" style="483" bestFit="1" customWidth="1"/>
    <col min="12291" max="12291" width="14.85546875" style="483" bestFit="1" customWidth="1"/>
    <col min="12292" max="12529" width="9.140625" style="483"/>
    <col min="12530" max="12530" width="6.28515625" style="483" customWidth="1"/>
    <col min="12531" max="12531" width="4.42578125" style="483" customWidth="1"/>
    <col min="12532" max="12532" width="38.42578125" style="483" customWidth="1"/>
    <col min="12533" max="12534" width="9.140625" style="483" customWidth="1"/>
    <col min="12535" max="12535" width="28.140625" style="483" customWidth="1"/>
    <col min="12536" max="12536" width="19.28515625" style="483" bestFit="1" customWidth="1"/>
    <col min="12537" max="12537" width="18" style="483" bestFit="1" customWidth="1"/>
    <col min="12538" max="12538" width="16.28515625" style="483" bestFit="1" customWidth="1"/>
    <col min="12539" max="12539" width="16.5703125" style="483" bestFit="1" customWidth="1"/>
    <col min="12540" max="12540" width="16.42578125" style="483" bestFit="1" customWidth="1"/>
    <col min="12541" max="12541" width="15.5703125" style="483" bestFit="1" customWidth="1"/>
    <col min="12542" max="12542" width="14.85546875" style="483" bestFit="1" customWidth="1"/>
    <col min="12543" max="12543" width="16" style="483" bestFit="1" customWidth="1"/>
    <col min="12544" max="12544" width="14.85546875" style="483" bestFit="1" customWidth="1"/>
    <col min="12545" max="12545" width="16" style="483" bestFit="1" customWidth="1"/>
    <col min="12546" max="12546" width="12.7109375" style="483" bestFit="1" customWidth="1"/>
    <col min="12547" max="12547" width="14.85546875" style="483" bestFit="1" customWidth="1"/>
    <col min="12548" max="12785" width="9.140625" style="483"/>
    <col min="12786" max="12786" width="6.28515625" style="483" customWidth="1"/>
    <col min="12787" max="12787" width="4.42578125" style="483" customWidth="1"/>
    <col min="12788" max="12788" width="38.42578125" style="483" customWidth="1"/>
    <col min="12789" max="12790" width="9.140625" style="483" customWidth="1"/>
    <col min="12791" max="12791" width="28.140625" style="483" customWidth="1"/>
    <col min="12792" max="12792" width="19.28515625" style="483" bestFit="1" customWidth="1"/>
    <col min="12793" max="12793" width="18" style="483" bestFit="1" customWidth="1"/>
    <col min="12794" max="12794" width="16.28515625" style="483" bestFit="1" customWidth="1"/>
    <col min="12795" max="12795" width="16.5703125" style="483" bestFit="1" customWidth="1"/>
    <col min="12796" max="12796" width="16.42578125" style="483" bestFit="1" customWidth="1"/>
    <col min="12797" max="12797" width="15.5703125" style="483" bestFit="1" customWidth="1"/>
    <col min="12798" max="12798" width="14.85546875" style="483" bestFit="1" customWidth="1"/>
    <col min="12799" max="12799" width="16" style="483" bestFit="1" customWidth="1"/>
    <col min="12800" max="12800" width="14.85546875" style="483" bestFit="1" customWidth="1"/>
    <col min="12801" max="12801" width="16" style="483" bestFit="1" customWidth="1"/>
    <col min="12802" max="12802" width="12.7109375" style="483" bestFit="1" customWidth="1"/>
    <col min="12803" max="12803" width="14.85546875" style="483" bestFit="1" customWidth="1"/>
    <col min="12804" max="13041" width="9.140625" style="483"/>
    <col min="13042" max="13042" width="6.28515625" style="483" customWidth="1"/>
    <col min="13043" max="13043" width="4.42578125" style="483" customWidth="1"/>
    <col min="13044" max="13044" width="38.42578125" style="483" customWidth="1"/>
    <col min="13045" max="13046" width="9.140625" style="483" customWidth="1"/>
    <col min="13047" max="13047" width="28.140625" style="483" customWidth="1"/>
    <col min="13048" max="13048" width="19.28515625" style="483" bestFit="1" customWidth="1"/>
    <col min="13049" max="13049" width="18" style="483" bestFit="1" customWidth="1"/>
    <col min="13050" max="13050" width="16.28515625" style="483" bestFit="1" customWidth="1"/>
    <col min="13051" max="13051" width="16.5703125" style="483" bestFit="1" customWidth="1"/>
    <col min="13052" max="13052" width="16.42578125" style="483" bestFit="1" customWidth="1"/>
    <col min="13053" max="13053" width="15.5703125" style="483" bestFit="1" customWidth="1"/>
    <col min="13054" max="13054" width="14.85546875" style="483" bestFit="1" customWidth="1"/>
    <col min="13055" max="13055" width="16" style="483" bestFit="1" customWidth="1"/>
    <col min="13056" max="13056" width="14.85546875" style="483" bestFit="1" customWidth="1"/>
    <col min="13057" max="13057" width="16" style="483" bestFit="1" customWidth="1"/>
    <col min="13058" max="13058" width="12.7109375" style="483" bestFit="1" customWidth="1"/>
    <col min="13059" max="13059" width="14.85546875" style="483" bestFit="1" customWidth="1"/>
    <col min="13060" max="13297" width="9.140625" style="483"/>
    <col min="13298" max="13298" width="6.28515625" style="483" customWidth="1"/>
    <col min="13299" max="13299" width="4.42578125" style="483" customWidth="1"/>
    <col min="13300" max="13300" width="38.42578125" style="483" customWidth="1"/>
    <col min="13301" max="13302" width="9.140625" style="483" customWidth="1"/>
    <col min="13303" max="13303" width="28.140625" style="483" customWidth="1"/>
    <col min="13304" max="13304" width="19.28515625" style="483" bestFit="1" customWidth="1"/>
    <col min="13305" max="13305" width="18" style="483" bestFit="1" customWidth="1"/>
    <col min="13306" max="13306" width="16.28515625" style="483" bestFit="1" customWidth="1"/>
    <col min="13307" max="13307" width="16.5703125" style="483" bestFit="1" customWidth="1"/>
    <col min="13308" max="13308" width="16.42578125" style="483" bestFit="1" customWidth="1"/>
    <col min="13309" max="13309" width="15.5703125" style="483" bestFit="1" customWidth="1"/>
    <col min="13310" max="13310" width="14.85546875" style="483" bestFit="1" customWidth="1"/>
    <col min="13311" max="13311" width="16" style="483" bestFit="1" customWidth="1"/>
    <col min="13312" max="13312" width="14.85546875" style="483" bestFit="1" customWidth="1"/>
    <col min="13313" max="13313" width="16" style="483" bestFit="1" customWidth="1"/>
    <col min="13314" max="13314" width="12.7109375" style="483" bestFit="1" customWidth="1"/>
    <col min="13315" max="13315" width="14.85546875" style="483" bestFit="1" customWidth="1"/>
    <col min="13316" max="13553" width="9.140625" style="483"/>
    <col min="13554" max="13554" width="6.28515625" style="483" customWidth="1"/>
    <col min="13555" max="13555" width="4.42578125" style="483" customWidth="1"/>
    <col min="13556" max="13556" width="38.42578125" style="483" customWidth="1"/>
    <col min="13557" max="13558" width="9.140625" style="483" customWidth="1"/>
    <col min="13559" max="13559" width="28.140625" style="483" customWidth="1"/>
    <col min="13560" max="13560" width="19.28515625" style="483" bestFit="1" customWidth="1"/>
    <col min="13561" max="13561" width="18" style="483" bestFit="1" customWidth="1"/>
    <col min="13562" max="13562" width="16.28515625" style="483" bestFit="1" customWidth="1"/>
    <col min="13563" max="13563" width="16.5703125" style="483" bestFit="1" customWidth="1"/>
    <col min="13564" max="13564" width="16.42578125" style="483" bestFit="1" customWidth="1"/>
    <col min="13565" max="13565" width="15.5703125" style="483" bestFit="1" customWidth="1"/>
    <col min="13566" max="13566" width="14.85546875" style="483" bestFit="1" customWidth="1"/>
    <col min="13567" max="13567" width="16" style="483" bestFit="1" customWidth="1"/>
    <col min="13568" max="13568" width="14.85546875" style="483" bestFit="1" customWidth="1"/>
    <col min="13569" max="13569" width="16" style="483" bestFit="1" customWidth="1"/>
    <col min="13570" max="13570" width="12.7109375" style="483" bestFit="1" customWidth="1"/>
    <col min="13571" max="13571" width="14.85546875" style="483" bestFit="1" customWidth="1"/>
    <col min="13572" max="13809" width="9.140625" style="483"/>
    <col min="13810" max="13810" width="6.28515625" style="483" customWidth="1"/>
    <col min="13811" max="13811" width="4.42578125" style="483" customWidth="1"/>
    <col min="13812" max="13812" width="38.42578125" style="483" customWidth="1"/>
    <col min="13813" max="13814" width="9.140625" style="483" customWidth="1"/>
    <col min="13815" max="13815" width="28.140625" style="483" customWidth="1"/>
    <col min="13816" max="13816" width="19.28515625" style="483" bestFit="1" customWidth="1"/>
    <col min="13817" max="13817" width="18" style="483" bestFit="1" customWidth="1"/>
    <col min="13818" max="13818" width="16.28515625" style="483" bestFit="1" customWidth="1"/>
    <col min="13819" max="13819" width="16.5703125" style="483" bestFit="1" customWidth="1"/>
    <col min="13820" max="13820" width="16.42578125" style="483" bestFit="1" customWidth="1"/>
    <col min="13821" max="13821" width="15.5703125" style="483" bestFit="1" customWidth="1"/>
    <col min="13822" max="13822" width="14.85546875" style="483" bestFit="1" customWidth="1"/>
    <col min="13823" max="13823" width="16" style="483" bestFit="1" customWidth="1"/>
    <col min="13824" max="13824" width="14.85546875" style="483" bestFit="1" customWidth="1"/>
    <col min="13825" max="13825" width="16" style="483" bestFit="1" customWidth="1"/>
    <col min="13826" max="13826" width="12.7109375" style="483" bestFit="1" customWidth="1"/>
    <col min="13827" max="13827" width="14.85546875" style="483" bestFit="1" customWidth="1"/>
    <col min="13828" max="14065" width="9.140625" style="483"/>
    <col min="14066" max="14066" width="6.28515625" style="483" customWidth="1"/>
    <col min="14067" max="14067" width="4.42578125" style="483" customWidth="1"/>
    <col min="14068" max="14068" width="38.42578125" style="483" customWidth="1"/>
    <col min="14069" max="14070" width="9.140625" style="483" customWidth="1"/>
    <col min="14071" max="14071" width="28.140625" style="483" customWidth="1"/>
    <col min="14072" max="14072" width="19.28515625" style="483" bestFit="1" customWidth="1"/>
    <col min="14073" max="14073" width="18" style="483" bestFit="1" customWidth="1"/>
    <col min="14074" max="14074" width="16.28515625" style="483" bestFit="1" customWidth="1"/>
    <col min="14075" max="14075" width="16.5703125" style="483" bestFit="1" customWidth="1"/>
    <col min="14076" max="14076" width="16.42578125" style="483" bestFit="1" customWidth="1"/>
    <col min="14077" max="14077" width="15.5703125" style="483" bestFit="1" customWidth="1"/>
    <col min="14078" max="14078" width="14.85546875" style="483" bestFit="1" customWidth="1"/>
    <col min="14079" max="14079" width="16" style="483" bestFit="1" customWidth="1"/>
    <col min="14080" max="14080" width="14.85546875" style="483" bestFit="1" customWidth="1"/>
    <col min="14081" max="14081" width="16" style="483" bestFit="1" customWidth="1"/>
    <col min="14082" max="14082" width="12.7109375" style="483" bestFit="1" customWidth="1"/>
    <col min="14083" max="14083" width="14.85546875" style="483" bestFit="1" customWidth="1"/>
    <col min="14084" max="14321" width="9.140625" style="483"/>
    <col min="14322" max="14322" width="6.28515625" style="483" customWidth="1"/>
    <col min="14323" max="14323" width="4.42578125" style="483" customWidth="1"/>
    <col min="14324" max="14324" width="38.42578125" style="483" customWidth="1"/>
    <col min="14325" max="14326" width="9.140625" style="483" customWidth="1"/>
    <col min="14327" max="14327" width="28.140625" style="483" customWidth="1"/>
    <col min="14328" max="14328" width="19.28515625" style="483" bestFit="1" customWidth="1"/>
    <col min="14329" max="14329" width="18" style="483" bestFit="1" customWidth="1"/>
    <col min="14330" max="14330" width="16.28515625" style="483" bestFit="1" customWidth="1"/>
    <col min="14331" max="14331" width="16.5703125" style="483" bestFit="1" customWidth="1"/>
    <col min="14332" max="14332" width="16.42578125" style="483" bestFit="1" customWidth="1"/>
    <col min="14333" max="14333" width="15.5703125" style="483" bestFit="1" customWidth="1"/>
    <col min="14334" max="14334" width="14.85546875" style="483" bestFit="1" customWidth="1"/>
    <col min="14335" max="14335" width="16" style="483" bestFit="1" customWidth="1"/>
    <col min="14336" max="14336" width="14.85546875" style="483" bestFit="1" customWidth="1"/>
    <col min="14337" max="14337" width="16" style="483" bestFit="1" customWidth="1"/>
    <col min="14338" max="14338" width="12.7109375" style="483" bestFit="1" customWidth="1"/>
    <col min="14339" max="14339" width="14.85546875" style="483" bestFit="1" customWidth="1"/>
    <col min="14340" max="14577" width="9.140625" style="483"/>
    <col min="14578" max="14578" width="6.28515625" style="483" customWidth="1"/>
    <col min="14579" max="14579" width="4.42578125" style="483" customWidth="1"/>
    <col min="14580" max="14580" width="38.42578125" style="483" customWidth="1"/>
    <col min="14581" max="14582" width="9.140625" style="483" customWidth="1"/>
    <col min="14583" max="14583" width="28.140625" style="483" customWidth="1"/>
    <col min="14584" max="14584" width="19.28515625" style="483" bestFit="1" customWidth="1"/>
    <col min="14585" max="14585" width="18" style="483" bestFit="1" customWidth="1"/>
    <col min="14586" max="14586" width="16.28515625" style="483" bestFit="1" customWidth="1"/>
    <col min="14587" max="14587" width="16.5703125" style="483" bestFit="1" customWidth="1"/>
    <col min="14588" max="14588" width="16.42578125" style="483" bestFit="1" customWidth="1"/>
    <col min="14589" max="14589" width="15.5703125" style="483" bestFit="1" customWidth="1"/>
    <col min="14590" max="14590" width="14.85546875" style="483" bestFit="1" customWidth="1"/>
    <col min="14591" max="14591" width="16" style="483" bestFit="1" customWidth="1"/>
    <col min="14592" max="14592" width="14.85546875" style="483" bestFit="1" customWidth="1"/>
    <col min="14593" max="14593" width="16" style="483" bestFit="1" customWidth="1"/>
    <col min="14594" max="14594" width="12.7109375" style="483" bestFit="1" customWidth="1"/>
    <col min="14595" max="14595" width="14.85546875" style="483" bestFit="1" customWidth="1"/>
    <col min="14596" max="14833" width="9.140625" style="483"/>
    <col min="14834" max="14834" width="6.28515625" style="483" customWidth="1"/>
    <col min="14835" max="14835" width="4.42578125" style="483" customWidth="1"/>
    <col min="14836" max="14836" width="38.42578125" style="483" customWidth="1"/>
    <col min="14837" max="14838" width="9.140625" style="483" customWidth="1"/>
    <col min="14839" max="14839" width="28.140625" style="483" customWidth="1"/>
    <col min="14840" max="14840" width="19.28515625" style="483" bestFit="1" customWidth="1"/>
    <col min="14841" max="14841" width="18" style="483" bestFit="1" customWidth="1"/>
    <col min="14842" max="14842" width="16.28515625" style="483" bestFit="1" customWidth="1"/>
    <col min="14843" max="14843" width="16.5703125" style="483" bestFit="1" customWidth="1"/>
    <col min="14844" max="14844" width="16.42578125" style="483" bestFit="1" customWidth="1"/>
    <col min="14845" max="14845" width="15.5703125" style="483" bestFit="1" customWidth="1"/>
    <col min="14846" max="14846" width="14.85546875" style="483" bestFit="1" customWidth="1"/>
    <col min="14847" max="14847" width="16" style="483" bestFit="1" customWidth="1"/>
    <col min="14848" max="14848" width="14.85546875" style="483" bestFit="1" customWidth="1"/>
    <col min="14849" max="14849" width="16" style="483" bestFit="1" customWidth="1"/>
    <col min="14850" max="14850" width="12.7109375" style="483" bestFit="1" customWidth="1"/>
    <col min="14851" max="14851" width="14.85546875" style="483" bestFit="1" customWidth="1"/>
    <col min="14852" max="15089" width="9.140625" style="483"/>
    <col min="15090" max="15090" width="6.28515625" style="483" customWidth="1"/>
    <col min="15091" max="15091" width="4.42578125" style="483" customWidth="1"/>
    <col min="15092" max="15092" width="38.42578125" style="483" customWidth="1"/>
    <col min="15093" max="15094" width="9.140625" style="483" customWidth="1"/>
    <col min="15095" max="15095" width="28.140625" style="483" customWidth="1"/>
    <col min="15096" max="15096" width="19.28515625" style="483" bestFit="1" customWidth="1"/>
    <col min="15097" max="15097" width="18" style="483" bestFit="1" customWidth="1"/>
    <col min="15098" max="15098" width="16.28515625" style="483" bestFit="1" customWidth="1"/>
    <col min="15099" max="15099" width="16.5703125" style="483" bestFit="1" customWidth="1"/>
    <col min="15100" max="15100" width="16.42578125" style="483" bestFit="1" customWidth="1"/>
    <col min="15101" max="15101" width="15.5703125" style="483" bestFit="1" customWidth="1"/>
    <col min="15102" max="15102" width="14.85546875" style="483" bestFit="1" customWidth="1"/>
    <col min="15103" max="15103" width="16" style="483" bestFit="1" customWidth="1"/>
    <col min="15104" max="15104" width="14.85546875" style="483" bestFit="1" customWidth="1"/>
    <col min="15105" max="15105" width="16" style="483" bestFit="1" customWidth="1"/>
    <col min="15106" max="15106" width="12.7109375" style="483" bestFit="1" customWidth="1"/>
    <col min="15107" max="15107" width="14.85546875" style="483" bestFit="1" customWidth="1"/>
    <col min="15108" max="15345" width="9.140625" style="483"/>
    <col min="15346" max="15346" width="6.28515625" style="483" customWidth="1"/>
    <col min="15347" max="15347" width="4.42578125" style="483" customWidth="1"/>
    <col min="15348" max="15348" width="38.42578125" style="483" customWidth="1"/>
    <col min="15349" max="15350" width="9.140625" style="483" customWidth="1"/>
    <col min="15351" max="15351" width="28.140625" style="483" customWidth="1"/>
    <col min="15352" max="15352" width="19.28515625" style="483" bestFit="1" customWidth="1"/>
    <col min="15353" max="15353" width="18" style="483" bestFit="1" customWidth="1"/>
    <col min="15354" max="15354" width="16.28515625" style="483" bestFit="1" customWidth="1"/>
    <col min="15355" max="15355" width="16.5703125" style="483" bestFit="1" customWidth="1"/>
    <col min="15356" max="15356" width="16.42578125" style="483" bestFit="1" customWidth="1"/>
    <col min="15357" max="15357" width="15.5703125" style="483" bestFit="1" customWidth="1"/>
    <col min="15358" max="15358" width="14.85546875" style="483" bestFit="1" customWidth="1"/>
    <col min="15359" max="15359" width="16" style="483" bestFit="1" customWidth="1"/>
    <col min="15360" max="15360" width="14.85546875" style="483" bestFit="1" customWidth="1"/>
    <col min="15361" max="15361" width="16" style="483" bestFit="1" customWidth="1"/>
    <col min="15362" max="15362" width="12.7109375" style="483" bestFit="1" customWidth="1"/>
    <col min="15363" max="15363" width="14.85546875" style="483" bestFit="1" customWidth="1"/>
    <col min="15364" max="15601" width="9.140625" style="483"/>
    <col min="15602" max="15602" width="6.28515625" style="483" customWidth="1"/>
    <col min="15603" max="15603" width="4.42578125" style="483" customWidth="1"/>
    <col min="15604" max="15604" width="38.42578125" style="483" customWidth="1"/>
    <col min="15605" max="15606" width="9.140625" style="483" customWidth="1"/>
    <col min="15607" max="15607" width="28.140625" style="483" customWidth="1"/>
    <col min="15608" max="15608" width="19.28515625" style="483" bestFit="1" customWidth="1"/>
    <col min="15609" max="15609" width="18" style="483" bestFit="1" customWidth="1"/>
    <col min="15610" max="15610" width="16.28515625" style="483" bestFit="1" customWidth="1"/>
    <col min="15611" max="15611" width="16.5703125" style="483" bestFit="1" customWidth="1"/>
    <col min="15612" max="15612" width="16.42578125" style="483" bestFit="1" customWidth="1"/>
    <col min="15613" max="15613" width="15.5703125" style="483" bestFit="1" customWidth="1"/>
    <col min="15614" max="15614" width="14.85546875" style="483" bestFit="1" customWidth="1"/>
    <col min="15615" max="15615" width="16" style="483" bestFit="1" customWidth="1"/>
    <col min="15616" max="15616" width="14.85546875" style="483" bestFit="1" customWidth="1"/>
    <col min="15617" max="15617" width="16" style="483" bestFit="1" customWidth="1"/>
    <col min="15618" max="15618" width="12.7109375" style="483" bestFit="1" customWidth="1"/>
    <col min="15619" max="15619" width="14.85546875" style="483" bestFit="1" customWidth="1"/>
    <col min="15620" max="15857" width="9.140625" style="483"/>
    <col min="15858" max="15858" width="6.28515625" style="483" customWidth="1"/>
    <col min="15859" max="15859" width="4.42578125" style="483" customWidth="1"/>
    <col min="15860" max="15860" width="38.42578125" style="483" customWidth="1"/>
    <col min="15861" max="15862" width="9.140625" style="483" customWidth="1"/>
    <col min="15863" max="15863" width="28.140625" style="483" customWidth="1"/>
    <col min="15864" max="15864" width="19.28515625" style="483" bestFit="1" customWidth="1"/>
    <col min="15865" max="15865" width="18" style="483" bestFit="1" customWidth="1"/>
    <col min="15866" max="15866" width="16.28515625" style="483" bestFit="1" customWidth="1"/>
    <col min="15867" max="15867" width="16.5703125" style="483" bestFit="1" customWidth="1"/>
    <col min="15868" max="15868" width="16.42578125" style="483" bestFit="1" customWidth="1"/>
    <col min="15869" max="15869" width="15.5703125" style="483" bestFit="1" customWidth="1"/>
    <col min="15870" max="15870" width="14.85546875" style="483" bestFit="1" customWidth="1"/>
    <col min="15871" max="15871" width="16" style="483" bestFit="1" customWidth="1"/>
    <col min="15872" max="15872" width="14.85546875" style="483" bestFit="1" customWidth="1"/>
    <col min="15873" max="15873" width="16" style="483" bestFit="1" customWidth="1"/>
    <col min="15874" max="15874" width="12.7109375" style="483" bestFit="1" customWidth="1"/>
    <col min="15875" max="15875" width="14.85546875" style="483" bestFit="1" customWidth="1"/>
    <col min="15876" max="16113" width="9.140625" style="483"/>
    <col min="16114" max="16114" width="6.28515625" style="483" customWidth="1"/>
    <col min="16115" max="16115" width="4.42578125" style="483" customWidth="1"/>
    <col min="16116" max="16116" width="38.42578125" style="483" customWidth="1"/>
    <col min="16117" max="16118" width="9.140625" style="483" customWidth="1"/>
    <col min="16119" max="16119" width="28.140625" style="483" customWidth="1"/>
    <col min="16120" max="16120" width="19.28515625" style="483" bestFit="1" customWidth="1"/>
    <col min="16121" max="16121" width="18" style="483" bestFit="1" customWidth="1"/>
    <col min="16122" max="16122" width="16.28515625" style="483" bestFit="1" customWidth="1"/>
    <col min="16123" max="16123" width="16.5703125" style="483" bestFit="1" customWidth="1"/>
    <col min="16124" max="16124" width="16.42578125" style="483" bestFit="1" customWidth="1"/>
    <col min="16125" max="16125" width="15.5703125" style="483" bestFit="1" customWidth="1"/>
    <col min="16126" max="16126" width="14.85546875" style="483" bestFit="1" customWidth="1"/>
    <col min="16127" max="16127" width="16" style="483" bestFit="1" customWidth="1"/>
    <col min="16128" max="16128" width="14.85546875" style="483" bestFit="1" customWidth="1"/>
    <col min="16129" max="16129" width="16" style="483" bestFit="1" customWidth="1"/>
    <col min="16130" max="16130" width="12.7109375" style="483" bestFit="1" customWidth="1"/>
    <col min="16131" max="16131" width="14.85546875" style="483" bestFit="1" customWidth="1"/>
    <col min="16132" max="16384" width="9.140625" style="483"/>
  </cols>
  <sheetData>
    <row r="1" spans="1:15" ht="20.25">
      <c r="G1" s="484" t="s">
        <v>1012</v>
      </c>
      <c r="H1" s="484"/>
      <c r="I1" s="484"/>
    </row>
    <row r="4" spans="1:15" ht="38.25">
      <c r="A4" s="485"/>
      <c r="B4" s="486" t="s">
        <v>181</v>
      </c>
      <c r="C4" s="487"/>
      <c r="D4" s="488"/>
      <c r="E4" s="485"/>
      <c r="F4" s="485"/>
      <c r="G4" s="489" t="s">
        <v>9</v>
      </c>
      <c r="H4" s="489" t="s">
        <v>37</v>
      </c>
      <c r="I4" s="489" t="s">
        <v>29</v>
      </c>
      <c r="J4" s="489" t="s">
        <v>30</v>
      </c>
      <c r="K4" s="489" t="s">
        <v>281</v>
      </c>
      <c r="L4" s="490" t="s">
        <v>913</v>
      </c>
      <c r="M4" s="489" t="s">
        <v>914</v>
      </c>
    </row>
    <row r="5" spans="1:15">
      <c r="A5" s="491" t="s">
        <v>184</v>
      </c>
      <c r="C5" s="492" t="s">
        <v>182</v>
      </c>
      <c r="G5" s="613"/>
      <c r="H5" s="613"/>
      <c r="I5" s="613"/>
      <c r="J5" s="613"/>
      <c r="K5" s="613"/>
      <c r="L5" s="613"/>
    </row>
    <row r="6" spans="1:15">
      <c r="A6" s="491" t="s">
        <v>185</v>
      </c>
      <c r="C6" s="483" t="s">
        <v>183</v>
      </c>
      <c r="G6" s="494">
        <f>SUM('#1-Meritus:#5050-Shady Grove Adventist'!F18)</f>
        <v>0</v>
      </c>
      <c r="H6" s="494">
        <f>SUM('#1-Meritus:#5050-Shady Grove Adventist'!G18)</f>
        <v>0</v>
      </c>
      <c r="I6" s="534">
        <f>SUM('#1-Meritus:#5050-Shady Grove Adventist'!H18)</f>
        <v>373183714.40300345</v>
      </c>
      <c r="J6" s="534">
        <f>SUM('#1-Meritus:#5050-Shady Grove Adventist'!I18)</f>
        <v>1225750</v>
      </c>
      <c r="K6" s="534">
        <f>SUM('#1-Meritus:#5050-Shady Grove Adventist'!J18)</f>
        <v>315139013.07828051</v>
      </c>
      <c r="L6" s="534">
        <f>SUM('#1-Meritus:#5050-Shady Grove Adventist'!K18)</f>
        <v>59270451.324722975</v>
      </c>
      <c r="M6" s="534">
        <f>L6-J6</f>
        <v>58044701.324722975</v>
      </c>
    </row>
    <row r="7" spans="1:15" ht="38.25">
      <c r="A7" s="485" t="s">
        <v>8</v>
      </c>
      <c r="B7" s="485"/>
      <c r="C7" s="488"/>
      <c r="D7" s="488"/>
      <c r="E7" s="488"/>
      <c r="F7" s="488"/>
      <c r="G7" s="489" t="s">
        <v>9</v>
      </c>
      <c r="H7" s="489" t="s">
        <v>37</v>
      </c>
      <c r="I7" s="489" t="s">
        <v>915</v>
      </c>
      <c r="J7" s="489" t="s">
        <v>916</v>
      </c>
      <c r="K7" s="490" t="s">
        <v>281</v>
      </c>
      <c r="L7" s="495" t="s">
        <v>913</v>
      </c>
      <c r="M7" s="489" t="s">
        <v>914</v>
      </c>
    </row>
    <row r="8" spans="1:15">
      <c r="A8" s="486" t="s">
        <v>74</v>
      </c>
      <c r="B8" s="492" t="s">
        <v>41</v>
      </c>
      <c r="K8" s="496"/>
      <c r="L8" s="497"/>
    </row>
    <row r="9" spans="1:15">
      <c r="A9" s="498" t="s">
        <v>75</v>
      </c>
      <c r="B9" s="483" t="s">
        <v>42</v>
      </c>
      <c r="G9" s="494">
        <f>SUM('#1-Meritus:#5050-Shady Grove Adventist'!F21)</f>
        <v>273838.72159622365</v>
      </c>
      <c r="H9" s="494">
        <f>SUM('#1-Meritus:#5050-Shady Grove Adventist'!G21)</f>
        <v>12533759.491685797</v>
      </c>
      <c r="I9" s="494">
        <f>SUM('#1-Meritus:#5050-Shady Grove Adventist'!H21)</f>
        <v>15789182.784159439</v>
      </c>
      <c r="J9" s="494">
        <f>SUM('#1-Meritus:#5050-Shady Grove Adventist'!I21)</f>
        <v>8733743.7104584128</v>
      </c>
      <c r="K9" s="494">
        <f>SUM('#1-Meritus:#5050-Shady Grove Adventist'!J21)</f>
        <v>1842181.50043415</v>
      </c>
      <c r="L9" s="494">
        <f>SUM('#1-Meritus:#5050-Shady Grove Adventist'!K21)</f>
        <v>22680744.994183701</v>
      </c>
      <c r="M9" s="494">
        <f>L9-J9</f>
        <v>13947001.283725288</v>
      </c>
      <c r="N9" s="493"/>
      <c r="O9" s="493"/>
    </row>
    <row r="10" spans="1:15">
      <c r="A10" s="498" t="s">
        <v>76</v>
      </c>
      <c r="B10" s="483" t="s">
        <v>6</v>
      </c>
      <c r="G10" s="494">
        <f>SUM('#1-Meritus:#5050-Shady Grove Adventist'!F22)</f>
        <v>12788.430394492454</v>
      </c>
      <c r="H10" s="494">
        <f>SUM('#1-Meritus:#5050-Shady Grove Adventist'!G22)</f>
        <v>29897</v>
      </c>
      <c r="I10" s="494">
        <f>SUM('#1-Meritus:#5050-Shady Grove Adventist'!H22)</f>
        <v>687992.88110911718</v>
      </c>
      <c r="J10" s="494">
        <f>SUM('#1-Meritus:#5050-Shady Grove Adventist'!I22)</f>
        <v>348921.99900503346</v>
      </c>
      <c r="K10" s="494">
        <f>SUM('#1-Meritus:#5050-Shady Grove Adventist'!J22)</f>
        <v>10648.31775645</v>
      </c>
      <c r="L10" s="494">
        <f>SUM('#1-Meritus:#5050-Shady Grove Adventist'!K22)</f>
        <v>1026266.5623577009</v>
      </c>
      <c r="M10" s="494">
        <f t="shared" ref="M10:M22" si="0">L10-J10</f>
        <v>677344.56335266749</v>
      </c>
    </row>
    <row r="11" spans="1:15">
      <c r="A11" s="498" t="s">
        <v>77</v>
      </c>
      <c r="B11" s="483" t="s">
        <v>43</v>
      </c>
      <c r="G11" s="494">
        <f>SUM('#1-Meritus:#5050-Shady Grove Adventist'!F23)</f>
        <v>25115.5</v>
      </c>
      <c r="H11" s="494">
        <f>SUM('#1-Meritus:#5050-Shady Grove Adventist'!G23)</f>
        <v>68567</v>
      </c>
      <c r="I11" s="494">
        <f>SUM('#1-Meritus:#5050-Shady Grove Adventist'!H23)</f>
        <v>1558722.608500822</v>
      </c>
      <c r="J11" s="494">
        <f>SUM('#1-Meritus:#5050-Shady Grove Adventist'!I23)</f>
        <v>842699.01243352541</v>
      </c>
      <c r="K11" s="494">
        <f>SUM('#1-Meritus:#5050-Shady Grove Adventist'!J23)</f>
        <v>778726</v>
      </c>
      <c r="L11" s="494">
        <f>SUM('#1-Meritus:#5050-Shady Grove Adventist'!K23)</f>
        <v>1622695.6209343474</v>
      </c>
      <c r="M11" s="494">
        <f t="shared" si="0"/>
        <v>779996.60850082198</v>
      </c>
    </row>
    <row r="12" spans="1:15">
      <c r="A12" s="498" t="s">
        <v>78</v>
      </c>
      <c r="B12" s="483" t="s">
        <v>44</v>
      </c>
      <c r="G12" s="494">
        <f>SUM('#1-Meritus:#5050-Shady Grove Adventist'!F24)</f>
        <v>294194.69910927262</v>
      </c>
      <c r="H12" s="494">
        <f>SUM('#1-Meritus:#5050-Shady Grove Adventist'!G24)</f>
        <v>367509.0084052746</v>
      </c>
      <c r="I12" s="494">
        <f>SUM('#1-Meritus:#5050-Shady Grove Adventist'!H24)</f>
        <v>13442693.969120676</v>
      </c>
      <c r="J12" s="494">
        <f>SUM('#1-Meritus:#5050-Shady Grove Adventist'!I24)</f>
        <v>4091418.1538162958</v>
      </c>
      <c r="K12" s="494">
        <f>SUM('#1-Meritus:#5050-Shady Grove Adventist'!J24)</f>
        <v>7024463.7399999993</v>
      </c>
      <c r="L12" s="494">
        <f>SUM('#1-Meritus:#5050-Shady Grove Adventist'!K24)</f>
        <v>10509648.382936975</v>
      </c>
      <c r="M12" s="494">
        <f t="shared" si="0"/>
        <v>6418230.2291206792</v>
      </c>
    </row>
    <row r="13" spans="1:15">
      <c r="A13" s="498" t="s">
        <v>79</v>
      </c>
      <c r="B13" s="483" t="s">
        <v>5</v>
      </c>
      <c r="G13" s="494">
        <f>SUM('#1-Meritus:#5050-Shady Grove Adventist'!F25)</f>
        <v>32692.258227008286</v>
      </c>
      <c r="H13" s="494">
        <f>SUM('#1-Meritus:#5050-Shady Grove Adventist'!G25)</f>
        <v>80129</v>
      </c>
      <c r="I13" s="494">
        <f>SUM('#1-Meritus:#5050-Shady Grove Adventist'!H25)</f>
        <v>1572690.0544338061</v>
      </c>
      <c r="J13" s="494">
        <f>SUM('#1-Meritus:#5050-Shady Grove Adventist'!I25)</f>
        <v>863245.08052401687</v>
      </c>
      <c r="K13" s="494">
        <f>SUM('#1-Meritus:#5050-Shady Grove Adventist'!J25)</f>
        <v>206249.06261290002</v>
      </c>
      <c r="L13" s="494">
        <f>SUM('#1-Meritus:#5050-Shady Grove Adventist'!K25)</f>
        <v>2229686.0723449229</v>
      </c>
      <c r="M13" s="494">
        <f t="shared" si="0"/>
        <v>1366440.9918209061</v>
      </c>
    </row>
    <row r="14" spans="1:15">
      <c r="A14" s="498" t="s">
        <v>80</v>
      </c>
      <c r="B14" s="483" t="s">
        <v>45</v>
      </c>
      <c r="G14" s="494">
        <f>SUM('#1-Meritus:#5050-Shady Grove Adventist'!F26)</f>
        <v>3493.6022741764082</v>
      </c>
      <c r="H14" s="494">
        <f>SUM('#1-Meritus:#5050-Shady Grove Adventist'!G26)</f>
        <v>19484</v>
      </c>
      <c r="I14" s="494">
        <f>SUM('#1-Meritus:#5050-Shady Grove Adventist'!H26)</f>
        <v>338808.65183746559</v>
      </c>
      <c r="J14" s="494">
        <f>SUM('#1-Meritus:#5050-Shady Grove Adventist'!I26)</f>
        <v>101123.59957480087</v>
      </c>
      <c r="K14" s="494">
        <f>SUM('#1-Meritus:#5050-Shady Grove Adventist'!J26)</f>
        <v>61067</v>
      </c>
      <c r="L14" s="494">
        <f>SUM('#1-Meritus:#5050-Shady Grove Adventist'!K26)</f>
        <v>378865.25141226652</v>
      </c>
      <c r="M14" s="494">
        <f t="shared" si="0"/>
        <v>277741.65183746564</v>
      </c>
    </row>
    <row r="15" spans="1:15">
      <c r="A15" s="498" t="s">
        <v>81</v>
      </c>
      <c r="B15" s="483" t="s">
        <v>46</v>
      </c>
      <c r="G15" s="494">
        <f>SUM('#1-Meritus:#5050-Shady Grove Adventist'!F27)</f>
        <v>31652.5</v>
      </c>
      <c r="H15" s="494">
        <f>SUM('#1-Meritus:#5050-Shady Grove Adventist'!G27)</f>
        <v>54572</v>
      </c>
      <c r="I15" s="494">
        <f>SUM('#1-Meritus:#5050-Shady Grove Adventist'!H27)</f>
        <v>4377389.2399999993</v>
      </c>
      <c r="J15" s="494">
        <f>SUM('#1-Meritus:#5050-Shady Grove Adventist'!I27)</f>
        <v>2161601.0487442273</v>
      </c>
      <c r="K15" s="494">
        <f>SUM('#1-Meritus:#5050-Shady Grove Adventist'!J27)</f>
        <v>1388021.2200000007</v>
      </c>
      <c r="L15" s="494">
        <f>SUM('#1-Meritus:#5050-Shady Grove Adventist'!K27)</f>
        <v>5150969.0687442254</v>
      </c>
      <c r="M15" s="494">
        <f t="shared" si="0"/>
        <v>2989368.0199999982</v>
      </c>
    </row>
    <row r="16" spans="1:15">
      <c r="A16" s="498" t="s">
        <v>82</v>
      </c>
      <c r="B16" s="483" t="s">
        <v>47</v>
      </c>
      <c r="G16" s="494">
        <f>SUM('#1-Meritus:#5050-Shady Grove Adventist'!F28)</f>
        <v>28261.5</v>
      </c>
      <c r="H16" s="494">
        <f>SUM('#1-Meritus:#5050-Shady Grove Adventist'!G28)</f>
        <v>10104</v>
      </c>
      <c r="I16" s="494">
        <f>SUM('#1-Meritus:#5050-Shady Grove Adventist'!H28)</f>
        <v>1298417.0200002228</v>
      </c>
      <c r="J16" s="494">
        <f>SUM('#1-Meritus:#5050-Shady Grove Adventist'!I28)</f>
        <v>498560.90161190816</v>
      </c>
      <c r="K16" s="494">
        <f>SUM('#1-Meritus:#5050-Shady Grove Adventist'!J28)</f>
        <v>923458</v>
      </c>
      <c r="L16" s="494">
        <f>SUM('#1-Meritus:#5050-Shady Grove Adventist'!K28)</f>
        <v>873519.92161213106</v>
      </c>
      <c r="M16" s="494">
        <f t="shared" si="0"/>
        <v>374959.0200002229</v>
      </c>
    </row>
    <row r="17" spans="1:13">
      <c r="A17" s="498" t="s">
        <v>83</v>
      </c>
      <c r="B17" s="483" t="s">
        <v>48</v>
      </c>
      <c r="G17" s="494">
        <f>SUM('#1-Meritus:#5050-Shady Grove Adventist'!F29)</f>
        <v>226906.46472438177</v>
      </c>
      <c r="H17" s="494">
        <f>SUM('#1-Meritus:#5050-Shady Grove Adventist'!G29)</f>
        <v>181055.0012007535</v>
      </c>
      <c r="I17" s="494">
        <f>SUM('#1-Meritus:#5050-Shady Grove Adventist'!H29)</f>
        <v>23402641.144539192</v>
      </c>
      <c r="J17" s="494">
        <f>SUM('#1-Meritus:#5050-Shady Grove Adventist'!I29)</f>
        <v>11069264.933470804</v>
      </c>
      <c r="K17" s="494">
        <f>SUM('#1-Meritus:#5050-Shady Grove Adventist'!J29)</f>
        <v>1864421.3121702501</v>
      </c>
      <c r="L17" s="494">
        <f>SUM('#1-Meritus:#5050-Shady Grove Adventist'!K29)</f>
        <v>32607484.765839744</v>
      </c>
      <c r="M17" s="494">
        <f t="shared" si="0"/>
        <v>21538219.83236894</v>
      </c>
    </row>
    <row r="18" spans="1:13">
      <c r="A18" s="5" t="s">
        <v>84</v>
      </c>
      <c r="B18" s="636" t="s">
        <v>367</v>
      </c>
      <c r="C18" s="637"/>
      <c r="D18" s="638"/>
      <c r="E18"/>
      <c r="F18" s="536"/>
      <c r="G18" s="494">
        <f>SUM('#1-Meritus:#5050-Shady Grove Adventist'!F30)</f>
        <v>27190.949998437696</v>
      </c>
      <c r="H18" s="494">
        <f>SUM('#1-Meritus:#5050-Shady Grove Adventist'!G30)</f>
        <v>47461.513508477059</v>
      </c>
      <c r="I18" s="494">
        <f>SUM('#1-Meritus:#5050-Shady Grove Adventist'!H30)</f>
        <v>3361427.4818721842</v>
      </c>
      <c r="J18" s="494">
        <f>SUM('#1-Meritus:#5050-Shady Grove Adventist'!I30)</f>
        <v>1415931.8070294494</v>
      </c>
      <c r="K18" s="494">
        <f>SUM('#1-Meritus:#5050-Shady Grove Adventist'!J30)</f>
        <v>61784.264749700007</v>
      </c>
      <c r="L18" s="494">
        <f>SUM('#1-Meritus:#5050-Shady Grove Adventist'!K30)</f>
        <v>4715575.0241519334</v>
      </c>
      <c r="M18" s="494">
        <f t="shared" si="0"/>
        <v>3299643.217122484</v>
      </c>
    </row>
    <row r="19" spans="1:13">
      <c r="A19" s="5" t="s">
        <v>133</v>
      </c>
      <c r="B19" s="636" t="s">
        <v>367</v>
      </c>
      <c r="C19" s="637"/>
      <c r="D19" s="638"/>
      <c r="E19"/>
      <c r="F19" s="536"/>
      <c r="G19" s="494">
        <f>SUM('#1-Meritus:#5050-Shady Grove Adventist'!F31)</f>
        <v>43752</v>
      </c>
      <c r="H19" s="494">
        <f>SUM('#1-Meritus:#5050-Shady Grove Adventist'!G31)</f>
        <v>8045</v>
      </c>
      <c r="I19" s="494">
        <f>SUM('#1-Meritus:#5050-Shady Grove Adventist'!H31)</f>
        <v>2985269.2</v>
      </c>
      <c r="J19" s="494">
        <f>SUM('#1-Meritus:#5050-Shady Grove Adventist'!I31)</f>
        <v>81657.267680000004</v>
      </c>
      <c r="K19" s="494">
        <f>SUM('#1-Meritus:#5050-Shady Grove Adventist'!J31)</f>
        <v>0</v>
      </c>
      <c r="L19" s="494">
        <f>SUM('#1-Meritus:#5050-Shady Grove Adventist'!K31)</f>
        <v>3066926.4676800002</v>
      </c>
      <c r="M19" s="494">
        <f t="shared" si="0"/>
        <v>2985269.2</v>
      </c>
    </row>
    <row r="20" spans="1:13">
      <c r="A20" s="5" t="s">
        <v>134</v>
      </c>
      <c r="B20" s="363" t="s">
        <v>367</v>
      </c>
      <c r="C20" s="364"/>
      <c r="D20" s="365"/>
      <c r="E20"/>
      <c r="F20" s="536"/>
      <c r="G20" s="494">
        <f>SUM('#1-Meritus:#5050-Shady Grove Adventist'!F32)</f>
        <v>2080</v>
      </c>
      <c r="H20" s="494">
        <f>SUM('#1-Meritus:#5050-Shady Grove Adventist'!G32)</f>
        <v>2909</v>
      </c>
      <c r="I20" s="494">
        <f>SUM('#1-Meritus:#5050-Shady Grove Adventist'!H32)</f>
        <v>133479</v>
      </c>
      <c r="J20" s="494">
        <f>SUM('#1-Meritus:#5050-Shady Grove Adventist'!I32)</f>
        <v>83958</v>
      </c>
      <c r="K20" s="494">
        <f>SUM('#1-Meritus:#5050-Shady Grove Adventist'!J32)</f>
        <v>0</v>
      </c>
      <c r="L20" s="494">
        <f>SUM('#1-Meritus:#5050-Shady Grove Adventist'!K32)</f>
        <v>217437</v>
      </c>
      <c r="M20" s="494">
        <f t="shared" si="0"/>
        <v>133479</v>
      </c>
    </row>
    <row r="21" spans="1:13">
      <c r="A21" s="5" t="s">
        <v>135</v>
      </c>
      <c r="B21" s="363" t="s">
        <v>367</v>
      </c>
      <c r="C21" s="364"/>
      <c r="D21" s="365"/>
      <c r="E21"/>
      <c r="F21" s="536"/>
      <c r="G21" s="494">
        <f>SUM('#1-Meritus:#5050-Shady Grove Adventist'!F33)</f>
        <v>0</v>
      </c>
      <c r="H21" s="494">
        <f>SUM('#1-Meritus:#5050-Shady Grove Adventist'!G33)</f>
        <v>0</v>
      </c>
      <c r="I21" s="494">
        <f>SUM('#1-Meritus:#5050-Shady Grove Adventist'!H33)</f>
        <v>0</v>
      </c>
      <c r="J21" s="494">
        <f>SUM('#1-Meritus:#5050-Shady Grove Adventist'!I33)</f>
        <v>0</v>
      </c>
      <c r="K21" s="494">
        <f>SUM('#1-Meritus:#5050-Shady Grove Adventist'!J33)</f>
        <v>0</v>
      </c>
      <c r="L21" s="494">
        <f>SUM('#1-Meritus:#5050-Shady Grove Adventist'!K33)</f>
        <v>0</v>
      </c>
      <c r="M21" s="494">
        <f t="shared" si="0"/>
        <v>0</v>
      </c>
    </row>
    <row r="22" spans="1:13">
      <c r="A22" s="5" t="s">
        <v>136</v>
      </c>
      <c r="B22" s="636" t="s">
        <v>367</v>
      </c>
      <c r="C22" s="637"/>
      <c r="D22" s="638"/>
      <c r="E22"/>
      <c r="F22" s="536"/>
      <c r="G22" s="494">
        <f>SUM('#1-Meritus:#5050-Shady Grove Adventist'!F34)</f>
        <v>0</v>
      </c>
      <c r="H22" s="494">
        <f>SUM('#1-Meritus:#5050-Shady Grove Adventist'!G34)</f>
        <v>0</v>
      </c>
      <c r="I22" s="494">
        <f>SUM('#1-Meritus:#5050-Shady Grove Adventist'!H34)</f>
        <v>0</v>
      </c>
      <c r="J22" s="494">
        <f>SUM('#1-Meritus:#5050-Shady Grove Adventist'!I34)</f>
        <v>0</v>
      </c>
      <c r="K22" s="494">
        <f>SUM('#1-Meritus:#5050-Shady Grove Adventist'!J34)</f>
        <v>0</v>
      </c>
      <c r="L22" s="494">
        <f>SUM('#1-Meritus:#5050-Shady Grove Adventist'!K34)</f>
        <v>0</v>
      </c>
      <c r="M22" s="494">
        <f t="shared" si="0"/>
        <v>0</v>
      </c>
    </row>
    <row r="23" spans="1:13">
      <c r="D23" s="492"/>
      <c r="E23" s="492"/>
      <c r="F23" s="492"/>
      <c r="G23" s="499"/>
      <c r="H23" s="499"/>
      <c r="I23" s="499"/>
      <c r="J23" s="499"/>
      <c r="K23" s="499"/>
      <c r="L23" s="499"/>
      <c r="M23" s="500"/>
    </row>
    <row r="24" spans="1:13">
      <c r="A24" s="486" t="s">
        <v>137</v>
      </c>
      <c r="B24" s="492" t="s">
        <v>138</v>
      </c>
      <c r="G24" s="494">
        <f>SUM(G9:G22)</f>
        <v>1001966.6263239929</v>
      </c>
      <c r="H24" s="494">
        <f t="shared" ref="H24:L24" si="1">SUM(H9:H22)</f>
        <v>13403492.014800301</v>
      </c>
      <c r="I24" s="494">
        <f t="shared" si="1"/>
        <v>68948714.035572916</v>
      </c>
      <c r="J24" s="494">
        <f t="shared" si="1"/>
        <v>30292125.514348473</v>
      </c>
      <c r="K24" s="494">
        <f t="shared" si="1"/>
        <v>14161020.417723451</v>
      </c>
      <c r="L24" s="494">
        <f t="shared" si="1"/>
        <v>85079819.132197961</v>
      </c>
      <c r="M24" s="501">
        <f>L24-J24</f>
        <v>54787693.617849484</v>
      </c>
    </row>
    <row r="25" spans="1:13">
      <c r="A25" s="486"/>
      <c r="B25" s="492"/>
      <c r="G25" s="502"/>
      <c r="H25" s="502"/>
      <c r="I25" s="502"/>
      <c r="J25" s="502"/>
      <c r="K25" s="502"/>
      <c r="L25" s="502"/>
      <c r="M25" s="502"/>
    </row>
    <row r="26" spans="1:13">
      <c r="A26" s="486"/>
      <c r="B26" s="492"/>
      <c r="G26" s="493"/>
      <c r="H26" s="493"/>
      <c r="I26" s="493"/>
      <c r="J26" s="493"/>
      <c r="K26" s="504"/>
      <c r="L26" s="504"/>
      <c r="M26" s="505"/>
    </row>
    <row r="27" spans="1:13" ht="42.75" customHeight="1">
      <c r="A27" s="487"/>
      <c r="B27" s="487"/>
      <c r="G27" s="489" t="s">
        <v>9</v>
      </c>
      <c r="H27" s="489" t="s">
        <v>37</v>
      </c>
      <c r="I27" s="489" t="s">
        <v>915</v>
      </c>
      <c r="J27" s="489" t="s">
        <v>916</v>
      </c>
      <c r="K27" s="490" t="s">
        <v>281</v>
      </c>
      <c r="L27" s="495" t="s">
        <v>913</v>
      </c>
      <c r="M27" s="489" t="s">
        <v>914</v>
      </c>
    </row>
    <row r="28" spans="1:13">
      <c r="A28" s="486" t="s">
        <v>917</v>
      </c>
      <c r="B28" s="486"/>
      <c r="C28" s="492" t="s">
        <v>49</v>
      </c>
      <c r="K28" s="496"/>
      <c r="L28" s="497"/>
    </row>
    <row r="29" spans="1:13">
      <c r="A29" s="498" t="s">
        <v>421</v>
      </c>
      <c r="B29" s="498"/>
      <c r="C29" s="492" t="s">
        <v>31</v>
      </c>
      <c r="D29" s="492"/>
      <c r="E29" s="492"/>
      <c r="F29" s="492"/>
      <c r="G29" s="494">
        <f>SUM('#1-Meritus:#5050-Shady Grove Adventist'!F40)</f>
        <v>5591394.8821633812</v>
      </c>
      <c r="H29" s="494">
        <f>SUM('#1-Meritus:#5050-Shady Grove Adventist'!G40)</f>
        <v>32558.125</v>
      </c>
      <c r="I29" s="494">
        <f>SUM('#1-Meritus:#5050-Shady Grove Adventist'!H40)</f>
        <v>291774060.74314713</v>
      </c>
      <c r="J29" s="494">
        <f>SUM('#1-Meritus:#5050-Shady Grove Adventist'!I40)</f>
        <v>69918049.309513867</v>
      </c>
      <c r="K29" s="494">
        <f>SUM('#1-Meritus:#5050-Shady Grove Adventist'!J40)</f>
        <v>0</v>
      </c>
      <c r="L29" s="494">
        <f>SUM('#1-Meritus:#5050-Shady Grove Adventist'!K40)</f>
        <v>361692110.05266112</v>
      </c>
      <c r="M29" s="494">
        <f>L29-J29</f>
        <v>291774060.74314725</v>
      </c>
    </row>
    <row r="30" spans="1:13">
      <c r="A30" s="498" t="s">
        <v>422</v>
      </c>
      <c r="B30" s="498"/>
      <c r="C30" s="506" t="s">
        <v>50</v>
      </c>
      <c r="G30" s="494">
        <f>SUM('#1-Meritus:#5050-Shady Grove Adventist'!F41)</f>
        <v>551976.76813929668</v>
      </c>
      <c r="H30" s="494">
        <f>SUM('#1-Meritus:#5050-Shady Grove Adventist'!G41)</f>
        <v>99057.825180113025</v>
      </c>
      <c r="I30" s="494">
        <f>SUM('#1-Meritus:#5050-Shady Grove Adventist'!H41)</f>
        <v>25906954.008250408</v>
      </c>
      <c r="J30" s="494">
        <f>SUM('#1-Meritus:#5050-Shady Grove Adventist'!I41)</f>
        <v>6223618.6450587111</v>
      </c>
      <c r="K30" s="494">
        <f>SUM('#1-Meritus:#5050-Shady Grove Adventist'!J41)</f>
        <v>311515</v>
      </c>
      <c r="L30" s="494">
        <f>SUM('#1-Meritus:#5050-Shady Grove Adventist'!K41)</f>
        <v>31819057.653309114</v>
      </c>
      <c r="M30" s="494">
        <f t="shared" ref="M30:M36" si="2">L30-J30</f>
        <v>25595439.008250404</v>
      </c>
    </row>
    <row r="31" spans="1:13">
      <c r="A31" s="498" t="s">
        <v>423</v>
      </c>
      <c r="B31" s="498"/>
      <c r="C31" s="483" t="s">
        <v>11</v>
      </c>
      <c r="D31" s="507"/>
      <c r="E31" s="507"/>
      <c r="F31" s="507"/>
      <c r="G31" s="494">
        <f>SUM('#1-Meritus:#5050-Shady Grove Adventist'!F42)</f>
        <v>333560.02664016961</v>
      </c>
      <c r="H31" s="494">
        <f>SUM('#1-Meritus:#5050-Shady Grove Adventist'!G42)</f>
        <v>63859.642266523784</v>
      </c>
      <c r="I31" s="494">
        <f>SUM('#1-Meritus:#5050-Shady Grove Adventist'!H42)</f>
        <v>15808880.105644105</v>
      </c>
      <c r="J31" s="494">
        <f>SUM('#1-Meritus:#5050-Shady Grove Adventist'!I42)</f>
        <v>3859697.2688308908</v>
      </c>
      <c r="K31" s="494">
        <f>SUM('#1-Meritus:#5050-Shady Grove Adventist'!J42)</f>
        <v>338920.45005675004</v>
      </c>
      <c r="L31" s="494">
        <f>SUM('#1-Meritus:#5050-Shady Grove Adventist'!K42)</f>
        <v>19329656.924418245</v>
      </c>
      <c r="M31" s="494">
        <f t="shared" si="2"/>
        <v>15469959.655587353</v>
      </c>
    </row>
    <row r="32" spans="1:13">
      <c r="A32" s="498" t="s">
        <v>424</v>
      </c>
      <c r="B32" s="498"/>
      <c r="C32" s="483" t="s">
        <v>10</v>
      </c>
      <c r="G32" s="494">
        <f>SUM('#1-Meritus:#5050-Shady Grove Adventist'!F43)</f>
        <v>8793</v>
      </c>
      <c r="H32" s="494">
        <f>SUM('#1-Meritus:#5050-Shady Grove Adventist'!G43)</f>
        <v>915</v>
      </c>
      <c r="I32" s="494">
        <f>SUM('#1-Meritus:#5050-Shady Grove Adventist'!H43)</f>
        <v>2600370.2829483137</v>
      </c>
      <c r="J32" s="494">
        <f>SUM('#1-Meritus:#5050-Shady Grove Adventist'!I43)</f>
        <v>10234.5</v>
      </c>
      <c r="K32" s="494">
        <f>SUM('#1-Meritus:#5050-Shady Grove Adventist'!J43)</f>
        <v>0</v>
      </c>
      <c r="L32" s="494">
        <f>SUM('#1-Meritus:#5050-Shady Grove Adventist'!K43)</f>
        <v>2610604.7829483137</v>
      </c>
      <c r="M32" s="494">
        <f t="shared" si="2"/>
        <v>2600370.2829483137</v>
      </c>
    </row>
    <row r="33" spans="1:13">
      <c r="A33" s="5" t="s">
        <v>91</v>
      </c>
      <c r="B33" s="498"/>
      <c r="C33" s="636" t="s">
        <v>367</v>
      </c>
      <c r="D33" s="637"/>
      <c r="E33" s="638"/>
      <c r="F33"/>
      <c r="G33" s="494">
        <f>SUM('#1-Meritus:#5050-Shady Grove Adventist'!F44)</f>
        <v>89042.5</v>
      </c>
      <c r="H33" s="494">
        <f>SUM('#1-Meritus:#5050-Shady Grove Adventist'!G44)</f>
        <v>19119</v>
      </c>
      <c r="I33" s="494">
        <f>SUM('#1-Meritus:#5050-Shady Grove Adventist'!H44)</f>
        <v>3108500.7441081419</v>
      </c>
      <c r="J33" s="494">
        <f>SUM('#1-Meritus:#5050-Shady Grove Adventist'!I44)</f>
        <v>263803.17901304155</v>
      </c>
      <c r="K33" s="494">
        <f>SUM('#1-Meritus:#5050-Shady Grove Adventist'!J44)</f>
        <v>9058</v>
      </c>
      <c r="L33" s="494">
        <f>SUM('#1-Meritus:#5050-Shady Grove Adventist'!K44)</f>
        <v>3363245.9231211836</v>
      </c>
      <c r="M33" s="494">
        <f t="shared" si="2"/>
        <v>3099442.7441081423</v>
      </c>
    </row>
    <row r="34" spans="1:13">
      <c r="A34" s="5" t="s">
        <v>139</v>
      </c>
      <c r="C34" s="636" t="s">
        <v>367</v>
      </c>
      <c r="D34" s="637"/>
      <c r="E34" s="638"/>
      <c r="F34"/>
      <c r="G34" s="494">
        <f>SUM('#1-Meritus:#5050-Shady Grove Adventist'!F45)</f>
        <v>834</v>
      </c>
      <c r="H34" s="494">
        <f>SUM('#1-Meritus:#5050-Shady Grove Adventist'!G45)</f>
        <v>13</v>
      </c>
      <c r="I34" s="494">
        <f>SUM('#1-Meritus:#5050-Shady Grove Adventist'!H45)</f>
        <v>29821</v>
      </c>
      <c r="J34" s="494">
        <f>SUM('#1-Meritus:#5050-Shady Grove Adventist'!I45)</f>
        <v>18083.599999999999</v>
      </c>
      <c r="K34" s="494">
        <f>SUM('#1-Meritus:#5050-Shady Grove Adventist'!J45)</f>
        <v>0</v>
      </c>
      <c r="L34" s="494">
        <f>SUM('#1-Meritus:#5050-Shady Grove Adventist'!K45)</f>
        <v>47904.6</v>
      </c>
      <c r="M34" s="494">
        <f t="shared" si="2"/>
        <v>29821</v>
      </c>
    </row>
    <row r="35" spans="1:13">
      <c r="A35" s="5" t="s">
        <v>140</v>
      </c>
      <c r="C35" s="636" t="s">
        <v>367</v>
      </c>
      <c r="D35" s="637"/>
      <c r="E35" s="638"/>
      <c r="F35"/>
      <c r="G35" s="494">
        <f>SUM('#1-Meritus:#5050-Shady Grove Adventist'!F46)</f>
        <v>2016</v>
      </c>
      <c r="H35" s="494">
        <f>SUM('#1-Meritus:#5050-Shady Grove Adventist'!G46)</f>
        <v>16</v>
      </c>
      <c r="I35" s="494">
        <f>SUM('#1-Meritus:#5050-Shady Grove Adventist'!H46)</f>
        <v>76652.95</v>
      </c>
      <c r="J35" s="494">
        <f>SUM('#1-Meritus:#5050-Shady Grove Adventist'!I46)</f>
        <v>43289</v>
      </c>
      <c r="K35" s="494">
        <f>SUM('#1-Meritus:#5050-Shady Grove Adventist'!J46)</f>
        <v>15000</v>
      </c>
      <c r="L35" s="494">
        <f>SUM('#1-Meritus:#5050-Shady Grove Adventist'!K46)</f>
        <v>104941.95</v>
      </c>
      <c r="M35" s="494">
        <f t="shared" si="2"/>
        <v>61652.95</v>
      </c>
    </row>
    <row r="36" spans="1:13">
      <c r="A36" s="5" t="s">
        <v>141</v>
      </c>
      <c r="C36" s="636" t="s">
        <v>367</v>
      </c>
      <c r="D36" s="637"/>
      <c r="E36" s="638"/>
      <c r="F36"/>
      <c r="G36" s="494">
        <f>SUM('#1-Meritus:#5050-Shady Grove Adventist'!F47)</f>
        <v>2640</v>
      </c>
      <c r="H36" s="494">
        <f>SUM('#1-Meritus:#5050-Shady Grove Adventist'!G47)</f>
        <v>66</v>
      </c>
      <c r="I36" s="494">
        <f>SUM('#1-Meritus:#5050-Shady Grove Adventist'!H47)</f>
        <v>111068.66</v>
      </c>
      <c r="J36" s="494">
        <f>SUM('#1-Meritus:#5050-Shady Grove Adventist'!I47)</f>
        <v>68240.94</v>
      </c>
      <c r="K36" s="494">
        <f>SUM('#1-Meritus:#5050-Shady Grove Adventist'!J47)</f>
        <v>0</v>
      </c>
      <c r="L36" s="494">
        <f>SUM('#1-Meritus:#5050-Shady Grove Adventist'!K47)</f>
        <v>179309.6</v>
      </c>
      <c r="M36" s="494">
        <f t="shared" si="2"/>
        <v>111068.66</v>
      </c>
    </row>
    <row r="37" spans="1:13">
      <c r="A37" s="545"/>
      <c r="C37" s="546"/>
      <c r="D37" s="546"/>
      <c r="E37" s="546"/>
      <c r="F37" s="547"/>
      <c r="G37" s="544"/>
      <c r="H37" s="544"/>
      <c r="I37" s="544"/>
      <c r="J37" s="544"/>
      <c r="K37" s="544"/>
      <c r="L37" s="544"/>
      <c r="M37" s="544"/>
    </row>
    <row r="38" spans="1:13">
      <c r="A38" s="498" t="s">
        <v>142</v>
      </c>
      <c r="B38" s="487"/>
      <c r="C38" s="540" t="s">
        <v>295</v>
      </c>
      <c r="G38" s="494">
        <f>SUM(G29:G36)</f>
        <v>6580257.1769428477</v>
      </c>
      <c r="H38" s="494">
        <f t="shared" ref="H38:M38" si="3">SUM(H29:H36)</f>
        <v>215604.59244663682</v>
      </c>
      <c r="I38" s="494">
        <f t="shared" si="3"/>
        <v>339416308.49409813</v>
      </c>
      <c r="J38" s="494">
        <f t="shared" si="3"/>
        <v>80405016.442416504</v>
      </c>
      <c r="K38" s="494">
        <f t="shared" si="3"/>
        <v>674493.45005675009</v>
      </c>
      <c r="L38" s="494">
        <f t="shared" si="3"/>
        <v>419146831.486458</v>
      </c>
      <c r="M38" s="494">
        <f t="shared" si="3"/>
        <v>338741815.04404151</v>
      </c>
    </row>
    <row r="39" spans="1:13">
      <c r="A39" s="487"/>
      <c r="B39" s="487"/>
      <c r="G39" s="493"/>
      <c r="H39" s="493"/>
      <c r="I39" s="493"/>
      <c r="J39" s="493"/>
      <c r="K39" s="493"/>
      <c r="L39" s="493"/>
      <c r="M39" s="493"/>
    </row>
    <row r="40" spans="1:13">
      <c r="A40" s="487"/>
      <c r="B40" s="487"/>
      <c r="G40" s="493"/>
      <c r="H40" s="493"/>
      <c r="I40" s="493"/>
      <c r="J40" s="493"/>
      <c r="K40" s="493"/>
      <c r="L40" s="493"/>
      <c r="M40" s="493"/>
    </row>
    <row r="41" spans="1:13" ht="38.25">
      <c r="A41" s="487"/>
      <c r="B41" s="487"/>
      <c r="G41" s="489" t="s">
        <v>9</v>
      </c>
      <c r="H41" s="489" t="s">
        <v>37</v>
      </c>
      <c r="I41" s="489" t="s">
        <v>915</v>
      </c>
      <c r="J41" s="489" t="s">
        <v>916</v>
      </c>
      <c r="K41" s="490" t="s">
        <v>281</v>
      </c>
      <c r="L41" s="495" t="s">
        <v>913</v>
      </c>
      <c r="M41" s="489" t="s">
        <v>914</v>
      </c>
    </row>
    <row r="42" spans="1:13">
      <c r="A42" s="486" t="s">
        <v>918</v>
      </c>
      <c r="B42" s="487"/>
      <c r="C42" s="508" t="s">
        <v>919</v>
      </c>
      <c r="K42" s="496"/>
      <c r="L42" s="497"/>
    </row>
    <row r="43" spans="1:13">
      <c r="B43" s="486"/>
      <c r="C43" s="492" t="s">
        <v>295</v>
      </c>
      <c r="D43" s="508"/>
      <c r="E43" s="508"/>
      <c r="F43" s="508"/>
      <c r="G43" s="494">
        <f>SUM('#1-Meritus:#5050-Shady Grove Adventist'!F64)</f>
        <v>2523091.9455105043</v>
      </c>
      <c r="H43" s="494">
        <f>SUM('#1-Meritus:#5050-Shady Grove Adventist'!G64)</f>
        <v>842451.38685491262</v>
      </c>
      <c r="I43" s="494">
        <f>SUM('#1-Meritus:#5050-Shady Grove Adventist'!H64)</f>
        <v>458938723.211523</v>
      </c>
      <c r="J43" s="494">
        <f>SUM('#1-Meritus:#5050-Shady Grove Adventist'!I64)</f>
        <v>103433118.74625561</v>
      </c>
      <c r="K43" s="494">
        <f>SUM('#1-Meritus:#5050-Shady Grove Adventist'!J64)</f>
        <v>174945765.16943935</v>
      </c>
      <c r="L43" s="494">
        <f>SUM('#1-Meritus:#5050-Shady Grove Adventist'!K64)</f>
        <v>387426076.7883392</v>
      </c>
      <c r="M43" s="494">
        <f>L43-J43</f>
        <v>283992958.04208362</v>
      </c>
    </row>
    <row r="44" spans="1:13">
      <c r="A44" s="498"/>
      <c r="B44" s="498"/>
      <c r="G44" s="509"/>
      <c r="H44" s="509"/>
      <c r="I44" s="509"/>
      <c r="J44" s="509"/>
      <c r="K44" s="509"/>
      <c r="L44" s="509"/>
      <c r="M44" s="510"/>
    </row>
    <row r="45" spans="1:13">
      <c r="A45" s="498"/>
      <c r="B45" s="498"/>
      <c r="K45" s="496"/>
      <c r="L45" s="497"/>
      <c r="M45" s="493"/>
    </row>
    <row r="46" spans="1:13" ht="45.75" customHeight="1">
      <c r="A46" s="486" t="s">
        <v>920</v>
      </c>
      <c r="B46" s="487"/>
      <c r="C46" s="492" t="s">
        <v>12</v>
      </c>
      <c r="G46" s="489" t="s">
        <v>9</v>
      </c>
      <c r="H46" s="489" t="s">
        <v>37</v>
      </c>
      <c r="I46" s="489" t="s">
        <v>915</v>
      </c>
      <c r="J46" s="489" t="s">
        <v>916</v>
      </c>
      <c r="K46" s="490" t="s">
        <v>281</v>
      </c>
      <c r="L46" s="495" t="s">
        <v>913</v>
      </c>
      <c r="M46" s="489" t="s">
        <v>914</v>
      </c>
    </row>
    <row r="47" spans="1:13">
      <c r="A47" s="498" t="s">
        <v>429</v>
      </c>
      <c r="B47" s="487"/>
      <c r="C47" s="492" t="s">
        <v>52</v>
      </c>
      <c r="G47" s="494">
        <f>SUM('#1-Meritus:#5050-Shady Grove Adventist'!F68)</f>
        <v>82035.13150094189</v>
      </c>
      <c r="H47" s="494">
        <f>SUM('#1-Meritus:#5050-Shady Grove Adventist'!G68)</f>
        <v>4423</v>
      </c>
      <c r="I47" s="494">
        <f>SUM('#1-Meritus:#5050-Shady Grove Adventist'!H68)</f>
        <v>10622480.941238428</v>
      </c>
      <c r="J47" s="494">
        <f>SUM('#1-Meritus:#5050-Shady Grove Adventist'!I68)</f>
        <v>2741850.3423000118</v>
      </c>
      <c r="K47" s="494">
        <f>SUM('#1-Meritus:#5050-Shady Grove Adventist'!J68)</f>
        <v>6694352.6899999995</v>
      </c>
      <c r="L47" s="494">
        <f>SUM('#1-Meritus:#5050-Shady Grove Adventist'!K68)</f>
        <v>6669978.5935384417</v>
      </c>
      <c r="M47" s="494">
        <f>L47-J47</f>
        <v>3928128.2512384299</v>
      </c>
    </row>
    <row r="48" spans="1:13">
      <c r="A48" s="498" t="s">
        <v>430</v>
      </c>
      <c r="B48" s="486"/>
      <c r="C48" s="492" t="s">
        <v>53</v>
      </c>
      <c r="G48" s="494">
        <f>SUM('#1-Meritus:#5050-Shady Grove Adventist'!F69)</f>
        <v>7981.7</v>
      </c>
      <c r="H48" s="494">
        <f>SUM('#1-Meritus:#5050-Shady Grove Adventist'!G69)</f>
        <v>17</v>
      </c>
      <c r="I48" s="494">
        <f>SUM('#1-Meritus:#5050-Shady Grove Adventist'!H69)</f>
        <v>644355.77999999991</v>
      </c>
      <c r="J48" s="494">
        <f>SUM('#1-Meritus:#5050-Shady Grove Adventist'!I69)</f>
        <v>301510.484</v>
      </c>
      <c r="K48" s="494">
        <f>SUM('#1-Meritus:#5050-Shady Grove Adventist'!J69)</f>
        <v>14000</v>
      </c>
      <c r="L48" s="494">
        <f>SUM('#1-Meritus:#5050-Shady Grove Adventist'!K69)</f>
        <v>931866.26399999985</v>
      </c>
      <c r="M48" s="494">
        <f t="shared" ref="M48:M49" si="4">L48-J48</f>
        <v>630355.7799999998</v>
      </c>
    </row>
    <row r="49" spans="1:13">
      <c r="A49" s="498" t="s">
        <v>653</v>
      </c>
      <c r="B49" s="498"/>
      <c r="C49" s="492" t="s">
        <v>367</v>
      </c>
      <c r="D49" s="492"/>
      <c r="E49" s="492"/>
      <c r="F49" s="492"/>
      <c r="G49" s="494">
        <f>SUM('#1-Meritus:#5050-Shady Grove Adventist'!F70)</f>
        <v>35402.49202975558</v>
      </c>
      <c r="H49" s="494">
        <f>SUM('#1-Meritus:#5050-Shady Grove Adventist'!G70)</f>
        <v>0</v>
      </c>
      <c r="I49" s="494">
        <f>SUM('#1-Meritus:#5050-Shady Grove Adventist'!H70)</f>
        <v>1754352.119821935</v>
      </c>
      <c r="J49" s="494">
        <f>SUM('#1-Meritus:#5050-Shady Grove Adventist'!I70)</f>
        <v>411611.86117790476</v>
      </c>
      <c r="K49" s="494">
        <f>SUM('#1-Meritus:#5050-Shady Grove Adventist'!J70)</f>
        <v>0</v>
      </c>
      <c r="L49" s="494">
        <f>SUM('#1-Meritus:#5050-Shady Grove Adventist'!K70)</f>
        <v>2165963.9809998395</v>
      </c>
      <c r="M49" s="494">
        <f t="shared" si="4"/>
        <v>1754352.1198219347</v>
      </c>
    </row>
    <row r="50" spans="1:13">
      <c r="D50" s="492"/>
      <c r="E50" s="492"/>
      <c r="F50" s="492"/>
      <c r="G50" s="499"/>
      <c r="H50" s="499"/>
      <c r="I50" s="499"/>
      <c r="J50" s="499"/>
      <c r="K50" s="499"/>
      <c r="L50" s="499"/>
      <c r="M50" s="500"/>
    </row>
    <row r="51" spans="1:13">
      <c r="A51" s="498" t="s">
        <v>146</v>
      </c>
      <c r="B51" s="498"/>
      <c r="C51" s="492" t="s">
        <v>295</v>
      </c>
      <c r="G51" s="511">
        <f>SUM(G47:G49)</f>
        <v>125419.32353069747</v>
      </c>
      <c r="H51" s="511">
        <f t="shared" ref="H51:M51" si="5">SUM(H47:H49)</f>
        <v>4440</v>
      </c>
      <c r="I51" s="511">
        <f t="shared" si="5"/>
        <v>13021188.841060363</v>
      </c>
      <c r="J51" s="511">
        <f t="shared" si="5"/>
        <v>3454972.6874779165</v>
      </c>
      <c r="K51" s="511">
        <f t="shared" si="5"/>
        <v>6708352.6899999995</v>
      </c>
      <c r="L51" s="511">
        <f t="shared" si="5"/>
        <v>9767808.8385382816</v>
      </c>
      <c r="M51" s="511">
        <f t="shared" si="5"/>
        <v>6312836.1510603642</v>
      </c>
    </row>
    <row r="52" spans="1:13">
      <c r="A52" s="498"/>
      <c r="B52" s="498"/>
      <c r="G52" s="512"/>
      <c r="H52" s="512"/>
      <c r="I52" s="512"/>
      <c r="J52" s="512"/>
      <c r="K52" s="512"/>
      <c r="L52" s="512"/>
      <c r="M52" s="505"/>
    </row>
    <row r="53" spans="1:13" ht="46.5" customHeight="1">
      <c r="A53" s="487" t="s">
        <v>921</v>
      </c>
      <c r="B53" s="487"/>
      <c r="C53" s="513" t="s">
        <v>68</v>
      </c>
      <c r="G53" s="489" t="s">
        <v>9</v>
      </c>
      <c r="H53" s="489" t="s">
        <v>37</v>
      </c>
      <c r="I53" s="514" t="s">
        <v>915</v>
      </c>
      <c r="J53" s="514" t="s">
        <v>916</v>
      </c>
      <c r="K53" s="490" t="s">
        <v>281</v>
      </c>
      <c r="L53" s="495" t="s">
        <v>913</v>
      </c>
      <c r="M53" s="489" t="s">
        <v>914</v>
      </c>
    </row>
    <row r="54" spans="1:13" ht="15.75">
      <c r="A54" s="487"/>
      <c r="B54" s="487"/>
      <c r="C54" s="513"/>
      <c r="K54" s="496"/>
      <c r="L54" s="497"/>
    </row>
    <row r="55" spans="1:13">
      <c r="A55" s="498" t="s">
        <v>432</v>
      </c>
      <c r="B55" s="487"/>
      <c r="C55" s="486" t="s">
        <v>54</v>
      </c>
      <c r="G55" s="494">
        <f>SUM('#1-Meritus:#5050-Shady Grove Adventist'!F77)</f>
        <v>1558.0475886990541</v>
      </c>
      <c r="H55" s="494">
        <f>SUM('#1-Meritus:#5050-Shady Grove Adventist'!G77)</f>
        <v>30176.009906216514</v>
      </c>
      <c r="I55" s="494">
        <f>SUM('#1-Meritus:#5050-Shady Grove Adventist'!H77)</f>
        <v>9683004.6897643469</v>
      </c>
      <c r="J55" s="494">
        <f>SUM('#1-Meritus:#5050-Shady Grove Adventist'!I77)</f>
        <v>20711.535256346069</v>
      </c>
      <c r="K55" s="494">
        <f>SUM('#1-Meritus:#5050-Shady Grove Adventist'!J77)</f>
        <v>7996</v>
      </c>
      <c r="L55" s="494">
        <f>SUM('#1-Meritus:#5050-Shady Grove Adventist'!K77)</f>
        <v>9695720.2250206918</v>
      </c>
      <c r="M55" s="494">
        <f>L55-J55</f>
        <v>9675008.6897643451</v>
      </c>
    </row>
    <row r="56" spans="1:13">
      <c r="A56" s="498" t="s">
        <v>433</v>
      </c>
      <c r="B56" s="486"/>
      <c r="C56" s="486" t="s">
        <v>55</v>
      </c>
      <c r="G56" s="494">
        <f>SUM('#1-Meritus:#5050-Shady Grove Adventist'!F78)</f>
        <v>44.621853714003521</v>
      </c>
      <c r="H56" s="494">
        <f>SUM('#1-Meritus:#5050-Shady Grove Adventist'!G78)</f>
        <v>53</v>
      </c>
      <c r="I56" s="494">
        <f>SUM('#1-Meritus:#5050-Shady Grove Adventist'!H78)</f>
        <v>579760.3799929521</v>
      </c>
      <c r="J56" s="494">
        <f>SUM('#1-Meritus:#5050-Shady Grove Adventist'!I78)</f>
        <v>68105</v>
      </c>
      <c r="K56" s="494">
        <f>SUM('#1-Meritus:#5050-Shady Grove Adventist'!J78)</f>
        <v>259435</v>
      </c>
      <c r="L56" s="494">
        <f>SUM('#1-Meritus:#5050-Shady Grove Adventist'!K78)</f>
        <v>388430.37999295216</v>
      </c>
      <c r="M56" s="494">
        <f t="shared" ref="M56:M58" si="6">L56-J56</f>
        <v>320325.37999295216</v>
      </c>
    </row>
    <row r="57" spans="1:13">
      <c r="A57" s="498" t="s">
        <v>434</v>
      </c>
      <c r="B57" s="498"/>
      <c r="C57" s="486" t="s">
        <v>13</v>
      </c>
      <c r="G57" s="494">
        <f>SUM('#1-Meritus:#5050-Shady Grove Adventist'!F79)</f>
        <v>38745.087003188099</v>
      </c>
      <c r="H57" s="494">
        <f>SUM('#1-Meritus:#5050-Shady Grove Adventist'!G79)</f>
        <v>125455</v>
      </c>
      <c r="I57" s="494">
        <f>SUM('#1-Meritus:#5050-Shady Grove Adventist'!H79)</f>
        <v>5458102.0748682329</v>
      </c>
      <c r="J57" s="494">
        <f>SUM('#1-Meritus:#5050-Shady Grove Adventist'!I79)</f>
        <v>284233.28087451839</v>
      </c>
      <c r="K57" s="494">
        <f>SUM('#1-Meritus:#5050-Shady Grove Adventist'!J79)</f>
        <v>211206</v>
      </c>
      <c r="L57" s="494">
        <f>SUM('#1-Meritus:#5050-Shady Grove Adventist'!K79)</f>
        <v>5531129.3557427516</v>
      </c>
      <c r="M57" s="494">
        <f t="shared" si="6"/>
        <v>5246896.0748682329</v>
      </c>
    </row>
    <row r="58" spans="1:13">
      <c r="A58" s="498" t="s">
        <v>435</v>
      </c>
      <c r="B58" s="498"/>
      <c r="C58" s="486" t="s">
        <v>56</v>
      </c>
      <c r="G58" s="494">
        <f>SUM('#1-Meritus:#5050-Shady Grove Adventist'!F80)</f>
        <v>3271.5</v>
      </c>
      <c r="H58" s="494">
        <f>SUM('#1-Meritus:#5050-Shady Grove Adventist'!G80)</f>
        <v>5110</v>
      </c>
      <c r="I58" s="494">
        <f>SUM('#1-Meritus:#5050-Shady Grove Adventist'!H80)</f>
        <v>418737.24</v>
      </c>
      <c r="J58" s="494">
        <f>SUM('#1-Meritus:#5050-Shady Grove Adventist'!I80)</f>
        <v>68802.003981648217</v>
      </c>
      <c r="K58" s="494">
        <f>SUM('#1-Meritus:#5050-Shady Grove Adventist'!J80)</f>
        <v>0</v>
      </c>
      <c r="L58" s="494">
        <f>SUM('#1-Meritus:#5050-Shady Grove Adventist'!K80)</f>
        <v>487539.24398164824</v>
      </c>
      <c r="M58" s="494">
        <f t="shared" si="6"/>
        <v>418737.24</v>
      </c>
    </row>
    <row r="59" spans="1:13">
      <c r="A59" s="498"/>
      <c r="B59" s="498"/>
      <c r="C59" s="515"/>
      <c r="G59" s="516"/>
      <c r="H59" s="516"/>
      <c r="I59" s="516"/>
      <c r="J59" s="516"/>
      <c r="K59" s="516"/>
      <c r="L59" s="516"/>
      <c r="M59" s="500"/>
    </row>
    <row r="60" spans="1:13">
      <c r="A60" s="498" t="s">
        <v>148</v>
      </c>
      <c r="B60" s="498"/>
      <c r="C60" s="486" t="s">
        <v>295</v>
      </c>
      <c r="D60" s="515"/>
      <c r="E60" s="515"/>
      <c r="F60" s="515"/>
      <c r="G60" s="511">
        <f>SUM(G55:G59)</f>
        <v>43619.256445601153</v>
      </c>
      <c r="H60" s="511">
        <f t="shared" ref="H60:M60" si="7">SUM(H55:H59)</f>
        <v>160794.00990621652</v>
      </c>
      <c r="I60" s="511">
        <f t="shared" si="7"/>
        <v>16139604.384625534</v>
      </c>
      <c r="J60" s="511">
        <f t="shared" si="7"/>
        <v>441851.82011251268</v>
      </c>
      <c r="K60" s="511">
        <f t="shared" si="7"/>
        <v>478637</v>
      </c>
      <c r="L60" s="511">
        <f t="shared" si="7"/>
        <v>16102819.204738043</v>
      </c>
      <c r="M60" s="511">
        <f t="shared" si="7"/>
        <v>15660967.38462553</v>
      </c>
    </row>
    <row r="61" spans="1:13">
      <c r="A61" s="498"/>
      <c r="B61" s="498"/>
      <c r="C61" s="486"/>
      <c r="D61" s="515"/>
      <c r="E61" s="515"/>
      <c r="F61" s="515"/>
      <c r="G61" s="517"/>
      <c r="H61" s="517"/>
      <c r="I61" s="517"/>
      <c r="J61" s="517"/>
      <c r="K61" s="517"/>
      <c r="L61" s="517"/>
      <c r="M61" s="517"/>
    </row>
    <row r="62" spans="1:13">
      <c r="A62" s="498"/>
      <c r="G62" s="502"/>
      <c r="H62" s="502"/>
      <c r="I62" s="503"/>
      <c r="J62" s="503"/>
      <c r="K62" s="503"/>
      <c r="L62" s="503"/>
      <c r="M62" s="503"/>
    </row>
    <row r="63" spans="1:13">
      <c r="A63" s="498"/>
      <c r="B63" s="498"/>
      <c r="C63" s="486"/>
      <c r="K63" s="496"/>
      <c r="L63" s="497"/>
    </row>
    <row r="64" spans="1:13" ht="41.25" customHeight="1">
      <c r="A64" s="486" t="s">
        <v>922</v>
      </c>
      <c r="B64" s="498"/>
      <c r="C64" s="492" t="s">
        <v>57</v>
      </c>
      <c r="G64" s="489" t="s">
        <v>9</v>
      </c>
      <c r="H64" s="489" t="s">
        <v>37</v>
      </c>
      <c r="I64" s="489" t="s">
        <v>915</v>
      </c>
      <c r="J64" s="489" t="s">
        <v>916</v>
      </c>
      <c r="K64" s="490" t="s">
        <v>281</v>
      </c>
      <c r="L64" s="495" t="s">
        <v>913</v>
      </c>
      <c r="M64" s="489" t="s">
        <v>914</v>
      </c>
    </row>
    <row r="65" spans="1:13">
      <c r="K65" s="496"/>
      <c r="L65" s="497"/>
    </row>
    <row r="66" spans="1:13">
      <c r="A66" s="498" t="s">
        <v>438</v>
      </c>
      <c r="B66" s="487"/>
      <c r="C66" s="492" t="s">
        <v>923</v>
      </c>
      <c r="G66" s="518">
        <f>SUM('#1-Meritus:#5050-Shady Grove Adventist'!F86)</f>
        <v>7917</v>
      </c>
      <c r="H66" s="518">
        <f>SUM('#1-Meritus:#5050-Shady Grove Adventist'!G86)</f>
        <v>307927</v>
      </c>
      <c r="I66" s="518">
        <f>SUM('#1-Meritus:#5050-Shady Grove Adventist'!H86)</f>
        <v>3584406.6009212551</v>
      </c>
      <c r="J66" s="518">
        <f>SUM('#1-Meritus:#5050-Shady Grove Adventist'!I86)</f>
        <v>199301.84462907282</v>
      </c>
      <c r="K66" s="518">
        <f>SUM('#1-Meritus:#5050-Shady Grove Adventist'!J86)</f>
        <v>2690625</v>
      </c>
      <c r="L66" s="518">
        <f>SUM('#1-Meritus:#5050-Shady Grove Adventist'!K86)</f>
        <v>1093083.4455503279</v>
      </c>
      <c r="M66" s="494">
        <f>L66-J66</f>
        <v>893781.60092125507</v>
      </c>
    </row>
    <row r="67" spans="1:13">
      <c r="A67" s="498" t="s">
        <v>439</v>
      </c>
      <c r="B67" s="486"/>
      <c r="C67" s="492" t="s">
        <v>14</v>
      </c>
      <c r="D67" s="492"/>
      <c r="E67" s="492"/>
      <c r="F67" s="492"/>
      <c r="G67" s="518">
        <f>SUM('#1-Meritus:#5050-Shady Grove Adventist'!F87)</f>
        <v>2098.600240150703</v>
      </c>
      <c r="H67" s="518">
        <f>SUM('#1-Meritus:#5050-Shady Grove Adventist'!G87)</f>
        <v>4824.013208288683</v>
      </c>
      <c r="I67" s="518">
        <f>SUM('#1-Meritus:#5050-Shady Grove Adventist'!H87)</f>
        <v>690760.46612124587</v>
      </c>
      <c r="J67" s="518">
        <f>SUM('#1-Meritus:#5050-Shady Grove Adventist'!I87)</f>
        <v>411113.01556061406</v>
      </c>
      <c r="K67" s="518">
        <f>SUM('#1-Meritus:#5050-Shady Grove Adventist'!J87)</f>
        <v>361691</v>
      </c>
      <c r="L67" s="518">
        <f>SUM('#1-Meritus:#5050-Shady Grove Adventist'!K87)</f>
        <v>740182.48168185959</v>
      </c>
      <c r="M67" s="494">
        <f t="shared" ref="M67:M76" si="8">L67-J67</f>
        <v>329069.46612124552</v>
      </c>
    </row>
    <row r="68" spans="1:13">
      <c r="A68" s="498" t="s">
        <v>440</v>
      </c>
      <c r="B68" s="498"/>
      <c r="C68" s="492" t="s">
        <v>924</v>
      </c>
      <c r="D68" s="492"/>
      <c r="E68" s="492"/>
      <c r="F68" s="492"/>
      <c r="G68" s="518">
        <f>SUM('#1-Meritus:#5050-Shady Grove Adventist'!F88)</f>
        <v>66752.758615406477</v>
      </c>
      <c r="H68" s="518">
        <f>SUM('#1-Meritus:#5050-Shady Grove Adventist'!G88)</f>
        <v>23679.233501023115</v>
      </c>
      <c r="I68" s="518">
        <f>SUM('#1-Meritus:#5050-Shady Grove Adventist'!H88)</f>
        <v>3592580.6510679726</v>
      </c>
      <c r="J68" s="518">
        <f>SUM('#1-Meritus:#5050-Shady Grove Adventist'!I88)</f>
        <v>1761614.0995603953</v>
      </c>
      <c r="K68" s="518">
        <f>SUM('#1-Meritus:#5050-Shady Grove Adventist'!J88)</f>
        <v>648463</v>
      </c>
      <c r="L68" s="518">
        <f>SUM('#1-Meritus:#5050-Shady Grove Adventist'!K88)</f>
        <v>4705731.750628368</v>
      </c>
      <c r="M68" s="494">
        <f t="shared" si="8"/>
        <v>2944117.6510679726</v>
      </c>
    </row>
    <row r="69" spans="1:13">
      <c r="A69" s="498" t="s">
        <v>441</v>
      </c>
      <c r="B69" s="498"/>
      <c r="C69" s="492" t="s">
        <v>58</v>
      </c>
      <c r="D69" s="492"/>
      <c r="E69" s="492"/>
      <c r="F69" s="492"/>
      <c r="G69" s="518">
        <f>SUM('#1-Meritus:#5050-Shady Grove Adventist'!F89)</f>
        <v>6176.3500900565141</v>
      </c>
      <c r="H69" s="518">
        <f>SUM('#1-Meritus:#5050-Shady Grove Adventist'!G89)</f>
        <v>600.90066041443413</v>
      </c>
      <c r="I69" s="518">
        <f>SUM('#1-Meritus:#5050-Shady Grove Adventist'!H89)</f>
        <v>913888.77297265898</v>
      </c>
      <c r="J69" s="518">
        <f>SUM('#1-Meritus:#5050-Shady Grove Adventist'!I89)</f>
        <v>535933.07116014371</v>
      </c>
      <c r="K69" s="518">
        <f>SUM('#1-Meritus:#5050-Shady Grove Adventist'!J89)</f>
        <v>1500</v>
      </c>
      <c r="L69" s="518">
        <f>SUM('#1-Meritus:#5050-Shady Grove Adventist'!K89)</f>
        <v>1448321.8441328029</v>
      </c>
      <c r="M69" s="494">
        <f t="shared" si="8"/>
        <v>912388.77297265921</v>
      </c>
    </row>
    <row r="70" spans="1:13">
      <c r="A70" s="498" t="s">
        <v>442</v>
      </c>
      <c r="B70" s="498"/>
      <c r="C70" s="491" t="s">
        <v>59</v>
      </c>
      <c r="D70" s="492"/>
      <c r="E70" s="492"/>
      <c r="F70" s="492"/>
      <c r="G70" s="518">
        <f>SUM('#1-Meritus:#5050-Shady Grove Adventist'!F90)</f>
        <v>5971.3521913751674</v>
      </c>
      <c r="H70" s="518">
        <f>SUM('#1-Meritus:#5050-Shady Grove Adventist'!G90)</f>
        <v>2818.1065441066658</v>
      </c>
      <c r="I70" s="518">
        <f>SUM('#1-Meritus:#5050-Shady Grove Adventist'!H90)</f>
        <v>233542.29705069994</v>
      </c>
      <c r="J70" s="518">
        <f>SUM('#1-Meritus:#5050-Shady Grove Adventist'!I90)</f>
        <v>139096.54139777279</v>
      </c>
      <c r="K70" s="518">
        <f>SUM('#1-Meritus:#5050-Shady Grove Adventist'!J90)</f>
        <v>0</v>
      </c>
      <c r="L70" s="518">
        <f>SUM('#1-Meritus:#5050-Shady Grove Adventist'!K90)</f>
        <v>372638.83844847279</v>
      </c>
      <c r="M70" s="494">
        <f t="shared" si="8"/>
        <v>233542.2970507</v>
      </c>
    </row>
    <row r="71" spans="1:13">
      <c r="A71" s="498" t="s">
        <v>443</v>
      </c>
      <c r="B71" s="498"/>
      <c r="C71" s="492" t="s">
        <v>60</v>
      </c>
      <c r="D71" s="519"/>
      <c r="E71" s="519"/>
      <c r="F71" s="519"/>
      <c r="G71" s="518">
        <f>SUM('#1-Meritus:#5050-Shady Grove Adventist'!F91)</f>
        <v>17221.604883908381</v>
      </c>
      <c r="H71" s="518">
        <f>SUM('#1-Meritus:#5050-Shady Grove Adventist'!G91)</f>
        <v>13304.940931193119</v>
      </c>
      <c r="I71" s="518">
        <f>SUM('#1-Meritus:#5050-Shady Grove Adventist'!H91)</f>
        <v>1098116.0089037288</v>
      </c>
      <c r="J71" s="518">
        <f>SUM('#1-Meritus:#5050-Shady Grove Adventist'!I91)</f>
        <v>594934.93051026191</v>
      </c>
      <c r="K71" s="518">
        <f>SUM('#1-Meritus:#5050-Shady Grove Adventist'!J91)</f>
        <v>19065</v>
      </c>
      <c r="L71" s="518">
        <f>SUM('#1-Meritus:#5050-Shady Grove Adventist'!K91)</f>
        <v>1673985.9394139908</v>
      </c>
      <c r="M71" s="494">
        <f t="shared" si="8"/>
        <v>1079051.0089037288</v>
      </c>
    </row>
    <row r="72" spans="1:13">
      <c r="A72" s="498" t="s">
        <v>444</v>
      </c>
      <c r="B72" s="498"/>
      <c r="C72" s="492" t="s">
        <v>925</v>
      </c>
      <c r="D72" s="492"/>
      <c r="E72" s="492"/>
      <c r="F72" s="492"/>
      <c r="G72" s="518">
        <f>SUM('#1-Meritus:#5050-Shady Grove Adventist'!F92)</f>
        <v>11450.529228354493</v>
      </c>
      <c r="H72" s="518">
        <f>SUM('#1-Meritus:#5050-Shady Grove Adventist'!G92)</f>
        <v>4310.4000828056141</v>
      </c>
      <c r="I72" s="518">
        <f>SUM('#1-Meritus:#5050-Shady Grove Adventist'!H92)</f>
        <v>1280041.3835090017</v>
      </c>
      <c r="J72" s="518">
        <f>SUM('#1-Meritus:#5050-Shady Grove Adventist'!I92)</f>
        <v>671460.54872293596</v>
      </c>
      <c r="K72" s="518">
        <f>SUM('#1-Meritus:#5050-Shady Grove Adventist'!J92)</f>
        <v>6356.42</v>
      </c>
      <c r="L72" s="518">
        <f>SUM('#1-Meritus:#5050-Shady Grove Adventist'!K92)</f>
        <v>1945145.5122319374</v>
      </c>
      <c r="M72" s="494">
        <f t="shared" si="8"/>
        <v>1273684.9635090013</v>
      </c>
    </row>
    <row r="73" spans="1:13">
      <c r="A73" s="498" t="s">
        <v>445</v>
      </c>
      <c r="B73" s="498"/>
      <c r="C73" s="492" t="s">
        <v>926</v>
      </c>
      <c r="D73" s="492"/>
      <c r="E73" s="492"/>
      <c r="F73" s="492"/>
      <c r="G73" s="518">
        <f>SUM('#1-Meritus:#5050-Shady Grove Adventist'!F93)</f>
        <v>45912.425435273151</v>
      </c>
      <c r="H73" s="518">
        <f>SUM('#1-Meritus:#5050-Shady Grove Adventist'!G93)</f>
        <v>56481.203482185192</v>
      </c>
      <c r="I73" s="518">
        <f>SUM('#1-Meritus:#5050-Shady Grove Adventist'!H93)</f>
        <v>2443947.0916758692</v>
      </c>
      <c r="J73" s="518">
        <f>SUM('#1-Meritus:#5050-Shady Grove Adventist'!I93)</f>
        <v>1424396.8283838653</v>
      </c>
      <c r="K73" s="518">
        <f>SUM('#1-Meritus:#5050-Shady Grove Adventist'!J93)</f>
        <v>351458</v>
      </c>
      <c r="L73" s="518">
        <f>SUM('#1-Meritus:#5050-Shady Grove Adventist'!K93)</f>
        <v>3516885.9200597354</v>
      </c>
      <c r="M73" s="494">
        <f t="shared" si="8"/>
        <v>2092489.0916758701</v>
      </c>
    </row>
    <row r="74" spans="1:13">
      <c r="A74" s="498" t="s">
        <v>654</v>
      </c>
      <c r="B74" s="498"/>
      <c r="C74" s="492" t="s">
        <v>367</v>
      </c>
      <c r="D74" s="492"/>
      <c r="E74" s="492"/>
      <c r="F74" s="492"/>
      <c r="G74" s="518">
        <f>SUM('#1-Meritus:#5050-Shady Grove Adventist'!F94)</f>
        <v>11320</v>
      </c>
      <c r="H74" s="518">
        <f>SUM('#1-Meritus:#5050-Shady Grove Adventist'!G94)</f>
        <v>165763</v>
      </c>
      <c r="I74" s="518">
        <f>SUM('#1-Meritus:#5050-Shady Grove Adventist'!H94)</f>
        <v>876145.74800000002</v>
      </c>
      <c r="J74" s="518">
        <f>SUM('#1-Meritus:#5050-Shady Grove Adventist'!I94)</f>
        <v>417685.02707680012</v>
      </c>
      <c r="K74" s="518">
        <f>SUM('#1-Meritus:#5050-Shady Grove Adventist'!J94)</f>
        <v>4352</v>
      </c>
      <c r="L74" s="518">
        <f>SUM('#1-Meritus:#5050-Shady Grove Adventist'!K94)</f>
        <v>1289478.7750768</v>
      </c>
      <c r="M74" s="494">
        <f t="shared" si="8"/>
        <v>871793.74799999991</v>
      </c>
    </row>
    <row r="75" spans="1:13">
      <c r="A75" s="498" t="s">
        <v>112</v>
      </c>
      <c r="B75" s="498"/>
      <c r="C75" s="492" t="s">
        <v>367</v>
      </c>
      <c r="D75" s="492"/>
      <c r="E75" s="492"/>
      <c r="F75" s="492"/>
      <c r="G75" s="518">
        <f>SUM('#1-Meritus:#5050-Shady Grove Adventist'!F95)</f>
        <v>1200</v>
      </c>
      <c r="H75" s="518">
        <f>SUM('#1-Meritus:#5050-Shady Grove Adventist'!G95)</f>
        <v>48</v>
      </c>
      <c r="I75" s="518">
        <f>SUM('#1-Meritus:#5050-Shady Grove Adventist'!H95)</f>
        <v>54000</v>
      </c>
      <c r="J75" s="518">
        <f>SUM('#1-Meritus:#5050-Shady Grove Adventist'!I95)</f>
        <v>28798.2</v>
      </c>
      <c r="K75" s="518">
        <f>SUM('#1-Meritus:#5050-Shady Grove Adventist'!J95)</f>
        <v>0</v>
      </c>
      <c r="L75" s="518">
        <f>SUM('#1-Meritus:#5050-Shady Grove Adventist'!K95)</f>
        <v>82798.2</v>
      </c>
      <c r="M75" s="494">
        <f t="shared" si="8"/>
        <v>54000</v>
      </c>
    </row>
    <row r="76" spans="1:13">
      <c r="A76" s="498" t="s">
        <v>927</v>
      </c>
      <c r="B76" s="498"/>
      <c r="C76" s="639"/>
      <c r="D76" s="639"/>
      <c r="E76" s="640"/>
      <c r="F76" s="535"/>
      <c r="G76" s="518">
        <f>SUM('#1-Meritus:#5050-Shady Grove Adventist'!F96)</f>
        <v>0</v>
      </c>
      <c r="H76" s="518">
        <f>SUM('#1-Meritus:#5050-Shady Grove Adventist'!G96)</f>
        <v>0</v>
      </c>
      <c r="I76" s="518">
        <f>SUM('#1-Meritus:#5050-Shady Grove Adventist'!H96)</f>
        <v>0</v>
      </c>
      <c r="J76" s="518">
        <f>SUM('#1-Meritus:#5050-Shady Grove Adventist'!I96)</f>
        <v>0</v>
      </c>
      <c r="K76" s="518">
        <f>SUM('#1-Meritus:#5050-Shady Grove Adventist'!J96)</f>
        <v>0</v>
      </c>
      <c r="L76" s="518">
        <f>SUM('#1-Meritus:#5050-Shady Grove Adventist'!K96)</f>
        <v>0</v>
      </c>
      <c r="M76" s="494">
        <f t="shared" si="8"/>
        <v>0</v>
      </c>
    </row>
    <row r="77" spans="1:13">
      <c r="B77" s="498"/>
      <c r="D77" s="492"/>
      <c r="E77" s="492"/>
      <c r="F77" s="492"/>
      <c r="I77" s="505"/>
      <c r="J77" s="505"/>
      <c r="K77" s="505"/>
      <c r="L77" s="505"/>
      <c r="M77" s="493"/>
    </row>
    <row r="78" spans="1:13">
      <c r="A78" s="486" t="s">
        <v>150</v>
      </c>
      <c r="B78" s="498"/>
      <c r="C78" s="492" t="s">
        <v>295</v>
      </c>
      <c r="G78" s="518">
        <f>SUM(G66:G76)</f>
        <v>176020.62068452488</v>
      </c>
      <c r="H78" s="518">
        <f t="shared" ref="H78:M78" si="9">SUM(H66:H76)</f>
        <v>579756.79841001681</v>
      </c>
      <c r="I78" s="518">
        <f t="shared" si="9"/>
        <v>14767429.020222433</v>
      </c>
      <c r="J78" s="518">
        <f t="shared" si="9"/>
        <v>6184334.1070018634</v>
      </c>
      <c r="K78" s="518">
        <f t="shared" si="9"/>
        <v>4083510.42</v>
      </c>
      <c r="L78" s="518">
        <f t="shared" si="9"/>
        <v>16868252.707224291</v>
      </c>
      <c r="M78" s="518">
        <f t="shared" si="9"/>
        <v>10683918.600222431</v>
      </c>
    </row>
    <row r="79" spans="1:13">
      <c r="A79" s="498"/>
      <c r="B79" s="498"/>
      <c r="C79" s="492"/>
      <c r="G79" s="509"/>
      <c r="H79" s="509"/>
      <c r="I79" s="509"/>
      <c r="J79" s="509"/>
      <c r="K79" s="509"/>
      <c r="L79" s="509"/>
      <c r="M79" s="509"/>
    </row>
    <row r="80" spans="1:13">
      <c r="A80" s="487"/>
      <c r="B80" s="487"/>
      <c r="C80" s="492"/>
      <c r="K80" s="496"/>
      <c r="L80" s="497"/>
    </row>
    <row r="81" spans="1:13" ht="46.5" customHeight="1">
      <c r="A81" s="492" t="s">
        <v>928</v>
      </c>
      <c r="B81" s="492"/>
      <c r="C81" s="492" t="s">
        <v>63</v>
      </c>
      <c r="G81" s="489" t="s">
        <v>9</v>
      </c>
      <c r="H81" s="489" t="s">
        <v>37</v>
      </c>
      <c r="I81" s="489" t="s">
        <v>915</v>
      </c>
      <c r="J81" s="489" t="s">
        <v>916</v>
      </c>
      <c r="K81" s="490" t="s">
        <v>281</v>
      </c>
      <c r="L81" s="495" t="s">
        <v>913</v>
      </c>
      <c r="M81" s="489" t="s">
        <v>914</v>
      </c>
    </row>
    <row r="82" spans="1:13">
      <c r="A82" s="487"/>
      <c r="B82" s="487"/>
      <c r="C82" s="492"/>
      <c r="K82" s="496"/>
      <c r="L82" s="497"/>
    </row>
    <row r="83" spans="1:13">
      <c r="A83" s="498" t="s">
        <v>447</v>
      </c>
      <c r="B83" s="487"/>
      <c r="C83" s="483" t="s">
        <v>929</v>
      </c>
      <c r="G83" s="518">
        <f>SUM('#1-Meritus:#5050-Shady Grove Adventist'!F102)</f>
        <v>71276.095616597682</v>
      </c>
      <c r="H83" s="518">
        <f>SUM('#1-Meritus:#5050-Shady Grove Adventist'!G102)</f>
        <v>1120.42377491963</v>
      </c>
      <c r="I83" s="518">
        <f>SUM('#1-Meritus:#5050-Shady Grove Adventist'!H102)</f>
        <v>4511796.5553825377</v>
      </c>
      <c r="J83" s="518">
        <f>SUM('#1-Meritus:#5050-Shady Grove Adventist'!I102)</f>
        <v>2116082.4862110815</v>
      </c>
      <c r="K83" s="518">
        <f>SUM('#1-Meritus:#5050-Shady Grove Adventist'!J102)</f>
        <v>20811</v>
      </c>
      <c r="L83" s="518">
        <f>SUM('#1-Meritus:#5050-Shady Grove Adventist'!K102)</f>
        <v>6607068.0415936187</v>
      </c>
      <c r="M83" s="494">
        <f>L83-J83</f>
        <v>4490985.5553825367</v>
      </c>
    </row>
    <row r="84" spans="1:13">
      <c r="A84" s="498" t="s">
        <v>448</v>
      </c>
      <c r="B84" s="486"/>
      <c r="C84" s="506" t="s">
        <v>62</v>
      </c>
      <c r="G84" s="518">
        <f>SUM('#1-Meritus:#5050-Shady Grove Adventist'!F103)</f>
        <v>2742.2386642632364</v>
      </c>
      <c r="H84" s="518">
        <f>SUM('#1-Meritus:#5050-Shady Grove Adventist'!G103)</f>
        <v>194.50870546299586</v>
      </c>
      <c r="I84" s="518">
        <f>SUM('#1-Meritus:#5050-Shady Grove Adventist'!H103)</f>
        <v>210354.23783468668</v>
      </c>
      <c r="J84" s="518">
        <f>SUM('#1-Meritus:#5050-Shady Grove Adventist'!I103)</f>
        <v>94643.547875357122</v>
      </c>
      <c r="K84" s="518">
        <f>SUM('#1-Meritus:#5050-Shady Grove Adventist'!J103)</f>
        <v>21406</v>
      </c>
      <c r="L84" s="518">
        <f>SUM('#1-Meritus:#5050-Shady Grove Adventist'!K103)</f>
        <v>283591.7857100438</v>
      </c>
      <c r="M84" s="494">
        <f t="shared" ref="M84:M87" si="10">L84-J84</f>
        <v>188948.23783468668</v>
      </c>
    </row>
    <row r="85" spans="1:13">
      <c r="A85" s="498" t="s">
        <v>642</v>
      </c>
      <c r="B85" s="498"/>
      <c r="C85" s="483" t="s">
        <v>630</v>
      </c>
      <c r="D85" s="507"/>
      <c r="E85" s="507"/>
      <c r="F85" s="507"/>
      <c r="G85" s="518">
        <f>SUM('#1-Meritus:#5050-Shady Grove Adventist'!F104)</f>
        <v>1747</v>
      </c>
      <c r="H85" s="518">
        <f>SUM('#1-Meritus:#5050-Shady Grove Adventist'!G104)</f>
        <v>193</v>
      </c>
      <c r="I85" s="518">
        <f>SUM('#1-Meritus:#5050-Shady Grove Adventist'!H104)</f>
        <v>623539.88400000008</v>
      </c>
      <c r="J85" s="518">
        <f>SUM('#1-Meritus:#5050-Shady Grove Adventist'!I104)</f>
        <v>243683.80331440002</v>
      </c>
      <c r="K85" s="518">
        <f>SUM('#1-Meritus:#5050-Shady Grove Adventist'!J104)</f>
        <v>44</v>
      </c>
      <c r="L85" s="518">
        <f>SUM('#1-Meritus:#5050-Shady Grove Adventist'!K104)</f>
        <v>867179.68731439998</v>
      </c>
      <c r="M85" s="494">
        <f t="shared" si="10"/>
        <v>623495.88399999996</v>
      </c>
    </row>
    <row r="86" spans="1:13">
      <c r="A86" s="498" t="s">
        <v>677</v>
      </c>
      <c r="B86" s="498"/>
      <c r="C86" s="492" t="s">
        <v>949</v>
      </c>
      <c r="G86" s="518">
        <f>SUM('#1-Meritus:#5050-Shady Grove Adventist'!F105)</f>
        <v>7</v>
      </c>
      <c r="H86" s="518">
        <f>SUM('#1-Meritus:#5050-Shady Grove Adventist'!G105)</f>
        <v>0</v>
      </c>
      <c r="I86" s="518">
        <f>SUM('#1-Meritus:#5050-Shady Grove Adventist'!H105)</f>
        <v>144</v>
      </c>
      <c r="J86" s="518">
        <f>SUM('#1-Meritus:#5050-Shady Grove Adventist'!I105)</f>
        <v>91</v>
      </c>
      <c r="K86" s="518">
        <f>SUM('#1-Meritus:#5050-Shady Grove Adventist'!J105)</f>
        <v>0</v>
      </c>
      <c r="L86" s="518">
        <f>SUM('#1-Meritus:#5050-Shady Grove Adventist'!K105)</f>
        <v>235</v>
      </c>
      <c r="M86" s="494">
        <f t="shared" si="10"/>
        <v>144</v>
      </c>
    </row>
    <row r="87" spans="1:13">
      <c r="A87" s="498" t="s">
        <v>679</v>
      </c>
      <c r="B87" s="498"/>
      <c r="C87" s="492" t="s">
        <v>367</v>
      </c>
      <c r="G87" s="518">
        <f>SUM('#1-Meritus:#5050-Shady Grove Adventist'!F106)</f>
        <v>0</v>
      </c>
      <c r="H87" s="518">
        <f>SUM('#1-Meritus:#5050-Shady Grove Adventist'!G106)</f>
        <v>0</v>
      </c>
      <c r="I87" s="518">
        <f>SUM('#1-Meritus:#5050-Shady Grove Adventist'!H106)</f>
        <v>85194</v>
      </c>
      <c r="J87" s="518">
        <f>SUM('#1-Meritus:#5050-Shady Grove Adventist'!I106)</f>
        <v>53587</v>
      </c>
      <c r="K87" s="518">
        <f>SUM('#1-Meritus:#5050-Shady Grove Adventist'!J106)</f>
        <v>0</v>
      </c>
      <c r="L87" s="518">
        <f>SUM('#1-Meritus:#5050-Shady Grove Adventist'!K106)</f>
        <v>138781</v>
      </c>
      <c r="M87" s="494">
        <f t="shared" si="10"/>
        <v>85194</v>
      </c>
    </row>
    <row r="88" spans="1:13">
      <c r="A88" s="498"/>
      <c r="B88" s="498"/>
      <c r="C88" s="492"/>
      <c r="G88" s="520"/>
      <c r="H88" s="521"/>
      <c r="I88" s="521"/>
      <c r="J88" s="521"/>
      <c r="K88" s="521"/>
      <c r="L88" s="521"/>
    </row>
    <row r="89" spans="1:13">
      <c r="A89" s="492" t="s">
        <v>153</v>
      </c>
      <c r="B89" s="487"/>
      <c r="C89" s="492" t="s">
        <v>295</v>
      </c>
      <c r="D89" s="493"/>
      <c r="E89" s="493"/>
      <c r="F89" s="493"/>
      <c r="G89" s="518">
        <f>SUM(G83:G87)</f>
        <v>75772.334280860916</v>
      </c>
      <c r="H89" s="518">
        <f t="shared" ref="H89:M89" si="11">SUM(H83:H87)</f>
        <v>1507.9324803826257</v>
      </c>
      <c r="I89" s="518">
        <f t="shared" si="11"/>
        <v>5431028.6772172246</v>
      </c>
      <c r="J89" s="518">
        <f t="shared" si="11"/>
        <v>2508087.8374008387</v>
      </c>
      <c r="K89" s="518">
        <f t="shared" si="11"/>
        <v>42261</v>
      </c>
      <c r="L89" s="518">
        <f t="shared" si="11"/>
        <v>7896855.5146180633</v>
      </c>
      <c r="M89" s="518">
        <f t="shared" si="11"/>
        <v>5388767.6772172228</v>
      </c>
    </row>
    <row r="90" spans="1:13">
      <c r="A90" s="487"/>
      <c r="B90" s="487"/>
      <c r="C90" s="492"/>
      <c r="D90" s="493"/>
      <c r="E90" s="493"/>
      <c r="F90" s="493"/>
      <c r="G90" s="522"/>
      <c r="H90" s="522"/>
      <c r="I90" s="522"/>
      <c r="J90" s="522"/>
      <c r="K90" s="522"/>
      <c r="L90" s="522"/>
      <c r="M90" s="493"/>
    </row>
    <row r="91" spans="1:13">
      <c r="A91" s="487"/>
      <c r="B91" s="487"/>
      <c r="C91" s="492"/>
      <c r="D91" s="493"/>
      <c r="E91" s="493"/>
      <c r="F91" s="493"/>
      <c r="K91" s="496"/>
      <c r="L91" s="497"/>
      <c r="M91" s="493"/>
    </row>
    <row r="92" spans="1:13">
      <c r="A92" s="486" t="s">
        <v>930</v>
      </c>
      <c r="B92" s="487"/>
      <c r="C92" s="492" t="s">
        <v>39</v>
      </c>
      <c r="K92" s="496"/>
      <c r="L92" s="497"/>
    </row>
    <row r="93" spans="1:13">
      <c r="B93" s="487"/>
      <c r="G93" s="501">
        <f>SUM('#1-Meritus:#5050-Shady Grove Adventist'!F111)</f>
        <v>471061109.89199996</v>
      </c>
      <c r="I93" s="514"/>
      <c r="J93" s="514"/>
      <c r="K93" s="496"/>
      <c r="L93" s="497"/>
    </row>
    <row r="94" spans="1:13">
      <c r="B94" s="486"/>
      <c r="C94" s="492"/>
      <c r="K94" s="496"/>
      <c r="L94" s="497"/>
    </row>
    <row r="95" spans="1:13">
      <c r="A95" s="487"/>
      <c r="B95" s="487"/>
      <c r="K95" s="496"/>
      <c r="L95" s="497"/>
    </row>
    <row r="96" spans="1:13" ht="44.25" customHeight="1">
      <c r="A96" s="487"/>
      <c r="B96" s="487"/>
      <c r="G96" s="489" t="s">
        <v>9</v>
      </c>
      <c r="H96" s="489" t="s">
        <v>37</v>
      </c>
      <c r="I96" s="489" t="s">
        <v>915</v>
      </c>
      <c r="J96" s="489" t="s">
        <v>916</v>
      </c>
      <c r="K96" s="490" t="s">
        <v>281</v>
      </c>
      <c r="L96" s="495" t="s">
        <v>913</v>
      </c>
      <c r="M96" s="489" t="s">
        <v>914</v>
      </c>
    </row>
    <row r="97" spans="1:13">
      <c r="A97" s="486" t="s">
        <v>931</v>
      </c>
      <c r="B97" s="498"/>
      <c r="C97" s="492" t="s">
        <v>23</v>
      </c>
      <c r="K97" s="496"/>
      <c r="L97" s="497"/>
    </row>
    <row r="98" spans="1:13">
      <c r="B98" s="487"/>
      <c r="C98" s="492"/>
      <c r="G98" s="523"/>
      <c r="H98" s="523"/>
      <c r="I98" s="524"/>
      <c r="J98" s="524"/>
      <c r="K98" s="524"/>
      <c r="L98" s="524"/>
      <c r="M98" s="524"/>
    </row>
    <row r="99" spans="1:13">
      <c r="A99" s="498" t="s">
        <v>463</v>
      </c>
      <c r="B99" s="486"/>
      <c r="C99" s="492" t="s">
        <v>24</v>
      </c>
      <c r="G99" s="518">
        <f>SUM('#1-Meritus:#5050-Shady Grove Adventist'!F131)</f>
        <v>3805</v>
      </c>
      <c r="H99" s="518">
        <f>SUM('#1-Meritus:#5050-Shady Grove Adventist'!G131)</f>
        <v>2349</v>
      </c>
      <c r="I99" s="518">
        <f>SUM('#1-Meritus:#5050-Shady Grove Adventist'!H131)</f>
        <v>1038696.089116279</v>
      </c>
      <c r="J99" s="518">
        <f>SUM('#1-Meritus:#5050-Shady Grove Adventist'!I131)</f>
        <v>69066.281971572971</v>
      </c>
      <c r="K99" s="518">
        <f>SUM('#1-Meritus:#5050-Shady Grove Adventist'!J131)</f>
        <v>592644.42999999993</v>
      </c>
      <c r="L99" s="518">
        <f>SUM('#1-Meritus:#5050-Shady Grove Adventist'!K131)</f>
        <v>515117.941087852</v>
      </c>
      <c r="M99" s="494">
        <f>L99-J99</f>
        <v>446051.65911627904</v>
      </c>
    </row>
    <row r="100" spans="1:13">
      <c r="A100" s="498" t="s">
        <v>464</v>
      </c>
      <c r="B100" s="498"/>
      <c r="C100" s="492" t="s">
        <v>25</v>
      </c>
      <c r="G100" s="518">
        <f>SUM('#1-Meritus:#5050-Shady Grove Adventist'!F132)</f>
        <v>37119</v>
      </c>
      <c r="H100" s="518">
        <f>SUM('#1-Meritus:#5050-Shady Grove Adventist'!G132)</f>
        <v>11353</v>
      </c>
      <c r="I100" s="518">
        <f>SUM('#1-Meritus:#5050-Shady Grove Adventist'!H132)</f>
        <v>1594157.9</v>
      </c>
      <c r="J100" s="518">
        <f>SUM('#1-Meritus:#5050-Shady Grove Adventist'!I132)</f>
        <v>17357.586288299164</v>
      </c>
      <c r="K100" s="518">
        <f>SUM('#1-Meritus:#5050-Shady Grove Adventist'!J132)</f>
        <v>46090.9</v>
      </c>
      <c r="L100" s="518">
        <f>SUM('#1-Meritus:#5050-Shady Grove Adventist'!K132)</f>
        <v>1565424.5862882992</v>
      </c>
      <c r="M100" s="494">
        <f>L100-J100</f>
        <v>1548067</v>
      </c>
    </row>
    <row r="101" spans="1:13">
      <c r="A101" s="498" t="s">
        <v>946</v>
      </c>
      <c r="B101" s="498"/>
      <c r="C101" s="492" t="s">
        <v>367</v>
      </c>
      <c r="G101" s="518">
        <f>SUM('#1-Meritus:#5050-Shady Grove Adventist'!F133)</f>
        <v>0</v>
      </c>
      <c r="H101" s="518">
        <f>SUM('#1-Meritus:#5050-Shady Grove Adventist'!G133)</f>
        <v>0</v>
      </c>
      <c r="I101" s="518">
        <f>SUM('#1-Meritus:#5050-Shady Grove Adventist'!H133)</f>
        <v>10263.92</v>
      </c>
      <c r="J101" s="518">
        <f>SUM('#1-Meritus:#5050-Shady Grove Adventist'!I133)</f>
        <v>0</v>
      </c>
      <c r="K101" s="518">
        <f>SUM('#1-Meritus:#5050-Shady Grove Adventist'!J133)</f>
        <v>0</v>
      </c>
      <c r="L101" s="518">
        <f>SUM('#1-Meritus:#5050-Shady Grove Adventist'!K133)</f>
        <v>10263.92</v>
      </c>
      <c r="M101" s="494">
        <f t="shared" ref="M101:M103" si="12">L101-J101</f>
        <v>10263.92</v>
      </c>
    </row>
    <row r="102" spans="1:13">
      <c r="A102" s="498" t="s">
        <v>947</v>
      </c>
      <c r="B102" s="498"/>
      <c r="C102" s="492" t="s">
        <v>367</v>
      </c>
      <c r="G102" s="518">
        <f>SUM('#1-Meritus:#5050-Shady Grove Adventist'!F134)</f>
        <v>0</v>
      </c>
      <c r="H102" s="518">
        <f>SUM('#1-Meritus:#5050-Shady Grove Adventist'!G134)</f>
        <v>0</v>
      </c>
      <c r="I102" s="518">
        <f>SUM('#1-Meritus:#5050-Shady Grove Adventist'!H134)</f>
        <v>0</v>
      </c>
      <c r="J102" s="518">
        <f>SUM('#1-Meritus:#5050-Shady Grove Adventist'!I134)</f>
        <v>0</v>
      </c>
      <c r="K102" s="518">
        <f>SUM('#1-Meritus:#5050-Shady Grove Adventist'!J134)</f>
        <v>0</v>
      </c>
      <c r="L102" s="518">
        <f>SUM('#1-Meritus:#5050-Shady Grove Adventist'!K134)</f>
        <v>0</v>
      </c>
      <c r="M102" s="494">
        <f t="shared" si="12"/>
        <v>0</v>
      </c>
    </row>
    <row r="103" spans="1:13">
      <c r="A103" s="498" t="s">
        <v>948</v>
      </c>
      <c r="B103" s="498"/>
      <c r="C103" s="492" t="s">
        <v>367</v>
      </c>
      <c r="G103" s="518">
        <f>SUM('#1-Meritus:#5050-Shady Grove Adventist'!F135)</f>
        <v>0</v>
      </c>
      <c r="H103" s="518">
        <f>SUM('#1-Meritus:#5050-Shady Grove Adventist'!G135)</f>
        <v>0</v>
      </c>
      <c r="I103" s="518">
        <f>SUM('#1-Meritus:#5050-Shady Grove Adventist'!H135)</f>
        <v>0</v>
      </c>
      <c r="J103" s="518">
        <f>SUM('#1-Meritus:#5050-Shady Grove Adventist'!I135)</f>
        <v>0</v>
      </c>
      <c r="K103" s="518">
        <f>SUM('#1-Meritus:#5050-Shady Grove Adventist'!J135)</f>
        <v>0</v>
      </c>
      <c r="L103" s="518">
        <f>SUM('#1-Meritus:#5050-Shady Grove Adventist'!K135)</f>
        <v>0</v>
      </c>
      <c r="M103" s="494">
        <f t="shared" si="12"/>
        <v>0</v>
      </c>
    </row>
    <row r="104" spans="1:13">
      <c r="A104" s="498" t="s">
        <v>163</v>
      </c>
      <c r="B104" s="498"/>
      <c r="C104" s="492" t="s">
        <v>295</v>
      </c>
      <c r="G104" s="494">
        <f t="shared" ref="G104:M104" si="13">SUM(G98:G102)</f>
        <v>40924</v>
      </c>
      <c r="H104" s="494">
        <f t="shared" si="13"/>
        <v>13702</v>
      </c>
      <c r="I104" s="501">
        <f t="shared" si="13"/>
        <v>2643117.9091162789</v>
      </c>
      <c r="J104" s="501">
        <f t="shared" si="13"/>
        <v>86423.868259872135</v>
      </c>
      <c r="K104" s="501">
        <f t="shared" si="13"/>
        <v>638735.32999999996</v>
      </c>
      <c r="L104" s="501">
        <f t="shared" si="13"/>
        <v>2090806.4473761511</v>
      </c>
      <c r="M104" s="501">
        <f t="shared" si="13"/>
        <v>2004382.579116279</v>
      </c>
    </row>
    <row r="105" spans="1:13">
      <c r="A105" s="486"/>
      <c r="B105" s="486"/>
      <c r="G105" s="505"/>
      <c r="H105" s="505"/>
      <c r="I105" s="505"/>
      <c r="J105" s="505"/>
      <c r="K105" s="505"/>
      <c r="L105" s="505"/>
      <c r="M105" s="505"/>
    </row>
    <row r="106" spans="1:13">
      <c r="A106" s="487"/>
      <c r="B106" s="487"/>
      <c r="K106" s="496"/>
      <c r="L106" s="497"/>
    </row>
    <row r="107" spans="1:13" ht="46.5" customHeight="1">
      <c r="A107" s="492"/>
      <c r="G107" s="489" t="s">
        <v>9</v>
      </c>
      <c r="H107" s="489" t="s">
        <v>37</v>
      </c>
      <c r="I107" s="489" t="s">
        <v>915</v>
      </c>
      <c r="J107" s="489" t="s">
        <v>916</v>
      </c>
      <c r="K107" s="490" t="s">
        <v>281</v>
      </c>
      <c r="L107" s="495" t="s">
        <v>913</v>
      </c>
      <c r="M107" s="489" t="s">
        <v>914</v>
      </c>
    </row>
    <row r="108" spans="1:13">
      <c r="A108" s="483" t="s">
        <v>932</v>
      </c>
      <c r="C108" s="492" t="s">
        <v>26</v>
      </c>
      <c r="K108" s="496"/>
      <c r="L108" s="497"/>
    </row>
    <row r="109" spans="1:13">
      <c r="A109" s="498" t="s">
        <v>933</v>
      </c>
      <c r="B109" s="486"/>
      <c r="C109" s="492" t="s">
        <v>64</v>
      </c>
      <c r="G109" s="518">
        <f>G24</f>
        <v>1001966.6263239929</v>
      </c>
      <c r="H109" s="518">
        <f t="shared" ref="H109:K109" si="14">H24</f>
        <v>13403492.014800301</v>
      </c>
      <c r="I109" s="518">
        <f t="shared" si="14"/>
        <v>68948714.035572916</v>
      </c>
      <c r="J109" s="518">
        <f t="shared" si="14"/>
        <v>30292125.514348473</v>
      </c>
      <c r="K109" s="518">
        <f t="shared" si="14"/>
        <v>14161020.417723451</v>
      </c>
      <c r="L109" s="494">
        <f t="shared" ref="L109:L118" si="15">+I109+J109-K109</f>
        <v>85079819.132197946</v>
      </c>
      <c r="M109" s="494">
        <f t="shared" ref="M109:M118" si="16">+I109-K109</f>
        <v>54787693.617849469</v>
      </c>
    </row>
    <row r="110" spans="1:13">
      <c r="A110" s="498" t="s">
        <v>934</v>
      </c>
      <c r="B110" s="498"/>
      <c r="C110" s="492" t="s">
        <v>65</v>
      </c>
      <c r="G110" s="518">
        <f>G38</f>
        <v>6580257.1769428477</v>
      </c>
      <c r="H110" s="518">
        <f t="shared" ref="H110:K110" si="17">H38</f>
        <v>215604.59244663682</v>
      </c>
      <c r="I110" s="518">
        <f t="shared" si="17"/>
        <v>339416308.49409813</v>
      </c>
      <c r="J110" s="518">
        <f t="shared" si="17"/>
        <v>80405016.442416504</v>
      </c>
      <c r="K110" s="518">
        <f t="shared" si="17"/>
        <v>674493.45005675009</v>
      </c>
      <c r="L110" s="494">
        <f t="shared" si="15"/>
        <v>419146831.48645788</v>
      </c>
      <c r="M110" s="494">
        <f t="shared" si="16"/>
        <v>338741815.0440414</v>
      </c>
    </row>
    <row r="111" spans="1:13">
      <c r="A111" s="498" t="s">
        <v>935</v>
      </c>
      <c r="B111" s="498"/>
      <c r="C111" s="492" t="s">
        <v>66</v>
      </c>
      <c r="G111" s="518">
        <f>G43</f>
        <v>2523091.9455105043</v>
      </c>
      <c r="H111" s="518">
        <f t="shared" ref="H111:K111" si="18">H43</f>
        <v>842451.38685491262</v>
      </c>
      <c r="I111" s="518">
        <f t="shared" si="18"/>
        <v>458938723.211523</v>
      </c>
      <c r="J111" s="518">
        <f t="shared" si="18"/>
        <v>103433118.74625561</v>
      </c>
      <c r="K111" s="518">
        <f t="shared" si="18"/>
        <v>174945765.16943935</v>
      </c>
      <c r="L111" s="494">
        <f t="shared" si="15"/>
        <v>387426076.78833926</v>
      </c>
      <c r="M111" s="494">
        <f t="shared" si="16"/>
        <v>283992958.04208362</v>
      </c>
    </row>
    <row r="112" spans="1:13">
      <c r="A112" s="498" t="s">
        <v>936</v>
      </c>
      <c r="B112" s="498"/>
      <c r="C112" s="492" t="s">
        <v>67</v>
      </c>
      <c r="G112" s="518">
        <f>+G51</f>
        <v>125419.32353069747</v>
      </c>
      <c r="H112" s="518">
        <f t="shared" ref="H112:K112" si="19">+H51</f>
        <v>4440</v>
      </c>
      <c r="I112" s="518">
        <f t="shared" si="19"/>
        <v>13021188.841060363</v>
      </c>
      <c r="J112" s="518">
        <f t="shared" si="19"/>
        <v>3454972.6874779165</v>
      </c>
      <c r="K112" s="518">
        <f t="shared" si="19"/>
        <v>6708352.6899999995</v>
      </c>
      <c r="L112" s="494">
        <f t="shared" si="15"/>
        <v>9767808.8385382798</v>
      </c>
      <c r="M112" s="494">
        <f t="shared" ref="M112:M116" si="20">+I112-K112</f>
        <v>6312836.1510603633</v>
      </c>
    </row>
    <row r="113" spans="1:13">
      <c r="A113" s="498" t="s">
        <v>937</v>
      </c>
      <c r="B113" s="498"/>
      <c r="C113" s="492" t="s">
        <v>68</v>
      </c>
      <c r="G113" s="518">
        <f>+G60</f>
        <v>43619.256445601153</v>
      </c>
      <c r="H113" s="518">
        <f t="shared" ref="H113:K113" si="21">+H60</f>
        <v>160794.00990621652</v>
      </c>
      <c r="I113" s="518">
        <f t="shared" si="21"/>
        <v>16139604.384625534</v>
      </c>
      <c r="J113" s="518">
        <f t="shared" si="21"/>
        <v>441851.82011251268</v>
      </c>
      <c r="K113" s="518">
        <f t="shared" si="21"/>
        <v>478637</v>
      </c>
      <c r="L113" s="494">
        <f t="shared" si="15"/>
        <v>16102819.204738047</v>
      </c>
      <c r="M113" s="494">
        <f t="shared" si="16"/>
        <v>15660967.384625534</v>
      </c>
    </row>
    <row r="114" spans="1:13">
      <c r="A114" s="498" t="s">
        <v>938</v>
      </c>
      <c r="B114" s="498"/>
      <c r="C114" s="492" t="s">
        <v>69</v>
      </c>
      <c r="G114" s="518">
        <f>+G78</f>
        <v>176020.62068452488</v>
      </c>
      <c r="H114" s="518">
        <f t="shared" ref="H114:K114" si="22">+H78</f>
        <v>579756.79841001681</v>
      </c>
      <c r="I114" s="518">
        <f t="shared" si="22"/>
        <v>14767429.020222433</v>
      </c>
      <c r="J114" s="518">
        <f t="shared" si="22"/>
        <v>6184334.1070018634</v>
      </c>
      <c r="K114" s="518">
        <f t="shared" si="22"/>
        <v>4083510.42</v>
      </c>
      <c r="L114" s="494">
        <f t="shared" si="15"/>
        <v>16868252.707224295</v>
      </c>
      <c r="M114" s="494">
        <f t="shared" si="16"/>
        <v>10683918.600222433</v>
      </c>
    </row>
    <row r="115" spans="1:13">
      <c r="A115" s="498" t="s">
        <v>939</v>
      </c>
      <c r="B115" s="498"/>
      <c r="C115" s="492" t="s">
        <v>61</v>
      </c>
      <c r="G115" s="518">
        <f>+G89</f>
        <v>75772.334280860916</v>
      </c>
      <c r="H115" s="518">
        <f t="shared" ref="H115:K115" si="23">+H89</f>
        <v>1507.9324803826257</v>
      </c>
      <c r="I115" s="518">
        <f t="shared" si="23"/>
        <v>5431028.6772172246</v>
      </c>
      <c r="J115" s="518">
        <f t="shared" si="23"/>
        <v>2508087.8374008387</v>
      </c>
      <c r="K115" s="518">
        <f t="shared" si="23"/>
        <v>42261</v>
      </c>
      <c r="L115" s="494">
        <f t="shared" si="15"/>
        <v>7896855.5146180633</v>
      </c>
      <c r="M115" s="494">
        <f t="shared" si="16"/>
        <v>5388767.6772172246</v>
      </c>
    </row>
    <row r="116" spans="1:13">
      <c r="A116" s="498" t="s">
        <v>940</v>
      </c>
      <c r="B116" s="498"/>
      <c r="C116" s="492" t="s">
        <v>70</v>
      </c>
      <c r="G116" s="518">
        <f>SUM('[8]#1-Meritus'!F148,'[8]#2-UMMS'!F148,'[8]#3-Prince George''s'!F148,'[8]#4-Holy Cross'!F148,'[8]#5-Frederick Memorial'!F148,'[8]#6-Harford Memorial'!F148,'[8]#7-St. Joseph'!F148,'[8]#8-Mercy'!F148,'[8]#9-Johns Hopkins'!F148,'[8]#10-Shore Health Dorchester'!F148,'[8]#11-St. Agnes'!F148,'[8]#12-Sinai'!F148,'[8]#13-Bon Secours'!F148,'[8]#15-Franklin Square'!F148,'[8]#16-Washington Adventist'!F148,'[8]#17-Garrett County'!F148,'[8]#18-Montgomery General'!F148,'[8]#19-Pennisula General'!F148,'[8]#22-Suburban'!F148,'[8]#23-Anne Arundel Medical Center'!F148,'[8]#24-Union Memorial'!F148,'[8]#27-Western Maryland Regional'!F148,'[8]#28-St. Mary''s'!F148,'[8]#29-JH Bayview'!F148,'[8]#30-Chester River'!F148,'[8]#32-Union Cecil County'!F148,'[8]#33-Carroll Hospital '!F148,'[8]#34-Harbor Hospital'!F148,'[8]#35-Civista Medical Center'!F148,'[8]#37-Shore Health Easton'!F148,'[8]#38-UM Midtown'!F148,'[8]#39-Calvert Memorial'!F148,'[8]#40-Northwest'!F148,'[8]#43-UM Baltimore Washington'!F148,'[8]#44-GBMC'!F148,'[8]#45-McCready'!F148,'[8]#48-Howard County'!F148,'[8]#49-UCH Upper Chesapeake'!F148,'[8]#51-Doctors Community'!F148,'[8]#55-Laurel Regional'!F148,'[8]#60-Ft Washington'!F148,'[8]#61-Atlantic General'!F148,'[8]#62-Southern Maryland'!F148,'[8]#2001-UM Rehab &amp; Ortho'!F148,'[8]#2004-Good Samaritan'!F148,'[8]#5034-Mt. Washington Pediatric'!F148,'[8]#5050-Shady Grove Adventist'!F148)</f>
        <v>0</v>
      </c>
      <c r="H116" s="518">
        <f>SUM('[8]#1-Meritus'!G148,'[8]#2-UMMS'!G148,'[8]#3-Prince George''s'!G148,'[8]#4-Holy Cross'!G148,'[8]#5-Frederick Memorial'!G148,'[8]#6-Harford Memorial'!G148,'[8]#7-St. Joseph'!G148,'[8]#8-Mercy'!G148,'[8]#9-Johns Hopkins'!G148,'[8]#10-Shore Health Dorchester'!G148,'[8]#11-St. Agnes'!G148,'[8]#12-Sinai'!G148,'[8]#13-Bon Secours'!G148,'[8]#15-Franklin Square'!G148,'[8]#16-Washington Adventist'!G148,'[8]#17-Garrett County'!G148,'[8]#18-Montgomery General'!G148,'[8]#19-Pennisula General'!G148,'[8]#22-Suburban'!G148,'[8]#23-Anne Arundel Medical Center'!G148,'[8]#24-Union Memorial'!G148,'[8]#27-Western Maryland Regional'!G148,'[8]#28-St. Mary''s'!G148,'[8]#29-JH Bayview'!G148,'[8]#30-Chester River'!G148,'[8]#32-Union Cecil County'!G148,'[8]#33-Carroll Hospital '!G148,'[8]#34-Harbor Hospital'!G148,'[8]#35-Civista Medical Center'!G148,'[8]#37-Shore Health Easton'!G148,'[8]#38-UM Midtown'!G148,'[8]#39-Calvert Memorial'!G148,'[8]#40-Northwest'!G148,'[8]#43-UM Baltimore Washington'!G148,'[8]#44-GBMC'!G148,'[8]#45-McCready'!G148,'[8]#48-Howard County'!G148,'[8]#49-UCH Upper Chesapeake'!G148,'[8]#51-Doctors Community'!G148,'[8]#55-Laurel Regional'!G148,'[8]#60-Ft Washington'!G148,'[8]#61-Atlantic General'!G148,'[8]#62-Southern Maryland'!G148,'[8]#2001-UM Rehab &amp; Ortho'!G148,'[8]#2004-Good Samaritan'!G148,'[8]#5034-Mt. Washington Pediatric'!G148,'[8]#5050-Shady Grove Adventist'!G148)</f>
        <v>0</v>
      </c>
      <c r="I116" s="518">
        <f>+G93</f>
        <v>471061109.89199996</v>
      </c>
      <c r="J116" s="518">
        <f>+H93</f>
        <v>0</v>
      </c>
      <c r="K116" s="518">
        <f>SUM('[8]#1-Meritus'!J148,'[8]#2-UMMS'!J148,'[8]#3-Prince George''s'!J148,'[8]#4-Holy Cross'!J148,'[8]#5-Frederick Memorial'!J148,'[8]#6-Harford Memorial'!J148,'[8]#7-St. Joseph'!J148,'[8]#8-Mercy'!J148,'[8]#9-Johns Hopkins'!J148,'[8]#10-Shore Health Dorchester'!J148,'[8]#11-St. Agnes'!J148,'[8]#12-Sinai'!J148,'[8]#13-Bon Secours'!J148,'[8]#15-Franklin Square'!J148,'[8]#16-Washington Adventist'!J148,'[8]#17-Garrett County'!J148,'[8]#18-Montgomery General'!J148,'[8]#19-Pennisula General'!J148,'[8]#22-Suburban'!J148,'[8]#23-Anne Arundel Medical Center'!J148,'[8]#24-Union Memorial'!J148,'[8]#27-Western Maryland Regional'!J148,'[8]#28-St. Mary''s'!J148,'[8]#29-JH Bayview'!J148,'[8]#30-Chester River'!J148,'[8]#32-Union Cecil County'!J148,'[8]#33-Carroll Hospital '!J148,'[8]#34-Harbor Hospital'!J148,'[8]#35-Civista Medical Center'!J148,'[8]#37-Shore Health Easton'!J148,'[8]#38-UM Midtown'!J148,'[8]#39-Calvert Memorial'!J148,'[8]#40-Northwest'!J148,'[8]#43-UM Baltimore Washington'!J148,'[8]#44-GBMC'!J148,'[8]#45-McCready'!J148,'[8]#48-Howard County'!J148,'[8]#49-UCH Upper Chesapeake'!J148,'[8]#51-Doctors Community'!J148,'[8]#55-Laurel Regional'!J148,'[8]#60-Ft Washington'!J148,'[8]#61-Atlantic General'!J148,'[8]#62-Southern Maryland'!J148,'[8]#2001-UM Rehab &amp; Ortho'!J148,'[8]#2004-Good Samaritan'!J148,'[8]#5034-Mt. Washington Pediatric'!J148,'[8]#5050-Shady Grove Adventist'!J148)</f>
        <v>0</v>
      </c>
      <c r="L116" s="494">
        <f t="shared" si="15"/>
        <v>471061109.89199996</v>
      </c>
      <c r="M116" s="494">
        <f t="shared" si="20"/>
        <v>471061109.89199996</v>
      </c>
    </row>
    <row r="117" spans="1:13">
      <c r="A117" s="498" t="s">
        <v>941</v>
      </c>
      <c r="B117" s="498"/>
      <c r="C117" s="492" t="s">
        <v>71</v>
      </c>
      <c r="G117" s="518">
        <f>+G104</f>
        <v>40924</v>
      </c>
      <c r="H117" s="518">
        <f t="shared" ref="H117:K117" si="24">+H104</f>
        <v>13702</v>
      </c>
      <c r="I117" s="518">
        <f t="shared" si="24"/>
        <v>2643117.9091162789</v>
      </c>
      <c r="J117" s="518">
        <f t="shared" si="24"/>
        <v>86423.868259872135</v>
      </c>
      <c r="K117" s="518">
        <f t="shared" si="24"/>
        <v>638735.32999999996</v>
      </c>
      <c r="L117" s="494">
        <f t="shared" si="15"/>
        <v>2090806.4473761511</v>
      </c>
      <c r="M117" s="494">
        <f t="shared" si="16"/>
        <v>2004382.5791162788</v>
      </c>
    </row>
    <row r="118" spans="1:13">
      <c r="A118" s="498" t="s">
        <v>185</v>
      </c>
      <c r="B118" s="498"/>
      <c r="C118" s="492" t="s">
        <v>183</v>
      </c>
      <c r="G118" s="518">
        <f>+G6</f>
        <v>0</v>
      </c>
      <c r="H118" s="518">
        <f t="shared" ref="H118:K118" si="25">+H6</f>
        <v>0</v>
      </c>
      <c r="I118" s="518">
        <f t="shared" si="25"/>
        <v>373183714.40300345</v>
      </c>
      <c r="J118" s="518">
        <f t="shared" si="25"/>
        <v>1225750</v>
      </c>
      <c r="K118" s="518">
        <f t="shared" si="25"/>
        <v>315139013.07828051</v>
      </c>
      <c r="L118" s="494">
        <f t="shared" si="15"/>
        <v>59270451.324722946</v>
      </c>
      <c r="M118" s="494">
        <f t="shared" si="16"/>
        <v>58044701.324722946</v>
      </c>
    </row>
    <row r="119" spans="1:13">
      <c r="A119" s="498"/>
      <c r="B119" s="498"/>
      <c r="C119" s="492"/>
      <c r="G119" s="525"/>
      <c r="H119" s="525"/>
      <c r="I119" s="505"/>
      <c r="J119" s="505"/>
      <c r="K119" s="505"/>
      <c r="L119" s="505"/>
      <c r="M119" s="493"/>
    </row>
    <row r="120" spans="1:13">
      <c r="A120" s="498" t="s">
        <v>165</v>
      </c>
      <c r="B120" s="487"/>
      <c r="C120" s="492" t="s">
        <v>26</v>
      </c>
      <c r="G120" s="518">
        <f>SUM(G109:G118)</f>
        <v>10567071.283719031</v>
      </c>
      <c r="H120" s="518">
        <f t="shared" ref="H120:M120" si="26">SUM(H109:H118)</f>
        <v>15221748.734898465</v>
      </c>
      <c r="I120" s="518">
        <f t="shared" si="26"/>
        <v>1763550938.8684394</v>
      </c>
      <c r="J120" s="518">
        <f t="shared" si="26"/>
        <v>228031681.02327362</v>
      </c>
      <c r="K120" s="518">
        <f t="shared" si="26"/>
        <v>516871788.55550003</v>
      </c>
      <c r="L120" s="518">
        <f t="shared" si="26"/>
        <v>1474710831.3362129</v>
      </c>
      <c r="M120" s="518">
        <f t="shared" si="26"/>
        <v>1246679150.3129394</v>
      </c>
    </row>
    <row r="121" spans="1:13">
      <c r="A121" s="487"/>
      <c r="B121" s="486"/>
      <c r="C121" s="492"/>
      <c r="G121" s="509"/>
      <c r="H121" s="509"/>
      <c r="I121" s="509"/>
      <c r="J121" s="509"/>
      <c r="K121" s="525"/>
      <c r="L121" s="525"/>
      <c r="M121" s="525"/>
    </row>
    <row r="122" spans="1:13">
      <c r="A122" s="486"/>
      <c r="B122" s="486"/>
      <c r="C122" s="492" t="s">
        <v>942</v>
      </c>
      <c r="D122" s="527"/>
      <c r="E122" s="527"/>
      <c r="F122" s="527"/>
      <c r="G122" s="501">
        <f>SUM('#1-Meritus:#5050-Shady Grove Adventist'!F121)</f>
        <v>13705909453.991001</v>
      </c>
      <c r="K122" s="493"/>
      <c r="L122" s="493"/>
    </row>
    <row r="123" spans="1:13">
      <c r="A123" s="486"/>
      <c r="B123" s="486"/>
      <c r="D123" s="492"/>
      <c r="E123" s="492"/>
      <c r="F123" s="492"/>
      <c r="K123" s="493"/>
      <c r="L123" s="493"/>
    </row>
    <row r="124" spans="1:13">
      <c r="A124" s="486"/>
      <c r="B124" s="487"/>
      <c r="C124" s="492" t="s">
        <v>943</v>
      </c>
      <c r="D124" s="529"/>
      <c r="E124" s="529"/>
      <c r="F124" s="529"/>
      <c r="G124" s="530">
        <f>L120/G122</f>
        <v>0.1075967148540292</v>
      </c>
      <c r="K124" s="493"/>
      <c r="L124" s="531"/>
      <c r="M124" s="496"/>
    </row>
    <row r="125" spans="1:13">
      <c r="A125" s="487"/>
      <c r="B125" s="487"/>
      <c r="D125" s="492"/>
      <c r="E125" s="492"/>
      <c r="F125" s="492"/>
      <c r="L125" s="492"/>
      <c r="M125" s="496"/>
    </row>
    <row r="126" spans="1:13">
      <c r="A126" s="487"/>
      <c r="B126" s="487"/>
      <c r="C126" s="492" t="s">
        <v>944</v>
      </c>
      <c r="D126" s="532"/>
      <c r="E126" s="532"/>
      <c r="F126" s="532"/>
      <c r="G126" s="530">
        <f>M120/G122</f>
        <v>9.0959243127782446E-2</v>
      </c>
      <c r="L126" s="533"/>
      <c r="M126" s="496"/>
    </row>
    <row r="127" spans="1:13">
      <c r="A127" s="487"/>
      <c r="M127" s="496"/>
    </row>
  </sheetData>
  <mergeCells count="8">
    <mergeCell ref="C36:E36"/>
    <mergeCell ref="C76:E76"/>
    <mergeCell ref="B18:D18"/>
    <mergeCell ref="B19:D19"/>
    <mergeCell ref="B22:D22"/>
    <mergeCell ref="C33:E33"/>
    <mergeCell ref="C34:E34"/>
    <mergeCell ref="C35:E35"/>
  </mergeCells>
  <pageMargins left="0.7" right="0.7" top="0.75" bottom="0.75" header="0.3" footer="0.3"/>
  <pageSetup scale="57" fitToHeight="0" orientation="landscape" r:id="rId1"/>
  <headerFooter>
    <oddFooter>&amp;CAttachment III Page &amp;P</oddFooter>
  </headerFooter>
  <rowBreaks count="2" manualBreakCount="2">
    <brk id="45" max="16383" man="1"/>
    <brk id="8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3F2083-65C9-46CD-933C-B4A1DE38B701}"/>
</file>

<file path=customXml/itemProps2.xml><?xml version="1.0" encoding="utf-8"?>
<ds:datastoreItem xmlns:ds="http://schemas.openxmlformats.org/officeDocument/2006/customXml" ds:itemID="{9724181E-8B16-40AB-8EA8-A29FED745638}"/>
</file>

<file path=customXml/itemProps3.xml><?xml version="1.0" encoding="utf-8"?>
<ds:datastoreItem xmlns:ds="http://schemas.openxmlformats.org/officeDocument/2006/customXml" ds:itemID="{15152F55-B5B8-4EF5-B36A-864D211000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49</vt:i4>
      </vt:variant>
    </vt:vector>
  </HeadingPairs>
  <TitlesOfParts>
    <vt:vector size="112" baseType="lpstr">
      <vt:lpstr>DME_NSPI-all</vt:lpstr>
      <vt:lpstr>DME_NSPI-Acute</vt:lpstr>
      <vt:lpstr>NSP</vt:lpstr>
      <vt:lpstr>Final Charity Care</vt:lpstr>
      <vt:lpstr>Charts</vt:lpstr>
      <vt:lpstr>CB Table 1 </vt:lpstr>
      <vt:lpstr>Rate Support-Attachment I</vt:lpstr>
      <vt:lpstr>Attachment II All Hospitals</vt:lpstr>
      <vt:lpstr>Attachment III-Acute</vt:lpstr>
      <vt:lpstr>Attachment III-Specialty</vt:lpstr>
      <vt:lpstr>Attachment III-All</vt:lpstr>
      <vt:lpstr>#1-Meritus</vt:lpstr>
      <vt:lpstr>#2-UMMC</vt:lpstr>
      <vt:lpstr>#3-Prince Georges Hospital</vt:lpstr>
      <vt:lpstr>#4-Holy Cross Hospital</vt:lpstr>
      <vt:lpstr>#5-Frederick Memorial Hospital</vt:lpstr>
      <vt:lpstr>#6-UM Harford Memorial</vt:lpstr>
      <vt:lpstr>#8-Mercy</vt:lpstr>
      <vt:lpstr>#9-Johns Hopkins</vt:lpstr>
      <vt:lpstr>#10-UM Shore Health Dorchester</vt:lpstr>
      <vt:lpstr>#11-St. Agnes Hospital</vt:lpstr>
      <vt:lpstr>#12-Lifebridge Sinai Hospital</vt:lpstr>
      <vt:lpstr>#13-Bon Secours</vt:lpstr>
      <vt:lpstr>#15-MedStar Franklin Square</vt:lpstr>
      <vt:lpstr>#16-Washington Adventist</vt:lpstr>
      <vt:lpstr>#17-Garrett County Memorial</vt:lpstr>
      <vt:lpstr>#18-MedStar Montgomery General</vt:lpstr>
      <vt:lpstr>#19-Peninsula Regional</vt:lpstr>
      <vt:lpstr>#22-Suburban</vt:lpstr>
      <vt:lpstr>#23-Anne Arundel Medical Center</vt:lpstr>
      <vt:lpstr>#24-MedStar Union Memorial</vt:lpstr>
      <vt:lpstr>#27-Western Maryland Regional</vt:lpstr>
      <vt:lpstr>#28-MedStar St. Marys</vt:lpstr>
      <vt:lpstr>#29-Johns Hopkins Bayview</vt:lpstr>
      <vt:lpstr>#30-UM Shore Health Chester Riv</vt:lpstr>
      <vt:lpstr>#32-Union Hospital Cecil Co</vt:lpstr>
      <vt:lpstr>#33-Carroll Hospital Center</vt:lpstr>
      <vt:lpstr>#34-MedStar Harbor Hospital</vt:lpstr>
      <vt:lpstr>#35-UM Charles Regional</vt:lpstr>
      <vt:lpstr>#37-UM Shore Health Easton</vt:lpstr>
      <vt:lpstr>#38-UM Midtown</vt:lpstr>
      <vt:lpstr>#39-Calvert Memorial</vt:lpstr>
      <vt:lpstr>#40-Lifebridge Northwest</vt:lpstr>
      <vt:lpstr>#43-UM BWMC</vt:lpstr>
      <vt:lpstr>#44-GBMC</vt:lpstr>
      <vt:lpstr>#45-McCready</vt:lpstr>
      <vt:lpstr>#48-Howard County</vt:lpstr>
      <vt:lpstr>#49-UM Upper Chesapeake Medical</vt:lpstr>
      <vt:lpstr>#51-Doctors Community Hospital</vt:lpstr>
      <vt:lpstr>#55-Laurel Regional</vt:lpstr>
      <vt:lpstr>#60-Ft. Washington Medical</vt:lpstr>
      <vt:lpstr>#61-Atlantic General</vt:lpstr>
      <vt:lpstr>#62-Medstar Southern Maryland</vt:lpstr>
      <vt:lpstr>#63-UM St Joseph</vt:lpstr>
      <vt:lpstr> #2001-UM Rehab &amp; Ortho Inst.</vt:lpstr>
      <vt:lpstr>#2004-MedStar Good Samaritan</vt:lpstr>
      <vt:lpstr>#5050-Shady Grove Adventist</vt:lpstr>
      <vt:lpstr>#64-Levindale</vt:lpstr>
      <vt:lpstr>#3029-Adventist Rehab</vt:lpstr>
      <vt:lpstr>#3478-ABH-ES</vt:lpstr>
      <vt:lpstr>#4000-Sheppard Pratt</vt:lpstr>
      <vt:lpstr>#4013-ABH-Rockville</vt:lpstr>
      <vt:lpstr>#5034-Mt. Washington Pediatric</vt:lpstr>
      <vt:lpstr>' #2001-UM Rehab &amp; Ortho Inst.'!Print_Area</vt:lpstr>
      <vt:lpstr>'#11-St. Agnes Hospital'!Print_Area</vt:lpstr>
      <vt:lpstr>'#12-Lifebridge Sinai Hospital'!Print_Area</vt:lpstr>
      <vt:lpstr>'#16-Washington Adventist'!Print_Area</vt:lpstr>
      <vt:lpstr>'#17-Garrett County Memorial'!Print_Area</vt:lpstr>
      <vt:lpstr>'#1-Meritus'!Print_Area</vt:lpstr>
      <vt:lpstr>'#22-Suburban'!Print_Area</vt:lpstr>
      <vt:lpstr>'#23-Anne Arundel Medical Center'!Print_Area</vt:lpstr>
      <vt:lpstr>'#27-Western Maryland Regional'!Print_Area</vt:lpstr>
      <vt:lpstr>'#2-UMMC'!Print_Area</vt:lpstr>
      <vt:lpstr>'#3029-Adventist Rehab'!Print_Area</vt:lpstr>
      <vt:lpstr>'#32-Union Hospital Cecil Co'!Print_Area</vt:lpstr>
      <vt:lpstr>'#33-Carroll Hospital Center'!Print_Area</vt:lpstr>
      <vt:lpstr>'#3478-ABH-ES'!Print_Area</vt:lpstr>
      <vt:lpstr>'#35-UM Charles Regional'!Print_Area</vt:lpstr>
      <vt:lpstr>'#38-UM Midtown'!Print_Area</vt:lpstr>
      <vt:lpstr>'#39-Calvert Memorial'!Print_Area</vt:lpstr>
      <vt:lpstr>'#3-Prince Georges Hospital'!Print_Area</vt:lpstr>
      <vt:lpstr>'#4000-Sheppard Pratt'!Print_Area</vt:lpstr>
      <vt:lpstr>'#4013-ABH-Rockville'!Print_Area</vt:lpstr>
      <vt:lpstr>'#40-Lifebridge Northwest'!Print_Area</vt:lpstr>
      <vt:lpstr>'#43-UM BWMC'!Print_Area</vt:lpstr>
      <vt:lpstr>'#44-GBMC'!Print_Area</vt:lpstr>
      <vt:lpstr>'#45-McCready'!Print_Area</vt:lpstr>
      <vt:lpstr>'#48-Howard County'!Print_Area</vt:lpstr>
      <vt:lpstr>'#49-UM Upper Chesapeake Medical'!Print_Area</vt:lpstr>
      <vt:lpstr>'#4-Holy Cross Hospital'!Print_Area</vt:lpstr>
      <vt:lpstr>'#5050-Shady Grove Adventist'!Print_Area</vt:lpstr>
      <vt:lpstr>'#51-Doctors Community Hospital'!Print_Area</vt:lpstr>
      <vt:lpstr>'#55-Laurel Regional'!Print_Area</vt:lpstr>
      <vt:lpstr>'#5-Frederick Memorial Hospital'!Print_Area</vt:lpstr>
      <vt:lpstr>'#60-Ft. Washington Medical'!Print_Area</vt:lpstr>
      <vt:lpstr>'#61-Atlantic General'!Print_Area</vt:lpstr>
      <vt:lpstr>'#63-UM St Joseph'!Print_Area</vt:lpstr>
      <vt:lpstr>'#64-Levindale'!Print_Area</vt:lpstr>
      <vt:lpstr>'#6-UM Harford Memorial'!Print_Area</vt:lpstr>
      <vt:lpstr>'#8-Mercy'!Print_Area</vt:lpstr>
      <vt:lpstr>'Attachment II All Hospitals'!Print_Area</vt:lpstr>
      <vt:lpstr>'CB Table 1 '!Print_Area</vt:lpstr>
      <vt:lpstr>Charts!Print_Area</vt:lpstr>
      <vt:lpstr>'DME_NSPI-Acute'!Print_Area</vt:lpstr>
      <vt:lpstr>'DME_NSPI-all'!Print_Area</vt:lpstr>
      <vt:lpstr>'Rate Support-Attachment I'!Print_Area</vt:lpstr>
      <vt:lpstr>'#10-UM Shore Health Dorchester'!Print_Titles</vt:lpstr>
      <vt:lpstr>'#30-UM Shore Health Chester Riv'!Print_Titles</vt:lpstr>
      <vt:lpstr>'#37-UM Shore Health Easton'!Print_Titles</vt:lpstr>
      <vt:lpstr>'Attachment III-Acute'!Print_Titles</vt:lpstr>
      <vt:lpstr>'Attachment III-All'!Print_Titles</vt:lpstr>
      <vt:lpstr>'Attachment III-Specialty'!Print_Titles</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Preferred Customer</dc:creator>
  <cp:lastModifiedBy>Amanda Vaughan</cp:lastModifiedBy>
  <cp:lastPrinted>2015-08-31T20:31:22Z</cp:lastPrinted>
  <dcterms:created xsi:type="dcterms:W3CDTF">2003-01-20T15:08:29Z</dcterms:created>
  <dcterms:modified xsi:type="dcterms:W3CDTF">2015-09-09T20:23:20Z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