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6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sheets/sheet55.xml" ContentType="application/vnd.openxmlformats-officedocument.spreadsheetml.worksheet+xml"/>
  <Override PartName="/xl/worksheets/sheet1.xml" ContentType="application/vnd.openxmlformats-officedocument.spreadsheetml.worksheet+xml"/>
  <Override PartName="/xl/worksheets/sheet53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54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2.xml" ContentType="application/vnd.openxmlformats-officedocument.spreadsheetml.worksheet+xml"/>
  <Override PartName="/xl/worksheets/sheet39.xml" ContentType="application/vnd.openxmlformats-officedocument.spreadsheetml.worksheet+xml"/>
  <Override PartName="/xl/worksheets/sheet43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51.xml" ContentType="application/vnd.openxmlformats-officedocument.spreadsheetml.worksheet+xml"/>
  <Override PartName="/xl/worksheets/sheet48.xml" ContentType="application/vnd.openxmlformats-officedocument.spreadsheetml.worksheet+xml"/>
  <Override PartName="/xl/worksheets/sheet44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2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harts/style3.xml" ContentType="application/vnd.ms-office.chartstyle+xml"/>
  <Override PartName="/xl/charts/colors3.xml" ContentType="application/vnd.ms-office.chartcolorstyle+xml"/>
  <Override PartName="/xl/charts/style1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style2.xml" ContentType="application/vnd.ms-office.chartstyle+xml"/>
  <Override PartName="/xl/charts/colors2.xml" ContentType="application/vnd.ms-office.chartcolorstyle+xml"/>
  <Override PartName="/xl/charts/colors1.xml" ContentType="application/vnd.ms-office.chartcolorsty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Password="8361" lockStructure="1"/>
  <bookViews>
    <workbookView xWindow="0" yWindow="0" windowWidth="24000" windowHeight="11025" tabRatio="952" firstSheet="7" activeTab="7"/>
  </bookViews>
  <sheets>
    <sheet name="Rate Support" sheetId="4" state="hidden" r:id="rId1"/>
    <sheet name="DME_NSPI" sheetId="2" state="hidden" r:id="rId2"/>
    <sheet name="Charity Care" sheetId="5" state="hidden" r:id="rId3"/>
    <sheet name="narrative score break down" sheetId="61" state="hidden" r:id="rId4"/>
    <sheet name="CB Table 1" sheetId="56" state="hidden" r:id="rId5"/>
    <sheet name="Charts" sheetId="62" state="hidden" r:id="rId6"/>
    <sheet name="narrative scores" sheetId="60" state="hidden" r:id="rId7"/>
    <sheet name="fy2013cb analysis" sheetId="58" r:id="rId8"/>
    <sheet name="Table I" sheetId="57" r:id="rId9"/>
    <sheet name="#1-Meritus" sheetId="8" r:id="rId10"/>
    <sheet name="#2-UMMS" sheetId="11" r:id="rId11"/>
    <sheet name="#3-Prince George's" sheetId="12" r:id="rId12"/>
    <sheet name="#4-Holy Cross" sheetId="48" r:id="rId13"/>
    <sheet name="#5-Frederick Memorial" sheetId="15" r:id="rId14"/>
    <sheet name="#6-Harford Memorial" sheetId="16" r:id="rId15"/>
    <sheet name="#7-St. Joseph" sheetId="44" r:id="rId16"/>
    <sheet name="#8-Mercy" sheetId="49" r:id="rId17"/>
    <sheet name="#9-Johns Hopkins" sheetId="18" r:id="rId18"/>
    <sheet name="#10-Shore Health Dorchester" sheetId="19" r:id="rId19"/>
    <sheet name="#11-St. Agnes" sheetId="9" r:id="rId20"/>
    <sheet name="#12-Sinai" sheetId="47" r:id="rId21"/>
    <sheet name="#13-Bon Secours" sheetId="20" r:id="rId22"/>
    <sheet name="#15-Franklin Square" sheetId="7" r:id="rId23"/>
    <sheet name="#16-Washington Adventist" sheetId="50" r:id="rId24"/>
    <sheet name="#17-Garrett County" sheetId="21" r:id="rId25"/>
    <sheet name="#18-Montgomery General" sheetId="13" r:id="rId26"/>
    <sheet name="#19-Pennisula General" sheetId="22" r:id="rId27"/>
    <sheet name="#22-Suburban" sheetId="23" r:id="rId28"/>
    <sheet name="#23-Anne Arundel Medical Center" sheetId="24" r:id="rId29"/>
    <sheet name="#24-Union Memorial" sheetId="25" r:id="rId30"/>
    <sheet name="#27-Western Maryland Regional" sheetId="26" r:id="rId31"/>
    <sheet name="#28-St. Mary's" sheetId="27" r:id="rId32"/>
    <sheet name="#29-JH Bayview" sheetId="28" r:id="rId33"/>
    <sheet name="#30-Chester River" sheetId="29" r:id="rId34"/>
    <sheet name="#32-Union Cecil County" sheetId="30" r:id="rId35"/>
    <sheet name="#33-Carroll Hospital " sheetId="31" r:id="rId36"/>
    <sheet name="#34-Harbor Hospital" sheetId="32" r:id="rId37"/>
    <sheet name="#35-Civista Medical Center" sheetId="33" r:id="rId38"/>
    <sheet name="#37-Shore Health Easton" sheetId="34" r:id="rId39"/>
    <sheet name="#38-UM Midtown" sheetId="35" r:id="rId40"/>
    <sheet name="#39-Calvert Memorial" sheetId="51" r:id="rId41"/>
    <sheet name="#40-Northwest" sheetId="52" r:id="rId42"/>
    <sheet name="#43-UM Baltimore Washington" sheetId="36" r:id="rId43"/>
    <sheet name="#44-GBMC" sheetId="37" r:id="rId44"/>
    <sheet name="#45-McCready" sheetId="59" r:id="rId45"/>
    <sheet name="#48-Howard County" sheetId="38" r:id="rId46"/>
    <sheet name="#49-UCH Upper Chesapeake" sheetId="39" r:id="rId47"/>
    <sheet name="#51-Doctors Community" sheetId="40" r:id="rId48"/>
    <sheet name="#55-Laurel Regional" sheetId="41" r:id="rId49"/>
    <sheet name="#60-Ft Washington" sheetId="42" r:id="rId50"/>
    <sheet name="#61-Atlantic General" sheetId="53" r:id="rId51"/>
    <sheet name="#62-Southern Maryland" sheetId="43" r:id="rId52"/>
    <sheet name="#2001-UM Rehab &amp; Ortho" sheetId="54" r:id="rId53"/>
    <sheet name="#2004-Good Samaritan" sheetId="45" r:id="rId54"/>
    <sheet name="#5034-Mt. Washington Pediatric" sheetId="14" r:id="rId55"/>
    <sheet name="#5050-Shady Grove Adventist" sheetId="55" r:id="rId56"/>
  </sheets>
  <externalReferences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</externalReferences>
  <definedNames>
    <definedName name="_xlnm._FilterDatabase" localSheetId="5" hidden="1">Charts!$A$1:$C$1</definedName>
    <definedName name="_xlnm._FilterDatabase" localSheetId="7" hidden="1">'fy2013cb analysis'!$A$1:$M$1</definedName>
    <definedName name="_xlnm._FilterDatabase" localSheetId="3" hidden="1">'narrative score break down'!$A$1:$AE$96</definedName>
    <definedName name="acct">#REF!</definedName>
    <definedName name="acct1">#REF!</definedName>
    <definedName name="bal_umc">'[1]p8 CONS BS'!#REF!</definedName>
    <definedName name="BALANCE_UMMC">'[1]p8 CONS BS'!#REF!</definedName>
    <definedName name="CASH_UMMC">'[1]p10 CF'!#REF!</definedName>
    <definedName name="CFA_I">#REF!</definedName>
    <definedName name="consol">#REF!</definedName>
    <definedName name="csh_ummc">'[1]p10 CF'!#REF!</definedName>
    <definedName name="DataRange">#REF!</definedName>
    <definedName name="dept">#REF!</definedName>
    <definedName name="Factors_I">#REF!</definedName>
    <definedName name="flex">#REF!</definedName>
    <definedName name="FUND_CONS">#REF!</definedName>
    <definedName name="HeaderRange">#REF!</definedName>
    <definedName name="inac1">[2]UMH!$A$976:$W$1022</definedName>
    <definedName name="inac4">[2]CC!$A$136:$W$140</definedName>
    <definedName name="inac7">[2]STC!$A$208:$W$212</definedName>
    <definedName name="ker">#REF!</definedName>
    <definedName name="kernan">#REF!</definedName>
    <definedName name="mrh">#REF!</definedName>
    <definedName name="pan">'[1]p7 CONS IS'!#REF!</definedName>
    <definedName name="PANDL">'[1]p7 CONS IS'!#REF!</definedName>
    <definedName name="PLROWS">#REF!</definedName>
    <definedName name="_xlnm.Print_Area" localSheetId="2">'Charity Care'!$A$1:$B$50</definedName>
    <definedName name="_xlnm.Print_Area" localSheetId="7">'fy2013cb analysis'!$A$1:$N$52</definedName>
    <definedName name="_xlnm.Print_Area" localSheetId="3">'narrative score break down'!$A$1:$AE$97</definedName>
    <definedName name="_xlnm.Print_Area" localSheetId="0">'Rate Support'!$B$1:$H$53</definedName>
    <definedName name="_xlnm.Print_Area">'[1]p7 CONS IS'!#REF!</definedName>
    <definedName name="_xlnm.Print_Titles" localSheetId="8">'Table I'!$1:$1</definedName>
    <definedName name="Psych?">'[3]Gen Info'!$B$17</definedName>
    <definedName name="RNAdj">[4]RR!#REF!</definedName>
    <definedName name="RoutineSpread">[4]RR!#REF!</definedName>
    <definedName name="RR_2">#REF!</definedName>
    <definedName name="RRAdjustor">#REF!</definedName>
    <definedName name="SortRange">#REF!</definedName>
    <definedName name="Titles">#REF!</definedName>
    <definedName name="TopSection">#REF!</definedName>
    <definedName name="ttl.salaries">#REF!</definedName>
    <definedName name="UMMC_DEAT">'[1]p8 CONS BS'!#REF!</definedName>
    <definedName name="UR_Rev_I">#REF!</definedName>
    <definedName name="URS_Schedule">#REF!</definedName>
  </definedNames>
  <calcPr calcId="145621"/>
</workbook>
</file>

<file path=xl/calcChain.xml><?xml version="1.0" encoding="utf-8"?>
<calcChain xmlns="http://schemas.openxmlformats.org/spreadsheetml/2006/main">
  <c r="AA79" i="61" l="1"/>
  <c r="I94" i="61"/>
  <c r="F94" i="61"/>
  <c r="F95" i="61"/>
  <c r="I30" i="61"/>
  <c r="J37" i="58" l="1"/>
  <c r="J52" i="58"/>
  <c r="H36" i="57" l="1"/>
  <c r="F86" i="57"/>
  <c r="K42" i="58"/>
  <c r="D112" i="62"/>
  <c r="E112" i="62" s="1"/>
  <c r="D113" i="62"/>
  <c r="E113" i="62"/>
  <c r="D114" i="62"/>
  <c r="E114" i="62" s="1"/>
  <c r="D123" i="62"/>
  <c r="L159" i="50"/>
  <c r="M159" i="50" s="1"/>
  <c r="L158" i="50"/>
  <c r="M158" i="50" s="1"/>
  <c r="L157" i="50"/>
  <c r="M157" i="50" s="1"/>
  <c r="L156" i="50"/>
  <c r="M156" i="50" s="1"/>
  <c r="L155" i="50"/>
  <c r="M155" i="50" s="1"/>
  <c r="L154" i="50"/>
  <c r="M154" i="50" s="1"/>
  <c r="L153" i="50"/>
  <c r="M153" i="50" s="1"/>
  <c r="L152" i="50"/>
  <c r="M152" i="50" s="1"/>
  <c r="L151" i="50"/>
  <c r="M151" i="50" s="1"/>
  <c r="L150" i="50"/>
  <c r="M150" i="50" s="1"/>
  <c r="L149" i="50"/>
  <c r="M149" i="50" s="1"/>
  <c r="L148" i="50"/>
  <c r="M148" i="50" s="1"/>
  <c r="L147" i="50"/>
  <c r="M147" i="50" s="1"/>
  <c r="L146" i="50"/>
  <c r="M146" i="50" s="1"/>
  <c r="L145" i="50"/>
  <c r="M145" i="50" s="1"/>
  <c r="L144" i="50"/>
  <c r="M144" i="50" s="1"/>
  <c r="L143" i="50"/>
  <c r="M143" i="50" s="1"/>
  <c r="L142" i="50"/>
  <c r="M142" i="50" s="1"/>
  <c r="L141" i="50"/>
  <c r="M141" i="50" s="1"/>
  <c r="L140" i="50"/>
  <c r="M140" i="50" s="1"/>
  <c r="L139" i="50"/>
  <c r="M139" i="50" s="1"/>
  <c r="L138" i="50"/>
  <c r="M138" i="50" s="1"/>
  <c r="L137" i="50"/>
  <c r="M137" i="50" s="1"/>
  <c r="L136" i="50"/>
  <c r="M136" i="50" s="1"/>
  <c r="L135" i="50"/>
  <c r="M135" i="50" s="1"/>
  <c r="L134" i="50"/>
  <c r="M134" i="50" s="1"/>
  <c r="L133" i="50"/>
  <c r="M133" i="50" s="1"/>
  <c r="L132" i="50"/>
  <c r="M132" i="50" s="1"/>
  <c r="L131" i="50"/>
  <c r="M131" i="50" s="1"/>
  <c r="L130" i="50"/>
  <c r="M130" i="50" s="1"/>
  <c r="L129" i="50"/>
  <c r="M129" i="50" s="1"/>
  <c r="L128" i="50"/>
  <c r="M128" i="50" s="1"/>
  <c r="L127" i="50"/>
  <c r="M127" i="50" s="1"/>
  <c r="L126" i="50"/>
  <c r="M126" i="50" s="1"/>
  <c r="L125" i="50"/>
  <c r="M125" i="50" s="1"/>
  <c r="L124" i="50"/>
  <c r="M124" i="50" s="1"/>
  <c r="L123" i="50"/>
  <c r="M123" i="50" s="1"/>
  <c r="L122" i="50"/>
  <c r="M122" i="50" s="1"/>
  <c r="L121" i="50"/>
  <c r="M121" i="50" s="1"/>
  <c r="L120" i="50"/>
  <c r="M120" i="50" s="1"/>
  <c r="L119" i="50"/>
  <c r="M119" i="50" s="1"/>
  <c r="L118" i="50"/>
  <c r="M118" i="50" s="1"/>
  <c r="L117" i="50"/>
  <c r="M117" i="50" s="1"/>
  <c r="L116" i="50"/>
  <c r="M116" i="50" s="1"/>
  <c r="L115" i="50"/>
  <c r="M115" i="50" s="1"/>
  <c r="L114" i="50"/>
  <c r="M114" i="50" s="1"/>
  <c r="L113" i="50"/>
  <c r="M113" i="50" s="1"/>
  <c r="L112" i="50"/>
  <c r="M112" i="50" s="1"/>
  <c r="L111" i="50"/>
  <c r="M111" i="50" s="1"/>
  <c r="L110" i="50"/>
  <c r="M110" i="50" s="1"/>
  <c r="L109" i="50"/>
  <c r="M109" i="50" s="1"/>
  <c r="L108" i="50"/>
  <c r="M108" i="50" s="1"/>
  <c r="L107" i="50"/>
  <c r="M107" i="50" s="1"/>
  <c r="L106" i="50"/>
  <c r="M106" i="50" s="1"/>
  <c r="L105" i="50"/>
  <c r="M105" i="50" s="1"/>
  <c r="L104" i="50"/>
  <c r="M104" i="50" s="1"/>
  <c r="L103" i="50"/>
  <c r="M103" i="50" s="1"/>
  <c r="L102" i="50"/>
  <c r="M102" i="50" s="1"/>
  <c r="L101" i="50"/>
  <c r="M101" i="50" s="1"/>
  <c r="L100" i="50"/>
  <c r="M100" i="50" s="1"/>
  <c r="L99" i="50"/>
  <c r="M99" i="50" s="1"/>
  <c r="L98" i="50"/>
  <c r="M98" i="50" s="1"/>
  <c r="L97" i="50"/>
  <c r="M97" i="50" s="1"/>
  <c r="L96" i="50"/>
  <c r="M96" i="50" s="1"/>
  <c r="L95" i="50"/>
  <c r="M95" i="50" s="1"/>
  <c r="L94" i="50"/>
  <c r="M94" i="50" s="1"/>
  <c r="L93" i="50"/>
  <c r="M93" i="50" s="1"/>
  <c r="L92" i="50"/>
  <c r="M92" i="50" s="1"/>
  <c r="L91" i="50"/>
  <c r="M91" i="50" s="1"/>
  <c r="L90" i="50"/>
  <c r="M90" i="50" s="1"/>
  <c r="L89" i="50"/>
  <c r="M89" i="50" s="1"/>
  <c r="L88" i="50"/>
  <c r="M88" i="50" s="1"/>
  <c r="L87" i="50"/>
  <c r="M87" i="50" s="1"/>
  <c r="L86" i="50"/>
  <c r="M86" i="50" s="1"/>
  <c r="M85" i="50"/>
  <c r="L85" i="50"/>
  <c r="L84" i="50"/>
  <c r="M84" i="50" s="1"/>
  <c r="M83" i="50"/>
  <c r="L83" i="50"/>
  <c r="L82" i="50"/>
  <c r="M82" i="50" s="1"/>
  <c r="M81" i="50"/>
  <c r="L81" i="50"/>
  <c r="L80" i="50"/>
  <c r="M80" i="50" s="1"/>
  <c r="M79" i="50"/>
  <c r="L79" i="50"/>
  <c r="L78" i="50"/>
  <c r="M78" i="50" s="1"/>
  <c r="M77" i="50"/>
  <c r="L77" i="50"/>
  <c r="L76" i="50"/>
  <c r="M76" i="50" s="1"/>
  <c r="M72" i="50"/>
  <c r="L72" i="50"/>
  <c r="L71" i="50"/>
  <c r="M71" i="50" s="1"/>
  <c r="M70" i="50"/>
  <c r="L70" i="50"/>
  <c r="L69" i="50"/>
  <c r="M69" i="50" s="1"/>
  <c r="M68" i="50"/>
  <c r="L68" i="50"/>
  <c r="L67" i="50"/>
  <c r="M67" i="50" s="1"/>
  <c r="M66" i="50"/>
  <c r="L66" i="50"/>
  <c r="L65" i="50"/>
  <c r="M65" i="50" s="1"/>
  <c r="M64" i="50"/>
  <c r="L64" i="50"/>
  <c r="L63" i="50"/>
  <c r="M63" i="50" s="1"/>
  <c r="M62" i="50"/>
  <c r="L62" i="50"/>
  <c r="L61" i="50"/>
  <c r="M61" i="50" s="1"/>
  <c r="M60" i="50"/>
  <c r="L60" i="50"/>
  <c r="L59" i="50"/>
  <c r="M59" i="50" s="1"/>
  <c r="M58" i="50"/>
  <c r="L58" i="50"/>
  <c r="L57" i="50"/>
  <c r="M57" i="50" s="1"/>
  <c r="M56" i="50"/>
  <c r="L56" i="50"/>
  <c r="L55" i="50"/>
  <c r="M55" i="50" s="1"/>
  <c r="M54" i="50"/>
  <c r="L54" i="50"/>
  <c r="L53" i="50"/>
  <c r="M53" i="50" s="1"/>
  <c r="M52" i="50"/>
  <c r="L52" i="50"/>
  <c r="L51" i="50"/>
  <c r="M51" i="50" s="1"/>
  <c r="M50" i="50"/>
  <c r="L50" i="50"/>
  <c r="L49" i="50"/>
  <c r="M49" i="50" s="1"/>
  <c r="M48" i="50"/>
  <c r="L48" i="50"/>
  <c r="L47" i="50"/>
  <c r="M47" i="50" s="1"/>
  <c r="M46" i="50"/>
  <c r="L46" i="50"/>
  <c r="L45" i="50"/>
  <c r="M45" i="50" s="1"/>
  <c r="M44" i="50"/>
  <c r="L44" i="50"/>
  <c r="L43" i="50"/>
  <c r="M43" i="50" s="1"/>
  <c r="M42" i="50"/>
  <c r="L42" i="50"/>
  <c r="L41" i="50"/>
  <c r="M41" i="50" s="1"/>
  <c r="M40" i="50"/>
  <c r="L40" i="50"/>
  <c r="L39" i="50"/>
  <c r="M39" i="50" s="1"/>
  <c r="M38" i="50"/>
  <c r="L38" i="50"/>
  <c r="L37" i="50"/>
  <c r="M37" i="50" s="1"/>
  <c r="M36" i="50"/>
  <c r="L36" i="50"/>
  <c r="L35" i="50"/>
  <c r="M35" i="50" s="1"/>
  <c r="M34" i="50"/>
  <c r="L34" i="50"/>
  <c r="L33" i="50"/>
  <c r="M33" i="50" s="1"/>
  <c r="M32" i="50"/>
  <c r="L32" i="50"/>
  <c r="L31" i="50"/>
  <c r="M31" i="50" s="1"/>
  <c r="M30" i="50"/>
  <c r="L30" i="50"/>
  <c r="L29" i="50"/>
  <c r="M29" i="50" s="1"/>
  <c r="M28" i="50"/>
  <c r="L28" i="50"/>
  <c r="L27" i="50"/>
  <c r="M27" i="50" s="1"/>
  <c r="M26" i="50"/>
  <c r="L26" i="50"/>
  <c r="L25" i="50"/>
  <c r="M25" i="50" s="1"/>
  <c r="M24" i="50"/>
  <c r="L24" i="50"/>
  <c r="L23" i="50"/>
  <c r="M23" i="50" s="1"/>
  <c r="M22" i="50"/>
  <c r="L22" i="50"/>
  <c r="L21" i="50"/>
  <c r="M21" i="50" s="1"/>
  <c r="N98" i="55"/>
  <c r="M137" i="55"/>
  <c r="L137" i="55"/>
  <c r="L136" i="55"/>
  <c r="M136" i="55" s="1"/>
  <c r="M135" i="55"/>
  <c r="L135" i="55"/>
  <c r="L134" i="55"/>
  <c r="M134" i="55" s="1"/>
  <c r="M133" i="55"/>
  <c r="L133" i="55"/>
  <c r="L132" i="55"/>
  <c r="M132" i="55" s="1"/>
  <c r="M131" i="55"/>
  <c r="L131" i="55"/>
  <c r="L130" i="55"/>
  <c r="M130" i="55" s="1"/>
  <c r="M129" i="55"/>
  <c r="L129" i="55"/>
  <c r="L128" i="55"/>
  <c r="M128" i="55" s="1"/>
  <c r="M127" i="55"/>
  <c r="L127" i="55"/>
  <c r="L126" i="55"/>
  <c r="M126" i="55" s="1"/>
  <c r="M125" i="55"/>
  <c r="L125" i="55"/>
  <c r="L124" i="55"/>
  <c r="M124" i="55" s="1"/>
  <c r="M123" i="55"/>
  <c r="L123" i="55"/>
  <c r="L122" i="55"/>
  <c r="M122" i="55" s="1"/>
  <c r="M121" i="55"/>
  <c r="L121" i="55"/>
  <c r="L120" i="55"/>
  <c r="M120" i="55" s="1"/>
  <c r="M119" i="55"/>
  <c r="L119" i="55"/>
  <c r="L118" i="55"/>
  <c r="M118" i="55" s="1"/>
  <c r="M117" i="55"/>
  <c r="L117" i="55"/>
  <c r="L116" i="55"/>
  <c r="M116" i="55" s="1"/>
  <c r="M115" i="55"/>
  <c r="L115" i="55"/>
  <c r="L114" i="55"/>
  <c r="M114" i="55" s="1"/>
  <c r="M113" i="55"/>
  <c r="L113" i="55"/>
  <c r="L112" i="55"/>
  <c r="M112" i="55" s="1"/>
  <c r="M111" i="55"/>
  <c r="L111" i="55"/>
  <c r="L110" i="55"/>
  <c r="M110" i="55" s="1"/>
  <c r="M109" i="55"/>
  <c r="L109" i="55"/>
  <c r="L108" i="55"/>
  <c r="M108" i="55" s="1"/>
  <c r="M107" i="55"/>
  <c r="L107" i="55"/>
  <c r="L106" i="55"/>
  <c r="M106" i="55" s="1"/>
  <c r="M105" i="55"/>
  <c r="L105" i="55"/>
  <c r="L104" i="55"/>
  <c r="M104" i="55" s="1"/>
  <c r="M103" i="55"/>
  <c r="L103" i="55"/>
  <c r="L102" i="55"/>
  <c r="M102" i="55" s="1"/>
  <c r="M101" i="55"/>
  <c r="L101" i="55"/>
  <c r="L100" i="55"/>
  <c r="M100" i="55" s="1"/>
  <c r="M99" i="55"/>
  <c r="L99" i="55"/>
  <c r="L98" i="55"/>
  <c r="M98" i="55" s="1"/>
  <c r="M97" i="55"/>
  <c r="L97" i="55"/>
  <c r="L96" i="55"/>
  <c r="M96" i="55" s="1"/>
  <c r="M95" i="55"/>
  <c r="L95" i="55"/>
  <c r="L94" i="55"/>
  <c r="M94" i="55" s="1"/>
  <c r="M93" i="55"/>
  <c r="L93" i="55"/>
  <c r="L92" i="55"/>
  <c r="M92" i="55" s="1"/>
  <c r="M91" i="55"/>
  <c r="L91" i="55"/>
  <c r="L90" i="55"/>
  <c r="M90" i="55" s="1"/>
  <c r="M89" i="55"/>
  <c r="L89" i="55"/>
  <c r="L88" i="55"/>
  <c r="M88" i="55" s="1"/>
  <c r="M87" i="55"/>
  <c r="L87" i="55"/>
  <c r="L86" i="55"/>
  <c r="M86" i="55" s="1"/>
  <c r="M85" i="55"/>
  <c r="L85" i="55"/>
  <c r="L84" i="55"/>
  <c r="M84" i="55" s="1"/>
  <c r="M83" i="55"/>
  <c r="L83" i="55"/>
  <c r="L82" i="55"/>
  <c r="M82" i="55" s="1"/>
  <c r="M81" i="55"/>
  <c r="L81" i="55"/>
  <c r="L80" i="55"/>
  <c r="M80" i="55" s="1"/>
  <c r="M79" i="55"/>
  <c r="L79" i="55"/>
  <c r="L78" i="55"/>
  <c r="M78" i="55" s="1"/>
  <c r="M77" i="55"/>
  <c r="L77" i="55"/>
  <c r="L76" i="55"/>
  <c r="M76" i="55" s="1"/>
  <c r="M75" i="55"/>
  <c r="L75" i="55"/>
  <c r="L74" i="55"/>
  <c r="M74" i="55" s="1"/>
  <c r="M73" i="55"/>
  <c r="L73" i="55"/>
  <c r="L72" i="55"/>
  <c r="M72" i="55" s="1"/>
  <c r="M71" i="55"/>
  <c r="L71" i="55"/>
  <c r="L70" i="55"/>
  <c r="M70" i="55" s="1"/>
  <c r="M69" i="55"/>
  <c r="L69" i="55"/>
  <c r="L68" i="55"/>
  <c r="M68" i="55" s="1"/>
  <c r="M67" i="55"/>
  <c r="L67" i="55"/>
  <c r="L66" i="55"/>
  <c r="M66" i="55" s="1"/>
  <c r="M65" i="55"/>
  <c r="L65" i="55"/>
  <c r="L64" i="55"/>
  <c r="M64" i="55" s="1"/>
  <c r="M63" i="55"/>
  <c r="L63" i="55"/>
  <c r="L62" i="55"/>
  <c r="M62" i="55" s="1"/>
  <c r="M61" i="55"/>
  <c r="L61" i="55"/>
  <c r="L60" i="55"/>
  <c r="M60" i="55" s="1"/>
  <c r="M59" i="55"/>
  <c r="L59" i="55"/>
  <c r="L58" i="55"/>
  <c r="M58" i="55" s="1"/>
  <c r="M57" i="55"/>
  <c r="L57" i="55"/>
  <c r="L56" i="55"/>
  <c r="M56" i="55" s="1"/>
  <c r="M55" i="55"/>
  <c r="L55" i="55"/>
  <c r="L54" i="55"/>
  <c r="M54" i="55" s="1"/>
  <c r="M53" i="55"/>
  <c r="L53" i="55"/>
  <c r="L52" i="55"/>
  <c r="M52" i="55" s="1"/>
  <c r="M51" i="55"/>
  <c r="L51" i="55"/>
  <c r="L50" i="55"/>
  <c r="M50" i="55" s="1"/>
  <c r="M49" i="55"/>
  <c r="L49" i="55"/>
  <c r="L48" i="55"/>
  <c r="M48" i="55" s="1"/>
  <c r="M47" i="55"/>
  <c r="L47" i="55"/>
  <c r="L46" i="55"/>
  <c r="M46" i="55" s="1"/>
  <c r="M45" i="55"/>
  <c r="L45" i="55"/>
  <c r="L44" i="55"/>
  <c r="M44" i="55" s="1"/>
  <c r="M43" i="55"/>
  <c r="L43" i="55"/>
  <c r="L42" i="55"/>
  <c r="M42" i="55" s="1"/>
  <c r="M41" i="55"/>
  <c r="L41" i="55"/>
  <c r="L40" i="55"/>
  <c r="M40" i="55" s="1"/>
  <c r="M39" i="55"/>
  <c r="L39" i="55"/>
  <c r="L38" i="55"/>
  <c r="M38" i="55" s="1"/>
  <c r="M37" i="55"/>
  <c r="L37" i="55"/>
  <c r="L36" i="55"/>
  <c r="M36" i="55" s="1"/>
  <c r="M35" i="55"/>
  <c r="L35" i="55"/>
  <c r="L34" i="55"/>
  <c r="M34" i="55" s="1"/>
  <c r="M33" i="55"/>
  <c r="L33" i="55"/>
  <c r="L32" i="55"/>
  <c r="M32" i="55" s="1"/>
  <c r="M31" i="55"/>
  <c r="L31" i="55"/>
  <c r="L30" i="55"/>
  <c r="M30" i="55" s="1"/>
  <c r="M29" i="55"/>
  <c r="L29" i="55"/>
  <c r="L28" i="55"/>
  <c r="M28" i="55" s="1"/>
  <c r="M27" i="55"/>
  <c r="L27" i="55"/>
  <c r="L26" i="55"/>
  <c r="M26" i="55" s="1"/>
  <c r="M25" i="55"/>
  <c r="L25" i="55"/>
  <c r="L24" i="55"/>
  <c r="M24" i="55" s="1"/>
  <c r="M23" i="55"/>
  <c r="L23" i="55"/>
  <c r="L22" i="55"/>
  <c r="M22" i="55" s="1"/>
  <c r="M21" i="55"/>
  <c r="L21" i="55"/>
  <c r="L20" i="55"/>
  <c r="M20" i="55" s="1"/>
  <c r="M19" i="55"/>
  <c r="L19" i="55"/>
  <c r="L18" i="55"/>
  <c r="M18" i="55" s="1"/>
  <c r="M150" i="55"/>
  <c r="M149" i="55"/>
  <c r="M148" i="55"/>
  <c r="M147" i="55"/>
  <c r="M146" i="55"/>
  <c r="M145" i="55"/>
  <c r="M144" i="55"/>
  <c r="M143" i="55"/>
  <c r="M142" i="55"/>
  <c r="M141" i="55"/>
  <c r="L150" i="55"/>
  <c r="L149" i="55"/>
  <c r="L148" i="55"/>
  <c r="L147" i="55"/>
  <c r="L146" i="55"/>
  <c r="L145" i="55"/>
  <c r="L144" i="55"/>
  <c r="L143" i="55"/>
  <c r="L142" i="55"/>
  <c r="L141" i="55"/>
  <c r="K148" i="55"/>
  <c r="D115" i="62" l="1"/>
  <c r="D125" i="62" s="1"/>
  <c r="E115" i="62"/>
  <c r="E125" i="62" s="1"/>
  <c r="K150" i="55"/>
  <c r="K149" i="55"/>
  <c r="K147" i="55"/>
  <c r="K146" i="55"/>
  <c r="K145" i="55"/>
  <c r="K144" i="55"/>
  <c r="K143" i="55"/>
  <c r="K142" i="55"/>
  <c r="K141" i="55"/>
  <c r="J150" i="55"/>
  <c r="J152" i="55" s="1"/>
  <c r="H150" i="55"/>
  <c r="J147" i="55"/>
  <c r="I147" i="55"/>
  <c r="H147" i="55"/>
  <c r="G147" i="55"/>
  <c r="J146" i="55"/>
  <c r="I146" i="55"/>
  <c r="H146" i="55"/>
  <c r="G146" i="55"/>
  <c r="J145" i="55"/>
  <c r="I145" i="55"/>
  <c r="H145" i="55"/>
  <c r="G145" i="55"/>
  <c r="J144" i="55"/>
  <c r="I144" i="55"/>
  <c r="H144" i="55"/>
  <c r="G144" i="55"/>
  <c r="J143" i="55"/>
  <c r="I143" i="55"/>
  <c r="H143" i="55"/>
  <c r="G143" i="55"/>
  <c r="J142" i="55"/>
  <c r="I142" i="55"/>
  <c r="H142" i="55"/>
  <c r="G142" i="55"/>
  <c r="J141" i="55"/>
  <c r="I141" i="55"/>
  <c r="H141" i="55"/>
  <c r="G141" i="55"/>
  <c r="G152" i="55" s="1"/>
  <c r="F149" i="55"/>
  <c r="F147" i="55"/>
  <c r="F146" i="55"/>
  <c r="F145" i="55"/>
  <c r="F144" i="55"/>
  <c r="F143" i="55"/>
  <c r="F142" i="55"/>
  <c r="F141" i="55"/>
  <c r="I152" i="55"/>
  <c r="H152" i="55"/>
  <c r="J108" i="55"/>
  <c r="I108" i="55"/>
  <c r="H108" i="55"/>
  <c r="G108" i="55"/>
  <c r="F108" i="55"/>
  <c r="K108" i="55"/>
  <c r="J98" i="55"/>
  <c r="I98" i="55"/>
  <c r="H98" i="55"/>
  <c r="G98" i="55"/>
  <c r="F98" i="55"/>
  <c r="K98" i="55"/>
  <c r="K96" i="55"/>
  <c r="K95" i="55"/>
  <c r="K94" i="55"/>
  <c r="K93" i="55"/>
  <c r="K92" i="55"/>
  <c r="K91" i="55"/>
  <c r="K90" i="55"/>
  <c r="K89" i="55"/>
  <c r="K88" i="55"/>
  <c r="K87" i="55"/>
  <c r="K86" i="55"/>
  <c r="J74" i="55"/>
  <c r="I74" i="55"/>
  <c r="H74" i="55"/>
  <c r="G74" i="55"/>
  <c r="F74" i="55"/>
  <c r="K74" i="55"/>
  <c r="K72" i="55"/>
  <c r="K71" i="55"/>
  <c r="K70" i="55"/>
  <c r="K69" i="55"/>
  <c r="K68" i="55"/>
  <c r="K64" i="55"/>
  <c r="J49" i="55"/>
  <c r="I49" i="55"/>
  <c r="H49" i="55"/>
  <c r="G49" i="55"/>
  <c r="F49" i="55"/>
  <c r="K49" i="55"/>
  <c r="K47" i="55"/>
  <c r="K46" i="55"/>
  <c r="K45" i="55"/>
  <c r="K44" i="55"/>
  <c r="K43" i="55"/>
  <c r="K42" i="55"/>
  <c r="K41" i="55"/>
  <c r="K40" i="55"/>
  <c r="K34" i="55"/>
  <c r="K33" i="55"/>
  <c r="K32" i="55"/>
  <c r="K31" i="55"/>
  <c r="K30" i="55"/>
  <c r="K29" i="55"/>
  <c r="K28" i="55"/>
  <c r="K27" i="55"/>
  <c r="K26" i="55"/>
  <c r="K25" i="55"/>
  <c r="K24" i="55"/>
  <c r="K23" i="55"/>
  <c r="K22" i="55"/>
  <c r="K21" i="55"/>
  <c r="J36" i="55"/>
  <c r="I36" i="55"/>
  <c r="H36" i="55"/>
  <c r="G36" i="55"/>
  <c r="F36" i="55"/>
  <c r="K18" i="55"/>
  <c r="I109" i="57"/>
  <c r="J104" i="57"/>
  <c r="J111" i="57"/>
  <c r="J110" i="57"/>
  <c r="J109" i="57"/>
  <c r="J108" i="57"/>
  <c r="J107" i="57"/>
  <c r="J106" i="57"/>
  <c r="J105" i="57"/>
  <c r="H9" i="57"/>
  <c r="K152" i="55" l="1"/>
  <c r="F152" i="55"/>
  <c r="K36" i="55"/>
  <c r="C77" i="62"/>
  <c r="C76" i="62"/>
  <c r="C75" i="62"/>
  <c r="C74" i="62"/>
  <c r="C73" i="62"/>
  <c r="C72" i="62"/>
  <c r="B77" i="62"/>
  <c r="B76" i="62"/>
  <c r="B75" i="62"/>
  <c r="B74" i="62"/>
  <c r="B73" i="62"/>
  <c r="B72" i="62"/>
  <c r="D66" i="62"/>
  <c r="D65" i="62"/>
  <c r="D64" i="62"/>
  <c r="D63" i="62"/>
  <c r="D62" i="62"/>
  <c r="D61" i="62"/>
  <c r="C66" i="62"/>
  <c r="C65" i="62"/>
  <c r="C64" i="62"/>
  <c r="C63" i="62"/>
  <c r="B66" i="62"/>
  <c r="B65" i="62"/>
  <c r="B64" i="62"/>
  <c r="B63" i="62"/>
  <c r="B62" i="62"/>
  <c r="B61" i="62"/>
  <c r="D37" i="62"/>
  <c r="C37" i="62"/>
  <c r="D36" i="62"/>
  <c r="C36" i="62"/>
  <c r="D35" i="62"/>
  <c r="C35" i="62"/>
  <c r="D34" i="62"/>
  <c r="C34" i="62"/>
  <c r="D33" i="62"/>
  <c r="C33" i="62"/>
  <c r="D32" i="62"/>
  <c r="C32" i="62"/>
  <c r="E32" i="62" s="1"/>
  <c r="E61" i="62" s="1"/>
  <c r="E53" i="62" s="1"/>
  <c r="B37" i="62"/>
  <c r="B36" i="62"/>
  <c r="B35" i="62"/>
  <c r="B34" i="62"/>
  <c r="B33" i="62"/>
  <c r="B32" i="62"/>
  <c r="E45" i="62"/>
  <c r="E44" i="62"/>
  <c r="E43" i="62"/>
  <c r="E42" i="62"/>
  <c r="E41" i="62"/>
  <c r="E40" i="62"/>
  <c r="D58" i="62"/>
  <c r="D57" i="62"/>
  <c r="D56" i="62"/>
  <c r="D55" i="62"/>
  <c r="D54" i="62"/>
  <c r="D53" i="62"/>
  <c r="C105" i="62"/>
  <c r="C106" i="62" s="1"/>
  <c r="C99" i="62"/>
  <c r="C100" i="62" s="1"/>
  <c r="E33" i="62"/>
  <c r="E62" i="62" s="1"/>
  <c r="E54" i="62" s="1"/>
  <c r="K25" i="58"/>
  <c r="F162" i="37"/>
  <c r="F61" i="62" l="1"/>
  <c r="F62" i="62"/>
  <c r="E36" i="62"/>
  <c r="E65" i="62" s="1"/>
  <c r="E37" i="62"/>
  <c r="E66" i="62" s="1"/>
  <c r="E35" i="62"/>
  <c r="E64" i="62" s="1"/>
  <c r="E34" i="62"/>
  <c r="E63" i="62" s="1"/>
  <c r="D48" i="58"/>
  <c r="D47" i="58"/>
  <c r="D46" i="58"/>
  <c r="D45" i="58"/>
  <c r="D44" i="58"/>
  <c r="D43" i="58"/>
  <c r="F42" i="58"/>
  <c r="E42" i="58"/>
  <c r="D42" i="58"/>
  <c r="D41" i="58"/>
  <c r="D40" i="58"/>
  <c r="D39" i="58"/>
  <c r="D38" i="58"/>
  <c r="D37" i="58"/>
  <c r="D36" i="58"/>
  <c r="D35" i="58"/>
  <c r="D34" i="58"/>
  <c r="D33" i="58"/>
  <c r="D32" i="58"/>
  <c r="D31" i="58"/>
  <c r="D30" i="58"/>
  <c r="D29" i="58"/>
  <c r="D28" i="58"/>
  <c r="D27" i="58"/>
  <c r="D25" i="58"/>
  <c r="D24" i="58"/>
  <c r="D23" i="58"/>
  <c r="D22" i="58"/>
  <c r="D21" i="58"/>
  <c r="D20" i="58"/>
  <c r="D19" i="58"/>
  <c r="D18" i="58"/>
  <c r="D17" i="58"/>
  <c r="D15" i="58"/>
  <c r="D14" i="58"/>
  <c r="D13" i="58"/>
  <c r="D12" i="58"/>
  <c r="D10" i="58"/>
  <c r="D9" i="58"/>
  <c r="D8" i="58"/>
  <c r="D7" i="58"/>
  <c r="D6" i="58"/>
  <c r="D5" i="58"/>
  <c r="D4" i="58"/>
  <c r="D3" i="58"/>
  <c r="D2" i="58"/>
  <c r="E55" i="62" l="1"/>
  <c r="F63" i="62"/>
  <c r="E56" i="62"/>
  <c r="F64" i="62"/>
  <c r="E58" i="62"/>
  <c r="F66" i="62"/>
  <c r="E57" i="62"/>
  <c r="F65" i="62"/>
  <c r="K72" i="50"/>
  <c r="K71" i="50"/>
  <c r="K70" i="50"/>
  <c r="K62" i="50"/>
  <c r="K61" i="50"/>
  <c r="K60" i="50"/>
  <c r="K59" i="50"/>
  <c r="K58" i="50"/>
  <c r="K47" i="50"/>
  <c r="K46" i="50"/>
  <c r="K45" i="50"/>
  <c r="K44" i="50"/>
  <c r="J92" i="50"/>
  <c r="J18" i="50"/>
  <c r="L18" i="8"/>
  <c r="X42" i="5" l="1"/>
  <c r="X9" i="5"/>
  <c r="V42" i="5"/>
  <c r="Z49" i="5" l="1"/>
  <c r="AC49" i="5" s="1"/>
  <c r="Z48" i="5"/>
  <c r="AC48" i="5" s="1"/>
  <c r="Z47" i="5"/>
  <c r="AC47" i="5" s="1"/>
  <c r="Z46" i="5"/>
  <c r="AC46" i="5" s="1"/>
  <c r="Z45" i="5"/>
  <c r="AC45" i="5" s="1"/>
  <c r="Z44" i="5"/>
  <c r="AC44" i="5" s="1"/>
  <c r="Z43" i="5"/>
  <c r="AC43" i="5" s="1"/>
  <c r="Z42" i="5"/>
  <c r="AC42" i="5" s="1"/>
  <c r="Z41" i="5"/>
  <c r="AC41" i="5" s="1"/>
  <c r="Z40" i="5"/>
  <c r="AC40" i="5" s="1"/>
  <c r="Z39" i="5"/>
  <c r="AC39" i="5" s="1"/>
  <c r="Z38" i="5"/>
  <c r="AC38" i="5" s="1"/>
  <c r="Z37" i="5"/>
  <c r="AC37" i="5" s="1"/>
  <c r="Z36" i="5"/>
  <c r="AC36" i="5" s="1"/>
  <c r="Z35" i="5"/>
  <c r="AC35" i="5" s="1"/>
  <c r="Z34" i="5"/>
  <c r="AC34" i="5" s="1"/>
  <c r="Z33" i="5"/>
  <c r="AC33" i="5" s="1"/>
  <c r="Z32" i="5"/>
  <c r="AC32" i="5" s="1"/>
  <c r="Z31" i="5"/>
  <c r="AC31" i="5" s="1"/>
  <c r="Z30" i="5"/>
  <c r="AC30" i="5" s="1"/>
  <c r="Z29" i="5"/>
  <c r="AC29" i="5" s="1"/>
  <c r="Z28" i="5"/>
  <c r="AC28" i="5" s="1"/>
  <c r="Z27" i="5"/>
  <c r="AC27" i="5" s="1"/>
  <c r="Z26" i="5"/>
  <c r="AC26" i="5" s="1"/>
  <c r="Z25" i="5"/>
  <c r="AC25" i="5" s="1"/>
  <c r="Z24" i="5"/>
  <c r="AC24" i="5" s="1"/>
  <c r="Z23" i="5"/>
  <c r="AC23" i="5" s="1"/>
  <c r="Z22" i="5"/>
  <c r="AC22" i="5" s="1"/>
  <c r="Z21" i="5"/>
  <c r="AC21" i="5" s="1"/>
  <c r="Z20" i="5"/>
  <c r="AC20" i="5" s="1"/>
  <c r="Z19" i="5"/>
  <c r="AC19" i="5" s="1"/>
  <c r="Z18" i="5"/>
  <c r="AC18" i="5" s="1"/>
  <c r="Z17" i="5"/>
  <c r="AC17" i="5" s="1"/>
  <c r="Z16" i="5"/>
  <c r="AC16" i="5" s="1"/>
  <c r="Z15" i="5"/>
  <c r="AC15" i="5" s="1"/>
  <c r="Z14" i="5"/>
  <c r="AC14" i="5" s="1"/>
  <c r="Z13" i="5"/>
  <c r="AC13" i="5" s="1"/>
  <c r="Z12" i="5"/>
  <c r="AC12" i="5" s="1"/>
  <c r="Z11" i="5"/>
  <c r="AC11" i="5" s="1"/>
  <c r="Z10" i="5"/>
  <c r="AC10" i="5" s="1"/>
  <c r="Z9" i="5"/>
  <c r="AC9" i="5" s="1"/>
  <c r="Z8" i="5"/>
  <c r="AC8" i="5" s="1"/>
  <c r="Z7" i="5"/>
  <c r="AC7" i="5" s="1"/>
  <c r="Z6" i="5"/>
  <c r="AC6" i="5" s="1"/>
  <c r="Z5" i="5"/>
  <c r="AC5" i="5" s="1"/>
  <c r="Z4" i="5"/>
  <c r="AC4" i="5" s="1"/>
  <c r="Z3" i="5"/>
  <c r="AC3" i="5" s="1"/>
  <c r="X49" i="5"/>
  <c r="X48" i="5"/>
  <c r="X47" i="5"/>
  <c r="X46" i="5"/>
  <c r="X45" i="5"/>
  <c r="X44" i="5"/>
  <c r="X43" i="5"/>
  <c r="X41" i="5"/>
  <c r="X40" i="5"/>
  <c r="X39" i="5"/>
  <c r="X38" i="5"/>
  <c r="X37" i="5"/>
  <c r="X36" i="5"/>
  <c r="X35" i="5"/>
  <c r="X34" i="5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X15" i="5"/>
  <c r="X14" i="5"/>
  <c r="X13" i="5"/>
  <c r="X12" i="5"/>
  <c r="X11" i="5"/>
  <c r="X10" i="5"/>
  <c r="X8" i="5"/>
  <c r="X7" i="5"/>
  <c r="X6" i="5"/>
  <c r="X5" i="5"/>
  <c r="X4" i="5"/>
  <c r="X3" i="5"/>
  <c r="U49" i="5" l="1"/>
  <c r="U48" i="5"/>
  <c r="U47" i="5"/>
  <c r="U46" i="5"/>
  <c r="U45" i="5"/>
  <c r="U44" i="5"/>
  <c r="U43" i="5"/>
  <c r="U42" i="5"/>
  <c r="W42" i="5" s="1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U8" i="5"/>
  <c r="U7" i="5"/>
  <c r="U6" i="5"/>
  <c r="U5" i="5"/>
  <c r="U4" i="5"/>
  <c r="U3" i="5"/>
  <c r="G109" i="57" l="1"/>
  <c r="C11" i="56" s="1"/>
  <c r="F109" i="57"/>
  <c r="B11" i="56" s="1"/>
  <c r="J93" i="57"/>
  <c r="H93" i="57"/>
  <c r="L93" i="57" s="1"/>
  <c r="G93" i="57"/>
  <c r="F93" i="57"/>
  <c r="J92" i="57"/>
  <c r="H92" i="57"/>
  <c r="L92" i="57" s="1"/>
  <c r="G92" i="57"/>
  <c r="F92" i="57"/>
  <c r="H79" i="57"/>
  <c r="H80" i="57"/>
  <c r="L80" i="57" s="1"/>
  <c r="F80" i="57"/>
  <c r="J80" i="57"/>
  <c r="G80" i="57"/>
  <c r="J79" i="57"/>
  <c r="F79" i="57"/>
  <c r="J78" i="57"/>
  <c r="G78" i="57"/>
  <c r="F78" i="57"/>
  <c r="J69" i="57"/>
  <c r="H69" i="57"/>
  <c r="L69" i="57" s="1"/>
  <c r="G69" i="57"/>
  <c r="F69" i="57"/>
  <c r="J68" i="57"/>
  <c r="H68" i="57"/>
  <c r="L68" i="57" s="1"/>
  <c r="G68" i="57"/>
  <c r="F68" i="57"/>
  <c r="J67" i="57"/>
  <c r="J63" i="57"/>
  <c r="J62" i="57"/>
  <c r="J59" i="57"/>
  <c r="J51" i="57"/>
  <c r="J50" i="57"/>
  <c r="I50" i="57"/>
  <c r="J49" i="57"/>
  <c r="I49" i="57"/>
  <c r="J42" i="57"/>
  <c r="I42" i="57"/>
  <c r="H42" i="57"/>
  <c r="G42" i="57"/>
  <c r="F42" i="57"/>
  <c r="J40" i="57"/>
  <c r="J25" i="57"/>
  <c r="AB49" i="5"/>
  <c r="AB48" i="5"/>
  <c r="AB47" i="5"/>
  <c r="AB46" i="5"/>
  <c r="AB45" i="5"/>
  <c r="AB44" i="5"/>
  <c r="C44" i="5" s="1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AB5" i="5"/>
  <c r="AB4" i="5"/>
  <c r="AB3" i="5"/>
  <c r="H44" i="5"/>
  <c r="H35" i="5"/>
  <c r="H31" i="5"/>
  <c r="H14" i="5"/>
  <c r="H48" i="5"/>
  <c r="H42" i="5"/>
  <c r="H40" i="5"/>
  <c r="H17" i="5"/>
  <c r="H9" i="5"/>
  <c r="H8" i="5"/>
  <c r="H49" i="5"/>
  <c r="H47" i="5"/>
  <c r="H46" i="5"/>
  <c r="H45" i="5"/>
  <c r="H43" i="5"/>
  <c r="H41" i="5"/>
  <c r="H39" i="5"/>
  <c r="H38" i="5"/>
  <c r="H37" i="5"/>
  <c r="H36" i="5"/>
  <c r="H34" i="5"/>
  <c r="H33" i="5"/>
  <c r="H32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6" i="5"/>
  <c r="H15" i="5"/>
  <c r="H13" i="5"/>
  <c r="H12" i="5"/>
  <c r="H11" i="5"/>
  <c r="H10" i="5"/>
  <c r="H7" i="5"/>
  <c r="H6" i="5"/>
  <c r="H5" i="5"/>
  <c r="H4" i="5"/>
  <c r="H3" i="5"/>
  <c r="V49" i="5"/>
  <c r="V48" i="5"/>
  <c r="W48" i="5" s="1"/>
  <c r="V47" i="5"/>
  <c r="V46" i="5"/>
  <c r="V45" i="5"/>
  <c r="V44" i="5"/>
  <c r="W44" i="5" s="1"/>
  <c r="V43" i="5"/>
  <c r="V41" i="5"/>
  <c r="V40" i="5"/>
  <c r="W40" i="5" s="1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W17" i="5" s="1"/>
  <c r="V16" i="5"/>
  <c r="V15" i="5"/>
  <c r="V14" i="5"/>
  <c r="V13" i="5"/>
  <c r="V12" i="5"/>
  <c r="V11" i="5"/>
  <c r="V10" i="5"/>
  <c r="V9" i="5"/>
  <c r="W9" i="5" s="1"/>
  <c r="V8" i="5"/>
  <c r="W8" i="5" s="1"/>
  <c r="V7" i="5"/>
  <c r="V6" i="5"/>
  <c r="V5" i="5"/>
  <c r="V4" i="5"/>
  <c r="V3" i="5"/>
  <c r="K42" i="57" l="1"/>
  <c r="L42" i="57"/>
  <c r="L79" i="57"/>
  <c r="C48" i="5"/>
  <c r="C17" i="5"/>
  <c r="C8" i="5"/>
  <c r="C40" i="5"/>
  <c r="C9" i="5"/>
  <c r="C42" i="5"/>
  <c r="C13" i="5"/>
  <c r="C21" i="5"/>
  <c r="C25" i="5"/>
  <c r="C29" i="5"/>
  <c r="C33" i="5"/>
  <c r="C37" i="5"/>
  <c r="C45" i="5"/>
  <c r="C49" i="5"/>
  <c r="C10" i="5"/>
  <c r="C14" i="5"/>
  <c r="C18" i="5"/>
  <c r="C22" i="5"/>
  <c r="C26" i="5"/>
  <c r="C30" i="5"/>
  <c r="C34" i="5"/>
  <c r="C38" i="5"/>
  <c r="C46" i="5"/>
  <c r="C3" i="5"/>
  <c r="C7" i="5"/>
  <c r="C11" i="5"/>
  <c r="C15" i="5"/>
  <c r="C19" i="5"/>
  <c r="C23" i="5"/>
  <c r="C27" i="5"/>
  <c r="C31" i="5"/>
  <c r="C35" i="5"/>
  <c r="C39" i="5"/>
  <c r="C43" i="5"/>
  <c r="C47" i="5"/>
  <c r="C5" i="5"/>
  <c r="C41" i="5"/>
  <c r="C6" i="5"/>
  <c r="C4" i="5"/>
  <c r="C12" i="5"/>
  <c r="C16" i="5"/>
  <c r="C20" i="5"/>
  <c r="C24" i="5"/>
  <c r="C28" i="5"/>
  <c r="C32" i="5"/>
  <c r="C36" i="5"/>
  <c r="W3" i="5"/>
  <c r="W49" i="5"/>
  <c r="W47" i="5"/>
  <c r="W46" i="5"/>
  <c r="W45" i="5"/>
  <c r="W43" i="5"/>
  <c r="W41" i="5"/>
  <c r="W39" i="5"/>
  <c r="W38" i="5"/>
  <c r="W37" i="5"/>
  <c r="W36" i="5"/>
  <c r="W35" i="5"/>
  <c r="W34" i="5"/>
  <c r="W33" i="5"/>
  <c r="W32" i="5"/>
  <c r="W31" i="5"/>
  <c r="W30" i="5"/>
  <c r="W29" i="5"/>
  <c r="W27" i="5"/>
  <c r="W26" i="5"/>
  <c r="W25" i="5"/>
  <c r="W24" i="5"/>
  <c r="W23" i="5"/>
  <c r="W22" i="5"/>
  <c r="W21" i="5"/>
  <c r="W20" i="5"/>
  <c r="W19" i="5"/>
  <c r="W18" i="5"/>
  <c r="W16" i="5"/>
  <c r="W15" i="5"/>
  <c r="W14" i="5"/>
  <c r="W13" i="5"/>
  <c r="W12" i="5"/>
  <c r="W11" i="5"/>
  <c r="W10" i="5"/>
  <c r="W7" i="5"/>
  <c r="W6" i="5"/>
  <c r="W5" i="5"/>
  <c r="W4" i="5"/>
  <c r="C50" i="5" l="1"/>
  <c r="D3" i="5"/>
  <c r="D50" i="5" s="1"/>
  <c r="W28" i="5" l="1"/>
  <c r="E49" i="5" l="1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C13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J57" i="2"/>
  <c r="K2" i="2"/>
  <c r="O4" i="2"/>
  <c r="P4" i="2" s="1"/>
  <c r="C20" i="2"/>
  <c r="C25" i="2"/>
  <c r="C29" i="2"/>
  <c r="O29" i="2" s="1"/>
  <c r="P29" i="2" s="1"/>
  <c r="C32" i="2"/>
  <c r="C35" i="2"/>
  <c r="C36" i="2"/>
  <c r="C45" i="2"/>
  <c r="O45" i="2" s="1"/>
  <c r="P45" i="2" s="1"/>
  <c r="C46" i="2"/>
  <c r="O46" i="2" s="1"/>
  <c r="P46" i="2" s="1"/>
  <c r="O36" i="2"/>
  <c r="P36" i="2" s="1"/>
  <c r="O35" i="2"/>
  <c r="P35" i="2" s="1"/>
  <c r="O32" i="2"/>
  <c r="P32" i="2" s="1"/>
  <c r="O25" i="2"/>
  <c r="P25" i="2" s="1"/>
  <c r="O20" i="2"/>
  <c r="P20" i="2" s="1"/>
  <c r="O13" i="2"/>
  <c r="P13" i="2" s="1"/>
  <c r="O5" i="2"/>
  <c r="P5" i="2" s="1"/>
  <c r="C12" i="2"/>
  <c r="O12" i="2" s="1"/>
  <c r="P12" i="2" s="1"/>
  <c r="O3" i="2"/>
  <c r="P3" i="2" s="1"/>
  <c r="V24" i="2"/>
  <c r="V23" i="2"/>
  <c r="V22" i="2"/>
  <c r="V21" i="2"/>
  <c r="V20" i="2"/>
  <c r="V19" i="2"/>
  <c r="V18" i="2"/>
  <c r="V17" i="2"/>
  <c r="C22" i="2" s="1"/>
  <c r="O22" i="2" s="1"/>
  <c r="P22" i="2" s="1"/>
  <c r="V16" i="2"/>
  <c r="V15" i="2"/>
  <c r="C15" i="2" s="1"/>
  <c r="O15" i="2" s="1"/>
  <c r="P15" i="2" s="1"/>
  <c r="V14" i="2"/>
  <c r="V13" i="2"/>
  <c r="V12" i="2"/>
  <c r="C10" i="2" s="1"/>
  <c r="O10" i="2" s="1"/>
  <c r="P10" i="2" s="1"/>
  <c r="V11" i="2"/>
  <c r="C9" i="2" s="1"/>
  <c r="O9" i="2" s="1"/>
  <c r="P9" i="2" s="1"/>
  <c r="V10" i="2"/>
  <c r="V9" i="2"/>
  <c r="V8" i="2"/>
  <c r="F48" i="60" l="1"/>
  <c r="L23" i="58" s="1"/>
  <c r="F47" i="60"/>
  <c r="L16" i="58" s="1"/>
  <c r="F46" i="60"/>
  <c r="L3" i="58" s="1"/>
  <c r="F45" i="60"/>
  <c r="L22" i="58" s="1"/>
  <c r="F44" i="60"/>
  <c r="L27" i="58" s="1"/>
  <c r="F43" i="60"/>
  <c r="L45" i="58" s="1"/>
  <c r="F42" i="60"/>
  <c r="L32" i="58" s="1"/>
  <c r="F41" i="60"/>
  <c r="L35" i="58" s="1"/>
  <c r="F40" i="60"/>
  <c r="L39" i="58" s="1"/>
  <c r="F39" i="60"/>
  <c r="L7" i="58" s="1"/>
  <c r="F38" i="60"/>
  <c r="L20" i="58" s="1"/>
  <c r="F37" i="60"/>
  <c r="L24" i="58" s="1"/>
  <c r="F36" i="60"/>
  <c r="L8" i="58" s="1"/>
  <c r="F35" i="60"/>
  <c r="L12" i="58" s="1"/>
  <c r="F34" i="60"/>
  <c r="L41" i="58" s="1"/>
  <c r="F33" i="60"/>
  <c r="L13" i="58" s="1"/>
  <c r="F32" i="60"/>
  <c r="L31" i="58" s="1"/>
  <c r="F31" i="60"/>
  <c r="L11" i="58" s="1"/>
  <c r="F30" i="60"/>
  <c r="L48" i="58" s="1"/>
  <c r="F29" i="60"/>
  <c r="L4" i="58" s="1"/>
  <c r="F28" i="60"/>
  <c r="L19" i="58" s="1"/>
  <c r="F27" i="60"/>
  <c r="L34" i="58" s="1"/>
  <c r="F26" i="60"/>
  <c r="L47" i="58" s="1"/>
  <c r="F25" i="60"/>
  <c r="L18" i="58" s="1"/>
  <c r="F24" i="60"/>
  <c r="L2" i="58" s="1"/>
  <c r="F23" i="60"/>
  <c r="L9" i="58" s="1"/>
  <c r="F22" i="60"/>
  <c r="L37" i="58" s="1"/>
  <c r="F21" i="60"/>
  <c r="L42" i="58" s="1"/>
  <c r="F20" i="60"/>
  <c r="L10" i="58" s="1"/>
  <c r="F19" i="60"/>
  <c r="L38" i="58" s="1"/>
  <c r="F18" i="60"/>
  <c r="L5" i="58" s="1"/>
  <c r="F17" i="60"/>
  <c r="L29" i="58" s="1"/>
  <c r="F16" i="60"/>
  <c r="L46" i="58" s="1"/>
  <c r="F15" i="60"/>
  <c r="L36" i="58" s="1"/>
  <c r="F14" i="60"/>
  <c r="L17" i="58" s="1"/>
  <c r="F13" i="60"/>
  <c r="L6" i="58" s="1"/>
  <c r="F12" i="60"/>
  <c r="L15" i="58" s="1"/>
  <c r="F11" i="60"/>
  <c r="L43" i="58" s="1"/>
  <c r="F10" i="60"/>
  <c r="L40" i="58" s="1"/>
  <c r="F9" i="60"/>
  <c r="L26" i="58" s="1"/>
  <c r="F8" i="60"/>
  <c r="L30" i="58" s="1"/>
  <c r="F7" i="60"/>
  <c r="L28" i="58" s="1"/>
  <c r="F6" i="60"/>
  <c r="L33" i="58" s="1"/>
  <c r="F5" i="60"/>
  <c r="L14" i="58" s="1"/>
  <c r="F4" i="60"/>
  <c r="L25" i="58" s="1"/>
  <c r="F3" i="60"/>
  <c r="L44" i="58" s="1"/>
  <c r="AA63" i="61" l="1"/>
  <c r="AA85" i="61"/>
  <c r="F65" i="61"/>
  <c r="I65" i="61"/>
  <c r="AA86" i="61"/>
  <c r="AA48" i="61"/>
  <c r="AA26" i="61"/>
  <c r="AA64" i="61"/>
  <c r="AA54" i="61"/>
  <c r="AA58" i="61"/>
  <c r="AA50" i="61"/>
  <c r="AA78" i="61"/>
  <c r="AA84" i="61"/>
  <c r="AA28" i="61"/>
  <c r="AA10" i="61"/>
  <c r="AA32" i="61"/>
  <c r="AA70" i="61"/>
  <c r="AA90" i="61"/>
  <c r="AA56" i="61"/>
  <c r="AA8" i="61"/>
  <c r="AA74" i="61"/>
  <c r="AA18" i="61"/>
  <c r="AA82" i="61"/>
  <c r="AA72" i="61"/>
  <c r="AA16" i="61"/>
  <c r="AA2" i="61"/>
  <c r="AA34" i="61"/>
  <c r="AA92" i="61"/>
  <c r="AA66" i="61"/>
  <c r="AA36" i="61"/>
  <c r="AA6" i="61"/>
  <c r="AA94" i="61"/>
  <c r="AA20" i="61"/>
  <c r="AA60" i="61"/>
  <c r="AA24" i="61"/>
  <c r="AA80" i="61"/>
  <c r="AA22" i="61"/>
  <c r="AA14" i="61"/>
  <c r="AA46" i="61"/>
  <c r="AA38" i="61"/>
  <c r="AA12" i="61"/>
  <c r="AA76" i="61"/>
  <c r="AA68" i="61"/>
  <c r="AA62" i="61"/>
  <c r="AA88" i="61"/>
  <c r="AA52" i="61"/>
  <c r="AA42" i="61"/>
  <c r="AA4" i="61"/>
  <c r="AA30" i="61"/>
  <c r="AA44" i="61"/>
  <c r="AA41" i="61"/>
  <c r="AA87" i="61"/>
  <c r="AA49" i="61"/>
  <c r="AA27" i="61"/>
  <c r="AA65" i="61"/>
  <c r="AA55" i="61"/>
  <c r="AA59" i="61"/>
  <c r="AA51" i="61"/>
  <c r="AA29" i="61"/>
  <c r="AA11" i="61"/>
  <c r="AA33" i="61"/>
  <c r="AA71" i="61"/>
  <c r="AA91" i="61"/>
  <c r="AA57" i="61"/>
  <c r="AA9" i="61"/>
  <c r="AA75" i="61"/>
  <c r="AA19" i="61"/>
  <c r="AA83" i="61"/>
  <c r="AA73" i="61"/>
  <c r="AA17" i="61"/>
  <c r="AA3" i="61"/>
  <c r="AA35" i="61"/>
  <c r="AA93" i="61"/>
  <c r="AA67" i="61"/>
  <c r="AA37" i="61"/>
  <c r="AA7" i="61"/>
  <c r="AA95" i="61"/>
  <c r="AA21" i="61"/>
  <c r="AA61" i="61"/>
  <c r="AA25" i="61"/>
  <c r="AA81" i="61"/>
  <c r="AA23" i="61"/>
  <c r="AA15" i="61"/>
  <c r="AA47" i="61"/>
  <c r="AA39" i="61"/>
  <c r="AA13" i="61"/>
  <c r="AA77" i="61"/>
  <c r="AA69" i="61"/>
  <c r="AA89" i="61"/>
  <c r="AA53" i="61"/>
  <c r="AA43" i="61"/>
  <c r="AA5" i="61"/>
  <c r="AA31" i="61"/>
  <c r="AA45" i="61"/>
  <c r="AA40" i="61"/>
  <c r="U86" i="61"/>
  <c r="U48" i="61"/>
  <c r="U26" i="61"/>
  <c r="U64" i="61"/>
  <c r="U54" i="61"/>
  <c r="U58" i="61"/>
  <c r="U50" i="61"/>
  <c r="U78" i="61"/>
  <c r="U84" i="61"/>
  <c r="U28" i="61"/>
  <c r="U10" i="61"/>
  <c r="U32" i="61"/>
  <c r="U70" i="61"/>
  <c r="U90" i="61"/>
  <c r="U56" i="61"/>
  <c r="U8" i="61"/>
  <c r="U74" i="61"/>
  <c r="U18" i="61"/>
  <c r="U82" i="61"/>
  <c r="U72" i="61"/>
  <c r="U16" i="61"/>
  <c r="U2" i="61"/>
  <c r="U34" i="61"/>
  <c r="U92" i="61"/>
  <c r="U66" i="61"/>
  <c r="U36" i="61"/>
  <c r="U6" i="61"/>
  <c r="U94" i="61"/>
  <c r="U20" i="61"/>
  <c r="U60" i="61"/>
  <c r="U24" i="61"/>
  <c r="U80" i="61"/>
  <c r="U22" i="61"/>
  <c r="U14" i="61"/>
  <c r="U46" i="61"/>
  <c r="U38" i="61"/>
  <c r="U12" i="61"/>
  <c r="U76" i="61"/>
  <c r="U68" i="61"/>
  <c r="U62" i="61"/>
  <c r="U88" i="61"/>
  <c r="U52" i="61"/>
  <c r="U42" i="61"/>
  <c r="U4" i="61"/>
  <c r="U30" i="61"/>
  <c r="U44" i="61"/>
  <c r="U41" i="61"/>
  <c r="U87" i="61"/>
  <c r="U49" i="61"/>
  <c r="U27" i="61"/>
  <c r="U65" i="61"/>
  <c r="U55" i="61"/>
  <c r="U59" i="61"/>
  <c r="U51" i="61"/>
  <c r="U79" i="61"/>
  <c r="U85" i="61"/>
  <c r="U29" i="61"/>
  <c r="U11" i="61"/>
  <c r="U33" i="61"/>
  <c r="U71" i="61"/>
  <c r="U91" i="61"/>
  <c r="U57" i="61"/>
  <c r="U9" i="61"/>
  <c r="U75" i="61"/>
  <c r="U19" i="61"/>
  <c r="U83" i="61"/>
  <c r="U73" i="61"/>
  <c r="U17" i="61"/>
  <c r="U3" i="61"/>
  <c r="U35" i="61"/>
  <c r="U93" i="61"/>
  <c r="U67" i="61"/>
  <c r="U37" i="61"/>
  <c r="U7" i="61"/>
  <c r="U95" i="61"/>
  <c r="U21" i="61"/>
  <c r="U61" i="61"/>
  <c r="U25" i="61"/>
  <c r="U81" i="61"/>
  <c r="U23" i="61"/>
  <c r="U15" i="61"/>
  <c r="U47" i="61"/>
  <c r="U39" i="61"/>
  <c r="U13" i="61"/>
  <c r="U77" i="61"/>
  <c r="U69" i="61"/>
  <c r="U63" i="61"/>
  <c r="U89" i="61"/>
  <c r="U53" i="61"/>
  <c r="U43" i="61"/>
  <c r="U5" i="61"/>
  <c r="U31" i="61"/>
  <c r="U45" i="61"/>
  <c r="U40" i="61"/>
  <c r="L86" i="61"/>
  <c r="L48" i="61"/>
  <c r="L26" i="61"/>
  <c r="L64" i="61"/>
  <c r="L54" i="61"/>
  <c r="L58" i="61"/>
  <c r="L50" i="61"/>
  <c r="L78" i="61"/>
  <c r="L84" i="61"/>
  <c r="L28" i="61"/>
  <c r="L10" i="61"/>
  <c r="L32" i="61"/>
  <c r="L70" i="61"/>
  <c r="L90" i="61"/>
  <c r="L56" i="61"/>
  <c r="L8" i="61"/>
  <c r="L74" i="61"/>
  <c r="L18" i="61"/>
  <c r="L82" i="61"/>
  <c r="L72" i="61"/>
  <c r="L16" i="61"/>
  <c r="L2" i="61"/>
  <c r="L34" i="61"/>
  <c r="L92" i="61"/>
  <c r="L66" i="61"/>
  <c r="L36" i="61"/>
  <c r="L6" i="61"/>
  <c r="L94" i="61"/>
  <c r="L20" i="61"/>
  <c r="L60" i="61"/>
  <c r="L24" i="61"/>
  <c r="L80" i="61"/>
  <c r="L22" i="61"/>
  <c r="L14" i="61"/>
  <c r="L46" i="61"/>
  <c r="L38" i="61"/>
  <c r="L12" i="61"/>
  <c r="L76" i="61"/>
  <c r="L68" i="61"/>
  <c r="L62" i="61"/>
  <c r="L88" i="61"/>
  <c r="L52" i="61"/>
  <c r="L42" i="61"/>
  <c r="L4" i="61"/>
  <c r="L30" i="61"/>
  <c r="L44" i="61"/>
  <c r="L41" i="61"/>
  <c r="L87" i="61"/>
  <c r="L49" i="61"/>
  <c r="L27" i="61"/>
  <c r="L65" i="61"/>
  <c r="L55" i="61"/>
  <c r="L59" i="61"/>
  <c r="L51" i="61"/>
  <c r="L79" i="61"/>
  <c r="L85" i="61"/>
  <c r="L29" i="61"/>
  <c r="L11" i="61"/>
  <c r="L33" i="61"/>
  <c r="L71" i="61"/>
  <c r="L91" i="61"/>
  <c r="L57" i="61"/>
  <c r="L9" i="61"/>
  <c r="L75" i="61"/>
  <c r="L19" i="61"/>
  <c r="L83" i="61"/>
  <c r="L73" i="61"/>
  <c r="L17" i="61"/>
  <c r="L3" i="61"/>
  <c r="L35" i="61"/>
  <c r="L93" i="61"/>
  <c r="L67" i="61"/>
  <c r="L37" i="61"/>
  <c r="L7" i="61"/>
  <c r="L95" i="61"/>
  <c r="L21" i="61"/>
  <c r="L61" i="61"/>
  <c r="L25" i="61"/>
  <c r="L81" i="61"/>
  <c r="L23" i="61"/>
  <c r="L15" i="61"/>
  <c r="L47" i="61"/>
  <c r="L39" i="61"/>
  <c r="L13" i="61"/>
  <c r="L77" i="61"/>
  <c r="L69" i="61"/>
  <c r="L63" i="61"/>
  <c r="L89" i="61"/>
  <c r="L53" i="61"/>
  <c r="L43" i="61"/>
  <c r="L5" i="61"/>
  <c r="L31" i="61"/>
  <c r="L45" i="61"/>
  <c r="L40" i="61"/>
  <c r="I86" i="61"/>
  <c r="I48" i="61"/>
  <c r="I26" i="61"/>
  <c r="I64" i="61"/>
  <c r="I54" i="61"/>
  <c r="I58" i="61"/>
  <c r="I50" i="61"/>
  <c r="I78" i="61"/>
  <c r="I84" i="61"/>
  <c r="I28" i="61"/>
  <c r="I10" i="61"/>
  <c r="I32" i="61"/>
  <c r="I70" i="61"/>
  <c r="I90" i="61"/>
  <c r="I56" i="61"/>
  <c r="I8" i="61"/>
  <c r="I74" i="61"/>
  <c r="I18" i="61"/>
  <c r="I82" i="61"/>
  <c r="I72" i="61"/>
  <c r="I16" i="61"/>
  <c r="I2" i="61"/>
  <c r="I34" i="61"/>
  <c r="I92" i="61"/>
  <c r="I66" i="61"/>
  <c r="I36" i="61"/>
  <c r="I6" i="61"/>
  <c r="I20" i="61"/>
  <c r="I60" i="61"/>
  <c r="I24" i="61"/>
  <c r="I80" i="61"/>
  <c r="I22" i="61"/>
  <c r="I14" i="61"/>
  <c r="I46" i="61"/>
  <c r="I38" i="61"/>
  <c r="I12" i="61"/>
  <c r="I76" i="61"/>
  <c r="I68" i="61"/>
  <c r="I62" i="61"/>
  <c r="I88" i="61"/>
  <c r="I52" i="61"/>
  <c r="I42" i="61"/>
  <c r="I4" i="61"/>
  <c r="I44" i="61"/>
  <c r="I40" i="61"/>
  <c r="I87" i="61"/>
  <c r="I49" i="61"/>
  <c r="I55" i="61"/>
  <c r="I59" i="61"/>
  <c r="I51" i="61"/>
  <c r="I79" i="61"/>
  <c r="I85" i="61"/>
  <c r="I29" i="61"/>
  <c r="I11" i="61"/>
  <c r="I33" i="61"/>
  <c r="I71" i="61"/>
  <c r="I91" i="61"/>
  <c r="I57" i="61"/>
  <c r="I9" i="61"/>
  <c r="I75" i="61"/>
  <c r="I19" i="61"/>
  <c r="I83" i="61"/>
  <c r="I73" i="61"/>
  <c r="I17" i="61"/>
  <c r="I3" i="61"/>
  <c r="I35" i="61"/>
  <c r="I93" i="61"/>
  <c r="I67" i="61"/>
  <c r="I37" i="61"/>
  <c r="I7" i="61"/>
  <c r="I95" i="61"/>
  <c r="I21" i="61"/>
  <c r="I61" i="61"/>
  <c r="I25" i="61"/>
  <c r="I81" i="61"/>
  <c r="I23" i="61"/>
  <c r="I15" i="61"/>
  <c r="I47" i="61"/>
  <c r="I39" i="61"/>
  <c r="I13" i="61"/>
  <c r="I77" i="61"/>
  <c r="I69" i="61"/>
  <c r="I63" i="61"/>
  <c r="I89" i="61"/>
  <c r="I53" i="61"/>
  <c r="I43" i="61"/>
  <c r="I5" i="61"/>
  <c r="I31" i="61"/>
  <c r="I45" i="61"/>
  <c r="I41" i="61"/>
  <c r="F87" i="61"/>
  <c r="F49" i="61"/>
  <c r="F27" i="61"/>
  <c r="E27" i="61" s="1"/>
  <c r="F55" i="61"/>
  <c r="F59" i="61"/>
  <c r="F51" i="61"/>
  <c r="F79" i="61"/>
  <c r="F85" i="61"/>
  <c r="F29" i="61"/>
  <c r="F11" i="61"/>
  <c r="F33" i="61"/>
  <c r="F71" i="61"/>
  <c r="F91" i="61"/>
  <c r="F57" i="61"/>
  <c r="F9" i="61"/>
  <c r="F75" i="61"/>
  <c r="F19" i="61"/>
  <c r="F83" i="61"/>
  <c r="F73" i="61"/>
  <c r="F17" i="61"/>
  <c r="F3" i="61"/>
  <c r="F35" i="61"/>
  <c r="F93" i="61"/>
  <c r="F67" i="61"/>
  <c r="F37" i="61"/>
  <c r="F7" i="61"/>
  <c r="F21" i="61"/>
  <c r="F61" i="61"/>
  <c r="F25" i="61"/>
  <c r="F81" i="61"/>
  <c r="E81" i="61" s="1"/>
  <c r="F23" i="61"/>
  <c r="F15" i="61"/>
  <c r="F47" i="61"/>
  <c r="F39" i="61"/>
  <c r="F13" i="61"/>
  <c r="F77" i="61"/>
  <c r="F69" i="61"/>
  <c r="F63" i="61"/>
  <c r="F89" i="61"/>
  <c r="F53" i="61"/>
  <c r="F43" i="61"/>
  <c r="F5" i="61"/>
  <c r="F31" i="61"/>
  <c r="F45" i="61"/>
  <c r="F41" i="61"/>
  <c r="F40" i="61"/>
  <c r="AE96" i="61"/>
  <c r="AD96" i="61"/>
  <c r="AC96" i="61"/>
  <c r="AB96" i="61"/>
  <c r="Y96" i="61"/>
  <c r="X96" i="61"/>
  <c r="W96" i="61"/>
  <c r="V96" i="61"/>
  <c r="T96" i="61"/>
  <c r="S96" i="61"/>
  <c r="R96" i="61"/>
  <c r="Q96" i="61"/>
  <c r="P96" i="61"/>
  <c r="O96" i="61"/>
  <c r="N96" i="61"/>
  <c r="M96" i="61"/>
  <c r="K96" i="61"/>
  <c r="J96" i="61"/>
  <c r="H96" i="61"/>
  <c r="G96" i="61"/>
  <c r="D22" i="61" l="1"/>
  <c r="E22" i="61" s="1"/>
  <c r="D86" i="61"/>
  <c r="E86" i="61" s="1"/>
  <c r="F96" i="61"/>
  <c r="D80" i="61"/>
  <c r="E80" i="61" s="1"/>
  <c r="D76" i="61"/>
  <c r="E76" i="61" s="1"/>
  <c r="D14" i="61"/>
  <c r="E14" i="61" s="1"/>
  <c r="D18" i="61"/>
  <c r="E18" i="61" s="1"/>
  <c r="D41" i="61"/>
  <c r="E41" i="61" s="1"/>
  <c r="E47" i="61"/>
  <c r="E11" i="61"/>
  <c r="D40" i="61"/>
  <c r="E40" i="61" s="1"/>
  <c r="D46" i="61"/>
  <c r="E46" i="61" s="1"/>
  <c r="E45" i="61"/>
  <c r="E53" i="61"/>
  <c r="E37" i="61"/>
  <c r="E91" i="61"/>
  <c r="E29" i="61"/>
  <c r="D73" i="61"/>
  <c r="E73" i="61" s="1"/>
  <c r="D60" i="61"/>
  <c r="E60" i="61" s="1"/>
  <c r="D36" i="61"/>
  <c r="E36" i="61" s="1"/>
  <c r="D90" i="61"/>
  <c r="E90" i="61" s="1"/>
  <c r="D28" i="61"/>
  <c r="E28" i="61" s="1"/>
  <c r="D4" i="61"/>
  <c r="E4" i="61" s="1"/>
  <c r="D62" i="61"/>
  <c r="E62" i="61" s="1"/>
  <c r="D94" i="61"/>
  <c r="E94" i="61" s="1"/>
  <c r="D64" i="61"/>
  <c r="E64" i="61" s="1"/>
  <c r="D43" i="61"/>
  <c r="E43" i="61" s="1"/>
  <c r="E35" i="61"/>
  <c r="E57" i="61"/>
  <c r="E71" i="61"/>
  <c r="D68" i="61"/>
  <c r="E68" i="61" s="1"/>
  <c r="D34" i="61"/>
  <c r="E34" i="61" s="1"/>
  <c r="E13" i="61"/>
  <c r="D31" i="61"/>
  <c r="E31" i="61" s="1"/>
  <c r="D77" i="61"/>
  <c r="E77" i="61" s="1"/>
  <c r="D89" i="61"/>
  <c r="E89" i="61" s="1"/>
  <c r="D63" i="61"/>
  <c r="E63" i="61" s="1"/>
  <c r="D5" i="61"/>
  <c r="E5" i="61" s="1"/>
  <c r="D39" i="61"/>
  <c r="E39" i="61" s="1"/>
  <c r="D44" i="61"/>
  <c r="E44" i="61" s="1"/>
  <c r="D58" i="61"/>
  <c r="E58" i="61" s="1"/>
  <c r="D30" i="61"/>
  <c r="E30" i="61" s="1"/>
  <c r="D88" i="61"/>
  <c r="E88" i="61" s="1"/>
  <c r="D12" i="61"/>
  <c r="E12" i="61" s="1"/>
  <c r="D20" i="61"/>
  <c r="E20" i="61" s="1"/>
  <c r="D66" i="61"/>
  <c r="E66" i="61" s="1"/>
  <c r="D16" i="61"/>
  <c r="E16" i="61" s="1"/>
  <c r="D74" i="61"/>
  <c r="E74" i="61" s="1"/>
  <c r="D70" i="61"/>
  <c r="E70" i="61" s="1"/>
  <c r="D84" i="61"/>
  <c r="E84" i="61" s="1"/>
  <c r="D54" i="61"/>
  <c r="E54" i="61" s="1"/>
  <c r="I96" i="61"/>
  <c r="D87" i="61"/>
  <c r="E87" i="61" s="1"/>
  <c r="D52" i="61"/>
  <c r="E52" i="61" s="1"/>
  <c r="D2" i="61"/>
  <c r="E2" i="61" s="1"/>
  <c r="D48" i="61"/>
  <c r="E48" i="61" s="1"/>
  <c r="D69" i="61"/>
  <c r="E69" i="61" s="1"/>
  <c r="D21" i="61"/>
  <c r="E21" i="61" s="1"/>
  <c r="AA96" i="61"/>
  <c r="D15" i="61"/>
  <c r="E15" i="61" s="1"/>
  <c r="D23" i="61"/>
  <c r="E23" i="61" s="1"/>
  <c r="D25" i="61"/>
  <c r="E25" i="61" s="1"/>
  <c r="D61" i="61"/>
  <c r="E61" i="61" s="1"/>
  <c r="D95" i="61"/>
  <c r="E95" i="61" s="1"/>
  <c r="D67" i="61"/>
  <c r="E67" i="61" s="1"/>
  <c r="D93" i="61"/>
  <c r="E93" i="61" s="1"/>
  <c r="D3" i="61"/>
  <c r="E3" i="61" s="1"/>
  <c r="D17" i="61"/>
  <c r="E17" i="61" s="1"/>
  <c r="D83" i="61"/>
  <c r="E83" i="61" s="1"/>
  <c r="D19" i="61"/>
  <c r="E19" i="61" s="1"/>
  <c r="D49" i="61"/>
  <c r="E49" i="61" s="1"/>
  <c r="D75" i="61"/>
  <c r="E75" i="61" s="1"/>
  <c r="D9" i="61"/>
  <c r="E9" i="61" s="1"/>
  <c r="D33" i="61"/>
  <c r="E33" i="61" s="1"/>
  <c r="D85" i="61"/>
  <c r="E85" i="61" s="1"/>
  <c r="D79" i="61"/>
  <c r="E79" i="61" s="1"/>
  <c r="D7" i="61"/>
  <c r="E7" i="61" s="1"/>
  <c r="D59" i="61"/>
  <c r="E59" i="61" s="1"/>
  <c r="D51" i="61"/>
  <c r="E51" i="61" s="1"/>
  <c r="D55" i="61"/>
  <c r="E55" i="61" s="1"/>
  <c r="D65" i="61"/>
  <c r="E65" i="61" s="1"/>
  <c r="D6" i="61"/>
  <c r="E6" i="61" s="1"/>
  <c r="D82" i="61"/>
  <c r="E82" i="61" s="1"/>
  <c r="D56" i="61"/>
  <c r="E56" i="61" s="1"/>
  <c r="D10" i="61"/>
  <c r="E10" i="61" s="1"/>
  <c r="D50" i="61"/>
  <c r="E50" i="61" s="1"/>
  <c r="D26" i="61"/>
  <c r="E26" i="61" s="1"/>
  <c r="U96" i="61"/>
  <c r="D24" i="61"/>
  <c r="E24" i="61" s="1"/>
  <c r="D42" i="61"/>
  <c r="E42" i="61" s="1"/>
  <c r="D38" i="61"/>
  <c r="E38" i="61" s="1"/>
  <c r="D92" i="61"/>
  <c r="E92" i="61" s="1"/>
  <c r="D72" i="61"/>
  <c r="E72" i="61" s="1"/>
  <c r="D8" i="61"/>
  <c r="E8" i="61" s="1"/>
  <c r="D32" i="61"/>
  <c r="E32" i="61" s="1"/>
  <c r="D78" i="61"/>
  <c r="E78" i="61" s="1"/>
  <c r="L96" i="61"/>
  <c r="E25" i="58"/>
  <c r="K148" i="28"/>
  <c r="K150" i="28"/>
  <c r="K152" i="28"/>
  <c r="F25" i="58" s="1"/>
  <c r="F155" i="28"/>
  <c r="J150" i="28"/>
  <c r="J152" i="28"/>
  <c r="I150" i="28"/>
  <c r="I152" i="28" s="1"/>
  <c r="H150" i="28"/>
  <c r="H152" i="28"/>
  <c r="G152" i="28"/>
  <c r="F149" i="28"/>
  <c r="F152" i="28" s="1"/>
  <c r="F119" i="28"/>
  <c r="K108" i="28"/>
  <c r="J108" i="28"/>
  <c r="I108" i="28"/>
  <c r="H108" i="28"/>
  <c r="G108" i="28"/>
  <c r="F108" i="28"/>
  <c r="K98" i="28"/>
  <c r="J98" i="28"/>
  <c r="I98" i="28"/>
  <c r="H98" i="28"/>
  <c r="G98" i="28"/>
  <c r="F98" i="28"/>
  <c r="K82" i="28"/>
  <c r="J82" i="28"/>
  <c r="I82" i="28"/>
  <c r="H82" i="28"/>
  <c r="G82" i="28"/>
  <c r="F82" i="28"/>
  <c r="K74" i="28"/>
  <c r="J74" i="28"/>
  <c r="I74" i="28"/>
  <c r="H74" i="28"/>
  <c r="G74" i="28"/>
  <c r="F74" i="28"/>
  <c r="K64" i="28"/>
  <c r="J64" i="28"/>
  <c r="I64" i="28"/>
  <c r="H64" i="28"/>
  <c r="G64" i="28"/>
  <c r="F64" i="28"/>
  <c r="K49" i="28"/>
  <c r="J49" i="28"/>
  <c r="I49" i="28"/>
  <c r="H49" i="28"/>
  <c r="G49" i="28"/>
  <c r="F49" i="28"/>
  <c r="K36" i="28"/>
  <c r="J36" i="28"/>
  <c r="I36" i="28"/>
  <c r="H36" i="28"/>
  <c r="G36" i="28"/>
  <c r="F36" i="28"/>
  <c r="M47" i="58"/>
  <c r="D49" i="60"/>
  <c r="E49" i="60"/>
  <c r="C49" i="60"/>
  <c r="G26" i="60"/>
  <c r="M26" i="58"/>
  <c r="G30" i="60"/>
  <c r="G16" i="60"/>
  <c r="M43" i="58"/>
  <c r="G11" i="60"/>
  <c r="G34" i="60"/>
  <c r="G10" i="60"/>
  <c r="G40" i="60"/>
  <c r="G19" i="60"/>
  <c r="G22" i="60"/>
  <c r="G15" i="60"/>
  <c r="M27" i="58"/>
  <c r="M6" i="58"/>
  <c r="G6" i="60"/>
  <c r="G42" i="60"/>
  <c r="G32" i="60"/>
  <c r="G7" i="60"/>
  <c r="G44" i="60"/>
  <c r="G9" i="60"/>
  <c r="G48" i="60"/>
  <c r="G45" i="60"/>
  <c r="F2" i="60"/>
  <c r="G38" i="60"/>
  <c r="M28" i="58"/>
  <c r="G28" i="60"/>
  <c r="G25" i="60"/>
  <c r="M14" i="58"/>
  <c r="G47" i="60"/>
  <c r="M15" i="58"/>
  <c r="G5" i="60"/>
  <c r="M33" i="58"/>
  <c r="G35" i="60"/>
  <c r="M10" i="58"/>
  <c r="G23" i="60"/>
  <c r="M36" i="58"/>
  <c r="G39" i="60"/>
  <c r="G13" i="60"/>
  <c r="G46" i="60"/>
  <c r="G24" i="60"/>
  <c r="K48" i="58"/>
  <c r="K37" i="58"/>
  <c r="K31" i="58"/>
  <c r="F111" i="29"/>
  <c r="K148" i="29" s="1"/>
  <c r="K26" i="58" s="1"/>
  <c r="K14" i="58"/>
  <c r="F111" i="19"/>
  <c r="K148" i="19" s="1"/>
  <c r="K11" i="58" s="1"/>
  <c r="K10" i="58"/>
  <c r="F114" i="19"/>
  <c r="I22" i="19" s="1"/>
  <c r="H29" i="19"/>
  <c r="I29" i="19"/>
  <c r="J29" i="19"/>
  <c r="J17" i="57" s="1"/>
  <c r="I33" i="19"/>
  <c r="K33" i="19" s="1"/>
  <c r="H41" i="19"/>
  <c r="I41" i="19"/>
  <c r="H42" i="19"/>
  <c r="H49" i="19" s="1"/>
  <c r="H142" i="19" s="1"/>
  <c r="I42" i="19"/>
  <c r="J42" i="19"/>
  <c r="H53" i="19"/>
  <c r="J53" i="19"/>
  <c r="H54" i="19"/>
  <c r="K54" i="19" s="1"/>
  <c r="J54" i="19"/>
  <c r="H55" i="19"/>
  <c r="K55" i="19"/>
  <c r="H56" i="19"/>
  <c r="H57" i="19"/>
  <c r="I57" i="19"/>
  <c r="J57" i="19"/>
  <c r="J64" i="19" s="1"/>
  <c r="H58" i="19"/>
  <c r="I58" i="19"/>
  <c r="J58" i="19"/>
  <c r="H77" i="19"/>
  <c r="J77" i="19"/>
  <c r="I88" i="19"/>
  <c r="K88" i="19" s="1"/>
  <c r="H91" i="19"/>
  <c r="H98" i="19" s="1"/>
  <c r="H146" i="19" s="1"/>
  <c r="J91" i="19"/>
  <c r="H93" i="19"/>
  <c r="I93" i="19"/>
  <c r="J93" i="19"/>
  <c r="I96" i="19"/>
  <c r="H102" i="19"/>
  <c r="J102" i="19"/>
  <c r="H103" i="19"/>
  <c r="H108" i="19" s="1"/>
  <c r="H147" i="19" s="1"/>
  <c r="J103" i="19"/>
  <c r="J108" i="19" s="1"/>
  <c r="J147" i="19" s="1"/>
  <c r="I106" i="19"/>
  <c r="H18" i="19"/>
  <c r="J18" i="19"/>
  <c r="J150" i="19" s="1"/>
  <c r="H21" i="29"/>
  <c r="I21" i="29"/>
  <c r="J21" i="29"/>
  <c r="H22" i="29"/>
  <c r="I22" i="29"/>
  <c r="J22" i="29"/>
  <c r="J10" i="57" s="1"/>
  <c r="H23" i="29"/>
  <c r="F114" i="29"/>
  <c r="I27" i="29" s="1"/>
  <c r="K27" i="29" s="1"/>
  <c r="J23" i="29"/>
  <c r="J11" i="57" s="1"/>
  <c r="H24" i="29"/>
  <c r="K24" i="29" s="1"/>
  <c r="I24" i="29"/>
  <c r="H25" i="29"/>
  <c r="I25" i="29"/>
  <c r="J25" i="29"/>
  <c r="J13" i="57" s="1"/>
  <c r="I26" i="29"/>
  <c r="K26" i="29" s="1"/>
  <c r="H30" i="29"/>
  <c r="K30" i="29" s="1"/>
  <c r="I30" i="29"/>
  <c r="J30" i="29"/>
  <c r="J18" i="57" s="1"/>
  <c r="I33" i="29"/>
  <c r="K33" i="29" s="1"/>
  <c r="H41" i="29"/>
  <c r="I41" i="29"/>
  <c r="J41" i="29"/>
  <c r="J26" i="57" s="1"/>
  <c r="J42" i="29"/>
  <c r="K42" i="29"/>
  <c r="H43" i="29"/>
  <c r="I43" i="29"/>
  <c r="J43" i="29"/>
  <c r="J28" i="57" s="1"/>
  <c r="H44" i="29"/>
  <c r="H29" i="57" s="1"/>
  <c r="I44" i="29"/>
  <c r="J44" i="29"/>
  <c r="J29" i="57" s="1"/>
  <c r="H53" i="29"/>
  <c r="I53" i="29" s="1"/>
  <c r="J53" i="29"/>
  <c r="H54" i="29"/>
  <c r="I54" i="29" s="1"/>
  <c r="H55" i="29"/>
  <c r="J55" i="29"/>
  <c r="H56" i="29"/>
  <c r="H57" i="29"/>
  <c r="H58" i="29"/>
  <c r="I58" i="29"/>
  <c r="H59" i="29"/>
  <c r="I59" i="29"/>
  <c r="J59" i="29"/>
  <c r="H60" i="29"/>
  <c r="I60" i="29" s="1"/>
  <c r="H61" i="29"/>
  <c r="I61" i="29" s="1"/>
  <c r="J62" i="29"/>
  <c r="H77" i="29"/>
  <c r="H82" i="29" s="1"/>
  <c r="H145" i="29" s="1"/>
  <c r="I77" i="29"/>
  <c r="J77" i="29"/>
  <c r="I86" i="29"/>
  <c r="K86" i="29" s="1"/>
  <c r="H87" i="29"/>
  <c r="K87" i="29" s="1"/>
  <c r="I87" i="29"/>
  <c r="J87" i="29"/>
  <c r="J60" i="57" s="1"/>
  <c r="H88" i="29"/>
  <c r="I88" i="29"/>
  <c r="J88" i="29"/>
  <c r="J61" i="57" s="1"/>
  <c r="I90" i="29"/>
  <c r="K90" i="29" s="1"/>
  <c r="H91" i="29"/>
  <c r="I91" i="29"/>
  <c r="J91" i="29"/>
  <c r="H92" i="29"/>
  <c r="I92" i="29"/>
  <c r="J92" i="29"/>
  <c r="J65" i="57" s="1"/>
  <c r="H93" i="29"/>
  <c r="I93" i="29"/>
  <c r="J93" i="29"/>
  <c r="I95" i="29"/>
  <c r="K95" i="29" s="1"/>
  <c r="H102" i="29"/>
  <c r="I102" i="29"/>
  <c r="J102" i="29"/>
  <c r="H103" i="29"/>
  <c r="K103" i="29" s="1"/>
  <c r="I103" i="29"/>
  <c r="J103" i="29"/>
  <c r="I104" i="29"/>
  <c r="K104" i="29" s="1"/>
  <c r="I106" i="29"/>
  <c r="K106" i="29" s="1"/>
  <c r="H18" i="29"/>
  <c r="J18" i="29"/>
  <c r="K18" i="29"/>
  <c r="K150" i="29" s="1"/>
  <c r="F121" i="29"/>
  <c r="E26" i="58" s="1"/>
  <c r="F31" i="58"/>
  <c r="F48" i="58"/>
  <c r="F121" i="19"/>
  <c r="E11" i="58"/>
  <c r="E31" i="58"/>
  <c r="E48" i="58"/>
  <c r="F37" i="58"/>
  <c r="F14" i="58"/>
  <c r="E47" i="58"/>
  <c r="E46" i="58"/>
  <c r="E45" i="58"/>
  <c r="E44" i="58"/>
  <c r="E43" i="58"/>
  <c r="E41" i="58"/>
  <c r="E40" i="58"/>
  <c r="E39" i="58"/>
  <c r="E37" i="58"/>
  <c r="E36" i="58"/>
  <c r="E35" i="58"/>
  <c r="E34" i="58"/>
  <c r="E33" i="58"/>
  <c r="E32" i="58"/>
  <c r="E30" i="58"/>
  <c r="E29" i="58"/>
  <c r="E28" i="58"/>
  <c r="E27" i="58"/>
  <c r="E24" i="58"/>
  <c r="E23" i="58"/>
  <c r="E22" i="58"/>
  <c r="E21" i="58"/>
  <c r="E20" i="58"/>
  <c r="E19" i="58"/>
  <c r="E18" i="58"/>
  <c r="E17" i="58"/>
  <c r="E15" i="58"/>
  <c r="E14" i="58"/>
  <c r="E13" i="58"/>
  <c r="E12" i="58"/>
  <c r="E10" i="58"/>
  <c r="E9" i="58"/>
  <c r="E8" i="58"/>
  <c r="E7" i="58"/>
  <c r="E6" i="58"/>
  <c r="E5" i="58"/>
  <c r="E4" i="58"/>
  <c r="C3" i="58"/>
  <c r="C4" i="58"/>
  <c r="E3" i="58"/>
  <c r="F21" i="29"/>
  <c r="F22" i="29"/>
  <c r="F23" i="29"/>
  <c r="F24" i="29"/>
  <c r="F25" i="29"/>
  <c r="F29" i="29"/>
  <c r="F30" i="29"/>
  <c r="F41" i="29"/>
  <c r="F49" i="29" s="1"/>
  <c r="F142" i="29" s="1"/>
  <c r="F43" i="29"/>
  <c r="F44" i="29"/>
  <c r="F29" i="57" s="1"/>
  <c r="F53" i="29"/>
  <c r="F55" i="29"/>
  <c r="F64" i="29" s="1"/>
  <c r="F143" i="29" s="1"/>
  <c r="F59" i="29"/>
  <c r="F60" i="29"/>
  <c r="F77" i="29"/>
  <c r="F82" i="29" s="1"/>
  <c r="F145" i="29" s="1"/>
  <c r="F87" i="29"/>
  <c r="F88" i="29"/>
  <c r="F91" i="29"/>
  <c r="F92" i="29"/>
  <c r="F93" i="29"/>
  <c r="F102" i="29"/>
  <c r="F103" i="29"/>
  <c r="F29" i="19"/>
  <c r="F17" i="57" s="1"/>
  <c r="F36" i="19"/>
  <c r="F141" i="19" s="1"/>
  <c r="F41" i="19"/>
  <c r="F42" i="19"/>
  <c r="F49" i="19"/>
  <c r="F142" i="19" s="1"/>
  <c r="F53" i="19"/>
  <c r="F64" i="19" s="1"/>
  <c r="F54" i="19"/>
  <c r="F77" i="19"/>
  <c r="F82" i="19"/>
  <c r="F145" i="19" s="1"/>
  <c r="F91" i="19"/>
  <c r="F93" i="19"/>
  <c r="F102" i="19"/>
  <c r="F103" i="19"/>
  <c r="C12" i="58"/>
  <c r="C13" i="58"/>
  <c r="C7" i="19"/>
  <c r="C11" i="58" s="1"/>
  <c r="C5" i="58"/>
  <c r="C6" i="58"/>
  <c r="C7" i="58"/>
  <c r="C48" i="58"/>
  <c r="C47" i="58"/>
  <c r="C46" i="58"/>
  <c r="C45" i="58"/>
  <c r="C44" i="58"/>
  <c r="C43" i="58"/>
  <c r="C42" i="58"/>
  <c r="C41" i="58"/>
  <c r="C40" i="58"/>
  <c r="C39" i="58"/>
  <c r="C38" i="58"/>
  <c r="C37" i="58"/>
  <c r="C36" i="58"/>
  <c r="C35" i="58"/>
  <c r="C34" i="58"/>
  <c r="C33" i="58"/>
  <c r="C32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0" i="58"/>
  <c r="C9" i="58"/>
  <c r="C8" i="58"/>
  <c r="C2" i="58"/>
  <c r="G103" i="19"/>
  <c r="G103" i="29"/>
  <c r="G92" i="29"/>
  <c r="G91" i="19"/>
  <c r="G91" i="29"/>
  <c r="G87" i="29"/>
  <c r="J49" i="19"/>
  <c r="J142" i="19"/>
  <c r="J49" i="29"/>
  <c r="J142" i="29" s="1"/>
  <c r="G30" i="29"/>
  <c r="G24" i="29"/>
  <c r="G102" i="19"/>
  <c r="G102" i="29"/>
  <c r="G108" i="29" s="1"/>
  <c r="G147" i="29" s="1"/>
  <c r="G23" i="29"/>
  <c r="J108" i="29"/>
  <c r="J147" i="29"/>
  <c r="G29" i="19"/>
  <c r="G36" i="19"/>
  <c r="G141" i="19" s="1"/>
  <c r="G21" i="29"/>
  <c r="G22" i="29"/>
  <c r="G25" i="29"/>
  <c r="H36" i="19"/>
  <c r="H141" i="19" s="1"/>
  <c r="H97" i="57"/>
  <c r="H110" i="57" s="1"/>
  <c r="D115" i="57"/>
  <c r="G97" i="57"/>
  <c r="G110" i="57" s="1"/>
  <c r="C10" i="56" s="1"/>
  <c r="K150" i="45"/>
  <c r="J150" i="45"/>
  <c r="I150" i="45"/>
  <c r="H150" i="45"/>
  <c r="K148" i="45"/>
  <c r="K46" i="58" s="1"/>
  <c r="J147" i="45"/>
  <c r="H146" i="45"/>
  <c r="F145" i="45"/>
  <c r="J143" i="45"/>
  <c r="I142" i="45"/>
  <c r="J141" i="45"/>
  <c r="G141" i="45"/>
  <c r="K137" i="45"/>
  <c r="K149" i="45" s="1"/>
  <c r="J137" i="45"/>
  <c r="J149" i="45"/>
  <c r="I137" i="45"/>
  <c r="I149" i="45"/>
  <c r="H137" i="45"/>
  <c r="H149" i="45" s="1"/>
  <c r="G137" i="45"/>
  <c r="G149" i="45" s="1"/>
  <c r="F137" i="45"/>
  <c r="F149" i="45"/>
  <c r="F119" i="45"/>
  <c r="K108" i="45"/>
  <c r="K147" i="45" s="1"/>
  <c r="J108" i="45"/>
  <c r="I108" i="45"/>
  <c r="I147" i="45" s="1"/>
  <c r="H108" i="45"/>
  <c r="H147" i="45" s="1"/>
  <c r="G108" i="45"/>
  <c r="G147" i="45" s="1"/>
  <c r="F108" i="45"/>
  <c r="F147" i="45" s="1"/>
  <c r="K98" i="45"/>
  <c r="K146" i="45" s="1"/>
  <c r="J98" i="45"/>
  <c r="J146" i="45" s="1"/>
  <c r="I98" i="45"/>
  <c r="I146" i="45" s="1"/>
  <c r="H98" i="45"/>
  <c r="G98" i="45"/>
  <c r="G146" i="45" s="1"/>
  <c r="F98" i="45"/>
  <c r="F146" i="45" s="1"/>
  <c r="K82" i="45"/>
  <c r="K145" i="45" s="1"/>
  <c r="J82" i="45"/>
  <c r="J145" i="45" s="1"/>
  <c r="I82" i="45"/>
  <c r="I145" i="45" s="1"/>
  <c r="H82" i="45"/>
  <c r="H145" i="45" s="1"/>
  <c r="G82" i="45"/>
  <c r="G145" i="45" s="1"/>
  <c r="F82" i="45"/>
  <c r="K74" i="45"/>
  <c r="K144" i="45" s="1"/>
  <c r="J74" i="45"/>
  <c r="J144" i="45" s="1"/>
  <c r="I74" i="45"/>
  <c r="I144" i="45" s="1"/>
  <c r="H74" i="45"/>
  <c r="H144" i="45" s="1"/>
  <c r="G74" i="45"/>
  <c r="G144" i="45" s="1"/>
  <c r="F74" i="45"/>
  <c r="F144" i="45" s="1"/>
  <c r="K64" i="45"/>
  <c r="K143" i="45" s="1"/>
  <c r="J64" i="45"/>
  <c r="I64" i="45"/>
  <c r="I143" i="45" s="1"/>
  <c r="H64" i="45"/>
  <c r="H143" i="45" s="1"/>
  <c r="G64" i="45"/>
  <c r="G143" i="45" s="1"/>
  <c r="F64" i="45"/>
  <c r="F143" i="45" s="1"/>
  <c r="K49" i="45"/>
  <c r="K142" i="45" s="1"/>
  <c r="J49" i="45"/>
  <c r="J142" i="45" s="1"/>
  <c r="J152" i="45"/>
  <c r="I49" i="45"/>
  <c r="H49" i="45"/>
  <c r="H142" i="45" s="1"/>
  <c r="G49" i="45"/>
  <c r="G142" i="45"/>
  <c r="F49" i="45"/>
  <c r="F142" i="45"/>
  <c r="K36" i="45"/>
  <c r="K141" i="45" s="1"/>
  <c r="J36" i="45"/>
  <c r="I36" i="45"/>
  <c r="I141" i="45" s="1"/>
  <c r="H36" i="45"/>
  <c r="H141" i="45" s="1"/>
  <c r="H152" i="45" s="1"/>
  <c r="G36" i="45"/>
  <c r="F36" i="45"/>
  <c r="F141" i="45" s="1"/>
  <c r="F152" i="45" s="1"/>
  <c r="K150" i="43"/>
  <c r="J150" i="43"/>
  <c r="I150" i="43"/>
  <c r="H150" i="43"/>
  <c r="H149" i="43"/>
  <c r="K148" i="43"/>
  <c r="K41" i="58" s="1"/>
  <c r="J147" i="43"/>
  <c r="G147" i="43"/>
  <c r="H146" i="43"/>
  <c r="J145" i="43"/>
  <c r="F145" i="43"/>
  <c r="I144" i="43"/>
  <c r="J143" i="43"/>
  <c r="F143" i="43"/>
  <c r="K137" i="43"/>
  <c r="K149" i="43" s="1"/>
  <c r="J137" i="43"/>
  <c r="J149" i="43"/>
  <c r="I137" i="43"/>
  <c r="I149" i="43"/>
  <c r="H137" i="43"/>
  <c r="G137" i="43"/>
  <c r="G149" i="43" s="1"/>
  <c r="F137" i="43"/>
  <c r="F149" i="43"/>
  <c r="F119" i="43"/>
  <c r="K108" i="43"/>
  <c r="K147" i="43" s="1"/>
  <c r="J108" i="43"/>
  <c r="I108" i="43"/>
  <c r="I147" i="43" s="1"/>
  <c r="H108" i="43"/>
  <c r="H147" i="43" s="1"/>
  <c r="G108" i="43"/>
  <c r="F108" i="43"/>
  <c r="F147" i="43" s="1"/>
  <c r="K98" i="43"/>
  <c r="K146" i="43" s="1"/>
  <c r="J98" i="43"/>
  <c r="J146" i="43" s="1"/>
  <c r="I98" i="43"/>
  <c r="I146" i="43" s="1"/>
  <c r="H98" i="43"/>
  <c r="G98" i="43"/>
  <c r="G146" i="43" s="1"/>
  <c r="F98" i="43"/>
  <c r="F146" i="43" s="1"/>
  <c r="K82" i="43"/>
  <c r="K145" i="43" s="1"/>
  <c r="J82" i="43"/>
  <c r="I82" i="43"/>
  <c r="I145" i="43" s="1"/>
  <c r="H82" i="43"/>
  <c r="H145" i="43" s="1"/>
  <c r="G82" i="43"/>
  <c r="G145" i="43" s="1"/>
  <c r="F82" i="43"/>
  <c r="K74" i="43"/>
  <c r="K144" i="43" s="1"/>
  <c r="J74" i="43"/>
  <c r="J144" i="43" s="1"/>
  <c r="I74" i="43"/>
  <c r="H74" i="43"/>
  <c r="H144" i="43" s="1"/>
  <c r="G74" i="43"/>
  <c r="G144" i="43" s="1"/>
  <c r="F74" i="43"/>
  <c r="F144" i="43" s="1"/>
  <c r="K64" i="43"/>
  <c r="K143" i="43" s="1"/>
  <c r="J64" i="43"/>
  <c r="I64" i="43"/>
  <c r="I143" i="43" s="1"/>
  <c r="H64" i="43"/>
  <c r="H143" i="43" s="1"/>
  <c r="G64" i="43"/>
  <c r="G143" i="43" s="1"/>
  <c r="F64" i="43"/>
  <c r="K49" i="43"/>
  <c r="K142" i="43" s="1"/>
  <c r="J49" i="43"/>
  <c r="J142" i="43" s="1"/>
  <c r="I49" i="43"/>
  <c r="I142" i="43" s="1"/>
  <c r="H49" i="43"/>
  <c r="H142" i="43" s="1"/>
  <c r="G49" i="43"/>
  <c r="G142" i="43"/>
  <c r="F49" i="43"/>
  <c r="F142" i="43"/>
  <c r="K36" i="43"/>
  <c r="K141" i="43" s="1"/>
  <c r="K152" i="43" s="1"/>
  <c r="J36" i="43"/>
  <c r="J141" i="43" s="1"/>
  <c r="J152" i="43" s="1"/>
  <c r="I36" i="43"/>
  <c r="I141" i="43" s="1"/>
  <c r="H36" i="43"/>
  <c r="H141" i="43" s="1"/>
  <c r="H152" i="43" s="1"/>
  <c r="G36" i="43"/>
  <c r="G141" i="43"/>
  <c r="F36" i="43"/>
  <c r="F141" i="43" s="1"/>
  <c r="F152" i="43" s="1"/>
  <c r="G93" i="19"/>
  <c r="G93" i="29"/>
  <c r="G88" i="29"/>
  <c r="G77" i="19"/>
  <c r="G77" i="29"/>
  <c r="G82" i="29" s="1"/>
  <c r="G145" i="29" s="1"/>
  <c r="G44" i="29"/>
  <c r="G29" i="57" s="1"/>
  <c r="G43" i="29"/>
  <c r="G42" i="19"/>
  <c r="G41" i="19"/>
  <c r="G41" i="29"/>
  <c r="K150" i="37"/>
  <c r="J150" i="37"/>
  <c r="I150" i="37"/>
  <c r="H150" i="37"/>
  <c r="K148" i="37"/>
  <c r="K36" i="58" s="1"/>
  <c r="J147" i="37"/>
  <c r="J145" i="37"/>
  <c r="J143" i="37"/>
  <c r="F143" i="37"/>
  <c r="H142" i="37"/>
  <c r="F141" i="37"/>
  <c r="K137" i="37"/>
  <c r="K149" i="37" s="1"/>
  <c r="J137" i="37"/>
  <c r="J149" i="37" s="1"/>
  <c r="I137" i="37"/>
  <c r="I149" i="37" s="1"/>
  <c r="H137" i="37"/>
  <c r="H149" i="37" s="1"/>
  <c r="G137" i="37"/>
  <c r="G149" i="37" s="1"/>
  <c r="F137" i="37"/>
  <c r="F149" i="37"/>
  <c r="F119" i="37"/>
  <c r="K108" i="37"/>
  <c r="K147" i="37" s="1"/>
  <c r="J108" i="37"/>
  <c r="I108" i="37"/>
  <c r="I147" i="37"/>
  <c r="H108" i="37"/>
  <c r="H147" i="37"/>
  <c r="G108" i="37"/>
  <c r="G147" i="37"/>
  <c r="F108" i="37"/>
  <c r="F147" i="37" s="1"/>
  <c r="K98" i="37"/>
  <c r="K146" i="37" s="1"/>
  <c r="J98" i="37"/>
  <c r="J146" i="37" s="1"/>
  <c r="I98" i="37"/>
  <c r="I146" i="37" s="1"/>
  <c r="H98" i="37"/>
  <c r="H146" i="37" s="1"/>
  <c r="G98" i="37"/>
  <c r="G146" i="37"/>
  <c r="F98" i="37"/>
  <c r="F146" i="37"/>
  <c r="K82" i="37"/>
  <c r="K145" i="37"/>
  <c r="J82" i="37"/>
  <c r="I82" i="37"/>
  <c r="I145" i="37" s="1"/>
  <c r="H82" i="37"/>
  <c r="H145" i="37" s="1"/>
  <c r="G82" i="37"/>
  <c r="G145" i="37" s="1"/>
  <c r="F82" i="37"/>
  <c r="F145" i="37" s="1"/>
  <c r="K74" i="37"/>
  <c r="K144" i="37"/>
  <c r="J74" i="37"/>
  <c r="J144" i="37"/>
  <c r="I74" i="37"/>
  <c r="I144" i="37"/>
  <c r="H74" i="37"/>
  <c r="H144" i="37" s="1"/>
  <c r="G74" i="37"/>
  <c r="G144" i="37" s="1"/>
  <c r="F74" i="37"/>
  <c r="F144" i="37" s="1"/>
  <c r="F152" i="37" s="1"/>
  <c r="K64" i="37"/>
  <c r="K143" i="37" s="1"/>
  <c r="J64" i="37"/>
  <c r="I64" i="37"/>
  <c r="I143" i="37"/>
  <c r="H64" i="37"/>
  <c r="H143" i="37"/>
  <c r="G64" i="37"/>
  <c r="G143" i="37"/>
  <c r="F64" i="37"/>
  <c r="K49" i="37"/>
  <c r="K142" i="37" s="1"/>
  <c r="J49" i="37"/>
  <c r="J142" i="37" s="1"/>
  <c r="I49" i="37"/>
  <c r="I142" i="37" s="1"/>
  <c r="H49" i="37"/>
  <c r="G49" i="37"/>
  <c r="G142" i="37"/>
  <c r="F49" i="37"/>
  <c r="F142" i="37"/>
  <c r="K36" i="37"/>
  <c r="K141" i="37"/>
  <c r="J36" i="37"/>
  <c r="J141" i="37" s="1"/>
  <c r="J152" i="37" s="1"/>
  <c r="I36" i="37"/>
  <c r="I141" i="37" s="1"/>
  <c r="H36" i="37"/>
  <c r="H141" i="37" s="1"/>
  <c r="G36" i="37"/>
  <c r="G141" i="37"/>
  <c r="F36" i="37"/>
  <c r="K152" i="18"/>
  <c r="J152" i="18"/>
  <c r="I152" i="18"/>
  <c r="H152" i="18"/>
  <c r="G152" i="18"/>
  <c r="F152" i="18"/>
  <c r="K137" i="18"/>
  <c r="J137" i="18"/>
  <c r="I137" i="18"/>
  <c r="H137" i="18"/>
  <c r="G137" i="18"/>
  <c r="F137" i="18"/>
  <c r="F119" i="18"/>
  <c r="F123" i="18"/>
  <c r="F127" i="18" s="1"/>
  <c r="K108" i="18"/>
  <c r="J108" i="18"/>
  <c r="I108" i="18"/>
  <c r="H108" i="18"/>
  <c r="G108" i="18"/>
  <c r="F108" i="18"/>
  <c r="K98" i="18"/>
  <c r="J98" i="18"/>
  <c r="I98" i="18"/>
  <c r="H98" i="18"/>
  <c r="G98" i="18"/>
  <c r="F98" i="18"/>
  <c r="K82" i="18"/>
  <c r="J82" i="18"/>
  <c r="I82" i="18"/>
  <c r="H82" i="18"/>
  <c r="G82" i="18"/>
  <c r="F82" i="18"/>
  <c r="K74" i="18"/>
  <c r="J74" i="18"/>
  <c r="I74" i="18"/>
  <c r="H74" i="18"/>
  <c r="G74" i="18"/>
  <c r="F74" i="18"/>
  <c r="K64" i="18"/>
  <c r="J64" i="18"/>
  <c r="I64" i="18"/>
  <c r="H64" i="18"/>
  <c r="G64" i="18"/>
  <c r="F64" i="18"/>
  <c r="K49" i="18"/>
  <c r="J49" i="18"/>
  <c r="I49" i="18"/>
  <c r="H49" i="18"/>
  <c r="G49" i="18"/>
  <c r="F49" i="18"/>
  <c r="K36" i="18"/>
  <c r="J36" i="18"/>
  <c r="I36" i="18"/>
  <c r="H36" i="18"/>
  <c r="G36" i="18"/>
  <c r="F36" i="18"/>
  <c r="J150" i="29"/>
  <c r="E38" i="58"/>
  <c r="I6" i="57"/>
  <c r="I111" i="57" s="1"/>
  <c r="I82" i="29"/>
  <c r="I145" i="29" s="1"/>
  <c r="H150" i="19"/>
  <c r="H150" i="29"/>
  <c r="J97" i="57"/>
  <c r="L110" i="57" s="1"/>
  <c r="F97" i="57"/>
  <c r="F110" i="57" s="1"/>
  <c r="B10" i="56" s="1"/>
  <c r="I152" i="43"/>
  <c r="J82" i="19"/>
  <c r="J145" i="19" s="1"/>
  <c r="J82" i="29"/>
  <c r="J145" i="29" s="1"/>
  <c r="H98" i="29"/>
  <c r="H146" i="29" s="1"/>
  <c r="I152" i="37"/>
  <c r="G82" i="19"/>
  <c r="G145" i="19"/>
  <c r="H82" i="19"/>
  <c r="H145" i="19" s="1"/>
  <c r="G53" i="19"/>
  <c r="G54" i="19"/>
  <c r="G53" i="29"/>
  <c r="G55" i="29"/>
  <c r="G64" i="29" s="1"/>
  <c r="G143" i="29" s="1"/>
  <c r="G59" i="29"/>
  <c r="G60" i="29"/>
  <c r="K38" i="58"/>
  <c r="K150" i="32"/>
  <c r="J150" i="32"/>
  <c r="I150" i="32"/>
  <c r="H150" i="32"/>
  <c r="H149" i="32"/>
  <c r="K148" i="32"/>
  <c r="K29" i="58" s="1"/>
  <c r="K147" i="32"/>
  <c r="I146" i="32"/>
  <c r="G145" i="32"/>
  <c r="K143" i="32"/>
  <c r="I142" i="32"/>
  <c r="I152" i="32" s="1"/>
  <c r="F141" i="32"/>
  <c r="K137" i="32"/>
  <c r="K149" i="32" s="1"/>
  <c r="J137" i="32"/>
  <c r="J149" i="32" s="1"/>
  <c r="I137" i="32"/>
  <c r="I149" i="32" s="1"/>
  <c r="H137" i="32"/>
  <c r="G137" i="32"/>
  <c r="G149" i="32" s="1"/>
  <c r="F137" i="32"/>
  <c r="F149" i="32" s="1"/>
  <c r="F119" i="32"/>
  <c r="K108" i="32"/>
  <c r="J108" i="32"/>
  <c r="J147" i="32" s="1"/>
  <c r="I108" i="32"/>
  <c r="I147" i="32"/>
  <c r="H108" i="32"/>
  <c r="H147" i="32"/>
  <c r="G108" i="32"/>
  <c r="G147" i="32" s="1"/>
  <c r="F108" i="32"/>
  <c r="F147" i="32" s="1"/>
  <c r="K98" i="32"/>
  <c r="K146" i="32"/>
  <c r="J98" i="32"/>
  <c r="J146" i="32"/>
  <c r="I98" i="32"/>
  <c r="H98" i="32"/>
  <c r="H146" i="32" s="1"/>
  <c r="G98" i="32"/>
  <c r="G146" i="32"/>
  <c r="F98" i="32"/>
  <c r="F146" i="32"/>
  <c r="K82" i="32"/>
  <c r="K145" i="32" s="1"/>
  <c r="J82" i="32"/>
  <c r="J145" i="32" s="1"/>
  <c r="I82" i="32"/>
  <c r="I145" i="32"/>
  <c r="H82" i="32"/>
  <c r="H145" i="32"/>
  <c r="G82" i="32"/>
  <c r="F82" i="32"/>
  <c r="F145" i="32" s="1"/>
  <c r="K74" i="32"/>
  <c r="K144" i="32"/>
  <c r="J74" i="32"/>
  <c r="J144" i="32"/>
  <c r="I74" i="32"/>
  <c r="I144" i="32" s="1"/>
  <c r="H74" i="32"/>
  <c r="H144" i="32" s="1"/>
  <c r="G74" i="32"/>
  <c r="G144" i="32"/>
  <c r="F74" i="32"/>
  <c r="F144" i="32"/>
  <c r="K64" i="32"/>
  <c r="J64" i="32"/>
  <c r="J143" i="32" s="1"/>
  <c r="I64" i="32"/>
  <c r="I143" i="32"/>
  <c r="H64" i="32"/>
  <c r="H143" i="32"/>
  <c r="G64" i="32"/>
  <c r="G143" i="32" s="1"/>
  <c r="F64" i="32"/>
  <c r="F143" i="32" s="1"/>
  <c r="K49" i="32"/>
  <c r="K142" i="32"/>
  <c r="J49" i="32"/>
  <c r="J142" i="32"/>
  <c r="I49" i="32"/>
  <c r="H49" i="32"/>
  <c r="H142" i="32" s="1"/>
  <c r="G49" i="32"/>
  <c r="G142" i="32" s="1"/>
  <c r="F49" i="32"/>
  <c r="F142" i="32" s="1"/>
  <c r="F152" i="32" s="1"/>
  <c r="K36" i="32"/>
  <c r="K141" i="32" s="1"/>
  <c r="J36" i="32"/>
  <c r="J141" i="32" s="1"/>
  <c r="I36" i="32"/>
  <c r="I141" i="32"/>
  <c r="H36" i="32"/>
  <c r="H141" i="32"/>
  <c r="G36" i="32"/>
  <c r="G141" i="32" s="1"/>
  <c r="G152" i="32" s="1"/>
  <c r="F36" i="32"/>
  <c r="K150" i="30"/>
  <c r="J150" i="30"/>
  <c r="I150" i="30"/>
  <c r="H150" i="30"/>
  <c r="K149" i="30"/>
  <c r="H149" i="30"/>
  <c r="G149" i="30"/>
  <c r="K148" i="30"/>
  <c r="K27" i="58" s="1"/>
  <c r="K147" i="30"/>
  <c r="I146" i="30"/>
  <c r="G145" i="30"/>
  <c r="G152" i="30" s="1"/>
  <c r="J143" i="30"/>
  <c r="I142" i="30"/>
  <c r="K141" i="30"/>
  <c r="F141" i="30"/>
  <c r="F152" i="30" s="1"/>
  <c r="K137" i="30"/>
  <c r="J137" i="30"/>
  <c r="J149" i="30"/>
  <c r="I137" i="30"/>
  <c r="I149" i="30" s="1"/>
  <c r="H137" i="30"/>
  <c r="G137" i="30"/>
  <c r="F137" i="30"/>
  <c r="F149" i="30" s="1"/>
  <c r="F119" i="30"/>
  <c r="K108" i="30"/>
  <c r="J108" i="30"/>
  <c r="J147" i="30" s="1"/>
  <c r="I108" i="30"/>
  <c r="I147" i="30" s="1"/>
  <c r="H108" i="30"/>
  <c r="H147" i="30" s="1"/>
  <c r="G108" i="30"/>
  <c r="G147" i="30" s="1"/>
  <c r="F108" i="30"/>
  <c r="F147" i="30" s="1"/>
  <c r="K98" i="30"/>
  <c r="K146" i="30" s="1"/>
  <c r="J98" i="30"/>
  <c r="J146" i="30" s="1"/>
  <c r="I98" i="30"/>
  <c r="H98" i="30"/>
  <c r="H146" i="30" s="1"/>
  <c r="G98" i="30"/>
  <c r="G146" i="30" s="1"/>
  <c r="F98" i="30"/>
  <c r="F146" i="30" s="1"/>
  <c r="K82" i="30"/>
  <c r="K145" i="30" s="1"/>
  <c r="J82" i="30"/>
  <c r="J145" i="30" s="1"/>
  <c r="I82" i="30"/>
  <c r="I145" i="30" s="1"/>
  <c r="H82" i="30"/>
  <c r="H145" i="30" s="1"/>
  <c r="G82" i="30"/>
  <c r="F82" i="30"/>
  <c r="F145" i="30" s="1"/>
  <c r="K74" i="30"/>
  <c r="K144" i="30" s="1"/>
  <c r="J74" i="30"/>
  <c r="J144" i="30" s="1"/>
  <c r="I74" i="30"/>
  <c r="I144" i="30" s="1"/>
  <c r="H74" i="30"/>
  <c r="H144" i="30" s="1"/>
  <c r="G74" i="30"/>
  <c r="G144" i="30" s="1"/>
  <c r="F74" i="30"/>
  <c r="F144" i="30" s="1"/>
  <c r="K64" i="30"/>
  <c r="K143" i="30" s="1"/>
  <c r="J64" i="30"/>
  <c r="I64" i="30"/>
  <c r="I143" i="30" s="1"/>
  <c r="H64" i="30"/>
  <c r="H143" i="30" s="1"/>
  <c r="G64" i="30"/>
  <c r="G143" i="30" s="1"/>
  <c r="F64" i="30"/>
  <c r="F143" i="30" s="1"/>
  <c r="K49" i="30"/>
  <c r="K142" i="30" s="1"/>
  <c r="J49" i="30"/>
  <c r="J142" i="30" s="1"/>
  <c r="I49" i="30"/>
  <c r="H49" i="30"/>
  <c r="H142" i="30" s="1"/>
  <c r="G49" i="30"/>
  <c r="G142" i="30" s="1"/>
  <c r="F49" i="30"/>
  <c r="F142" i="30" s="1"/>
  <c r="K36" i="30"/>
  <c r="J36" i="30"/>
  <c r="J141" i="30" s="1"/>
  <c r="I36" i="30"/>
  <c r="I141" i="30" s="1"/>
  <c r="H36" i="30"/>
  <c r="H141" i="30"/>
  <c r="G36" i="30"/>
  <c r="G141" i="30" s="1"/>
  <c r="F36" i="30"/>
  <c r="K150" i="27"/>
  <c r="J150" i="27"/>
  <c r="I150" i="27"/>
  <c r="H150" i="27"/>
  <c r="F149" i="27"/>
  <c r="K148" i="27"/>
  <c r="K24" i="58" s="1"/>
  <c r="K147" i="27"/>
  <c r="G147" i="27"/>
  <c r="K145" i="27"/>
  <c r="G145" i="27"/>
  <c r="I144" i="27"/>
  <c r="G143" i="27"/>
  <c r="I142" i="27"/>
  <c r="K141" i="27"/>
  <c r="G141" i="27"/>
  <c r="K137" i="27"/>
  <c r="K149" i="27"/>
  <c r="J137" i="27"/>
  <c r="J149" i="27" s="1"/>
  <c r="I137" i="27"/>
  <c r="I149" i="27" s="1"/>
  <c r="H137" i="27"/>
  <c r="H149" i="27" s="1"/>
  <c r="G137" i="27"/>
  <c r="G149" i="27"/>
  <c r="F137" i="27"/>
  <c r="F119" i="27"/>
  <c r="K108" i="27"/>
  <c r="J108" i="27"/>
  <c r="J147" i="27" s="1"/>
  <c r="I108" i="27"/>
  <c r="I147" i="27" s="1"/>
  <c r="H108" i="27"/>
  <c r="H147" i="27" s="1"/>
  <c r="G108" i="27"/>
  <c r="F108" i="27"/>
  <c r="F147" i="27"/>
  <c r="K98" i="27"/>
  <c r="K146" i="27" s="1"/>
  <c r="J98" i="27"/>
  <c r="J146" i="27"/>
  <c r="I98" i="27"/>
  <c r="I146" i="27" s="1"/>
  <c r="H98" i="27"/>
  <c r="H146" i="27" s="1"/>
  <c r="G98" i="27"/>
  <c r="G146" i="27" s="1"/>
  <c r="F98" i="27"/>
  <c r="F146" i="27"/>
  <c r="K82" i="27"/>
  <c r="J82" i="27"/>
  <c r="J145" i="27" s="1"/>
  <c r="I82" i="27"/>
  <c r="I145" i="27" s="1"/>
  <c r="H82" i="27"/>
  <c r="H145" i="27"/>
  <c r="G82" i="27"/>
  <c r="F82" i="27"/>
  <c r="F145" i="27" s="1"/>
  <c r="K74" i="27"/>
  <c r="K144" i="27" s="1"/>
  <c r="J74" i="27"/>
  <c r="J144" i="27" s="1"/>
  <c r="I74" i="27"/>
  <c r="H74" i="27"/>
  <c r="H144" i="27"/>
  <c r="G74" i="27"/>
  <c r="G144" i="27" s="1"/>
  <c r="F74" i="27"/>
  <c r="F144" i="27"/>
  <c r="K64" i="27"/>
  <c r="K143" i="27" s="1"/>
  <c r="J64" i="27"/>
  <c r="J143" i="27" s="1"/>
  <c r="I64" i="27"/>
  <c r="I143" i="27" s="1"/>
  <c r="H64" i="27"/>
  <c r="H143" i="27"/>
  <c r="G64" i="27"/>
  <c r="F64" i="27"/>
  <c r="F143" i="27" s="1"/>
  <c r="K49" i="27"/>
  <c r="K142" i="27" s="1"/>
  <c r="J49" i="27"/>
  <c r="J142" i="27"/>
  <c r="I49" i="27"/>
  <c r="H49" i="27"/>
  <c r="H142" i="27" s="1"/>
  <c r="H152" i="27" s="1"/>
  <c r="G49" i="27"/>
  <c r="G142" i="27" s="1"/>
  <c r="F49" i="27"/>
  <c r="F142" i="27" s="1"/>
  <c r="F152" i="27" s="1"/>
  <c r="K36" i="27"/>
  <c r="J36" i="27"/>
  <c r="J141" i="27"/>
  <c r="I36" i="27"/>
  <c r="I141" i="27" s="1"/>
  <c r="H36" i="27"/>
  <c r="H141" i="27"/>
  <c r="G36" i="27"/>
  <c r="F36" i="27"/>
  <c r="F141" i="27"/>
  <c r="K150" i="26"/>
  <c r="J150" i="26"/>
  <c r="I150" i="26"/>
  <c r="H150" i="26"/>
  <c r="K149" i="26"/>
  <c r="K148" i="26"/>
  <c r="K23" i="58" s="1"/>
  <c r="J147" i="26"/>
  <c r="H146" i="26"/>
  <c r="J145" i="26"/>
  <c r="F145" i="26"/>
  <c r="F143" i="26"/>
  <c r="H142" i="26"/>
  <c r="G141" i="26"/>
  <c r="K137" i="26"/>
  <c r="J137" i="26"/>
  <c r="J149" i="26"/>
  <c r="I137" i="26"/>
  <c r="I149" i="26" s="1"/>
  <c r="H137" i="26"/>
  <c r="H149" i="26" s="1"/>
  <c r="G137" i="26"/>
  <c r="G149" i="26" s="1"/>
  <c r="F137" i="26"/>
  <c r="F149" i="26" s="1"/>
  <c r="F119" i="26"/>
  <c r="K108" i="26"/>
  <c r="K147" i="26" s="1"/>
  <c r="J108" i="26"/>
  <c r="I108" i="26"/>
  <c r="I147" i="26"/>
  <c r="H108" i="26"/>
  <c r="H147" i="26" s="1"/>
  <c r="G108" i="26"/>
  <c r="G147" i="26" s="1"/>
  <c r="F108" i="26"/>
  <c r="F147" i="26" s="1"/>
  <c r="K98" i="26"/>
  <c r="K146" i="26" s="1"/>
  <c r="J98" i="26"/>
  <c r="J146" i="26"/>
  <c r="I98" i="26"/>
  <c r="I146" i="26" s="1"/>
  <c r="H98" i="26"/>
  <c r="G98" i="26"/>
  <c r="G146" i="26"/>
  <c r="F98" i="26"/>
  <c r="F146" i="26" s="1"/>
  <c r="K82" i="26"/>
  <c r="K145" i="26" s="1"/>
  <c r="J82" i="26"/>
  <c r="I82" i="26"/>
  <c r="I145" i="26" s="1"/>
  <c r="H82" i="26"/>
  <c r="H145" i="26"/>
  <c r="G82" i="26"/>
  <c r="G145" i="26" s="1"/>
  <c r="F82" i="26"/>
  <c r="K74" i="26"/>
  <c r="K144" i="26"/>
  <c r="J74" i="26"/>
  <c r="J144" i="26" s="1"/>
  <c r="I74" i="26"/>
  <c r="I144" i="26" s="1"/>
  <c r="H74" i="26"/>
  <c r="H144" i="26" s="1"/>
  <c r="G74" i="26"/>
  <c r="G144" i="26" s="1"/>
  <c r="F74" i="26"/>
  <c r="F144" i="26"/>
  <c r="K64" i="26"/>
  <c r="K143" i="26" s="1"/>
  <c r="K152" i="26" s="1"/>
  <c r="J64" i="26"/>
  <c r="J143" i="26" s="1"/>
  <c r="I64" i="26"/>
  <c r="I143" i="26"/>
  <c r="H64" i="26"/>
  <c r="H143" i="26" s="1"/>
  <c r="G64" i="26"/>
  <c r="G143" i="26" s="1"/>
  <c r="F64" i="26"/>
  <c r="K49" i="26"/>
  <c r="K142" i="26" s="1"/>
  <c r="J49" i="26"/>
  <c r="J142" i="26"/>
  <c r="I49" i="26"/>
  <c r="I142" i="26" s="1"/>
  <c r="H49" i="26"/>
  <c r="G49" i="26"/>
  <c r="G142" i="26"/>
  <c r="F49" i="26"/>
  <c r="F142" i="26" s="1"/>
  <c r="K36" i="26"/>
  <c r="K141" i="26" s="1"/>
  <c r="J36" i="26"/>
  <c r="J141" i="26" s="1"/>
  <c r="J152" i="26" s="1"/>
  <c r="I36" i="26"/>
  <c r="I141" i="26" s="1"/>
  <c r="H36" i="26"/>
  <c r="H141" i="26" s="1"/>
  <c r="G36" i="26"/>
  <c r="F36" i="26"/>
  <c r="F141" i="26" s="1"/>
  <c r="K150" i="25"/>
  <c r="J150" i="25"/>
  <c r="I150" i="25"/>
  <c r="H150" i="25"/>
  <c r="K149" i="25"/>
  <c r="H149" i="25"/>
  <c r="K148" i="25"/>
  <c r="K22" i="58" s="1"/>
  <c r="J147" i="25"/>
  <c r="F147" i="25"/>
  <c r="H146" i="25"/>
  <c r="H144" i="25"/>
  <c r="J143" i="25"/>
  <c r="H142" i="25"/>
  <c r="J141" i="25"/>
  <c r="F141" i="25"/>
  <c r="K137" i="25"/>
  <c r="J137" i="25"/>
  <c r="J149" i="25" s="1"/>
  <c r="I137" i="25"/>
  <c r="I149" i="25" s="1"/>
  <c r="H137" i="25"/>
  <c r="G137" i="25"/>
  <c r="G149" i="25" s="1"/>
  <c r="F137" i="25"/>
  <c r="F149" i="25"/>
  <c r="F119" i="25"/>
  <c r="K108" i="25"/>
  <c r="K147" i="25" s="1"/>
  <c r="J108" i="25"/>
  <c r="I108" i="25"/>
  <c r="I147" i="25" s="1"/>
  <c r="H108" i="25"/>
  <c r="H147" i="25" s="1"/>
  <c r="G108" i="25"/>
  <c r="G147" i="25" s="1"/>
  <c r="F108" i="25"/>
  <c r="K98" i="25"/>
  <c r="K146" i="25" s="1"/>
  <c r="J98" i="25"/>
  <c r="J146" i="25" s="1"/>
  <c r="I98" i="25"/>
  <c r="I146" i="25" s="1"/>
  <c r="H98" i="25"/>
  <c r="G98" i="25"/>
  <c r="G146" i="25" s="1"/>
  <c r="F98" i="25"/>
  <c r="F146" i="25" s="1"/>
  <c r="K82" i="25"/>
  <c r="K145" i="25" s="1"/>
  <c r="J82" i="25"/>
  <c r="J145" i="25" s="1"/>
  <c r="I82" i="25"/>
  <c r="I145" i="25" s="1"/>
  <c r="H82" i="25"/>
  <c r="H145" i="25" s="1"/>
  <c r="G82" i="25"/>
  <c r="G145" i="25" s="1"/>
  <c r="F82" i="25"/>
  <c r="F145" i="25" s="1"/>
  <c r="K74" i="25"/>
  <c r="K144" i="25" s="1"/>
  <c r="J74" i="25"/>
  <c r="J144" i="25" s="1"/>
  <c r="I74" i="25"/>
  <c r="I144" i="25" s="1"/>
  <c r="H74" i="25"/>
  <c r="G74" i="25"/>
  <c r="G144" i="25" s="1"/>
  <c r="F74" i="25"/>
  <c r="F144" i="25" s="1"/>
  <c r="K64" i="25"/>
  <c r="K143" i="25" s="1"/>
  <c r="J64" i="25"/>
  <c r="I64" i="25"/>
  <c r="I143" i="25" s="1"/>
  <c r="H64" i="25"/>
  <c r="H143" i="25" s="1"/>
  <c r="G64" i="25"/>
  <c r="G143" i="25" s="1"/>
  <c r="F64" i="25"/>
  <c r="F143" i="25" s="1"/>
  <c r="K49" i="25"/>
  <c r="K142" i="25" s="1"/>
  <c r="J49" i="25"/>
  <c r="J142" i="25" s="1"/>
  <c r="I49" i="25"/>
  <c r="I142" i="25" s="1"/>
  <c r="H49" i="25"/>
  <c r="G49" i="25"/>
  <c r="G142" i="25" s="1"/>
  <c r="F49" i="25"/>
  <c r="F142" i="25" s="1"/>
  <c r="K36" i="25"/>
  <c r="K141" i="25" s="1"/>
  <c r="K152" i="25" s="1"/>
  <c r="J36" i="25"/>
  <c r="I36" i="25"/>
  <c r="I141" i="25" s="1"/>
  <c r="H36" i="25"/>
  <c r="H141" i="25"/>
  <c r="G36" i="25"/>
  <c r="G141" i="25" s="1"/>
  <c r="F36" i="25"/>
  <c r="J150" i="24"/>
  <c r="I150" i="24"/>
  <c r="H150" i="24"/>
  <c r="K148" i="24"/>
  <c r="K21" i="58" s="1"/>
  <c r="H146" i="24"/>
  <c r="J144" i="24"/>
  <c r="F141" i="24"/>
  <c r="J137" i="24"/>
  <c r="J149" i="24"/>
  <c r="I137" i="24"/>
  <c r="I149" i="24"/>
  <c r="H137" i="24"/>
  <c r="H149" i="24" s="1"/>
  <c r="G137" i="24"/>
  <c r="G149" i="24" s="1"/>
  <c r="F137" i="24"/>
  <c r="F149" i="24"/>
  <c r="K132" i="24"/>
  <c r="K131" i="24"/>
  <c r="K137" i="24" s="1"/>
  <c r="K149" i="24" s="1"/>
  <c r="F119" i="24"/>
  <c r="J108" i="24"/>
  <c r="J147" i="24" s="1"/>
  <c r="H108" i="24"/>
  <c r="H147" i="24" s="1"/>
  <c r="G108" i="24"/>
  <c r="G147" i="24" s="1"/>
  <c r="F108" i="24"/>
  <c r="F147" i="24" s="1"/>
  <c r="K106" i="24"/>
  <c r="I106" i="24"/>
  <c r="I105" i="24"/>
  <c r="K105" i="24" s="1"/>
  <c r="K104" i="24"/>
  <c r="I104" i="24"/>
  <c r="I103" i="24"/>
  <c r="I102" i="24"/>
  <c r="J98" i="24"/>
  <c r="J146" i="24"/>
  <c r="H98" i="24"/>
  <c r="G98" i="24"/>
  <c r="G146" i="24" s="1"/>
  <c r="F98" i="24"/>
  <c r="F146" i="24" s="1"/>
  <c r="K96" i="24"/>
  <c r="I96" i="24"/>
  <c r="I95" i="24"/>
  <c r="K95" i="24" s="1"/>
  <c r="K94" i="24"/>
  <c r="I94" i="24"/>
  <c r="I93" i="24"/>
  <c r="K93" i="24" s="1"/>
  <c r="K92" i="24"/>
  <c r="I92" i="24"/>
  <c r="I91" i="24"/>
  <c r="K91" i="24" s="1"/>
  <c r="K90" i="24"/>
  <c r="I90" i="24"/>
  <c r="I89" i="24"/>
  <c r="K89" i="24" s="1"/>
  <c r="K88" i="24"/>
  <c r="I88" i="24"/>
  <c r="I87" i="24"/>
  <c r="K87" i="24" s="1"/>
  <c r="I86" i="24"/>
  <c r="J82" i="24"/>
  <c r="J145" i="24"/>
  <c r="I82" i="24"/>
  <c r="I145" i="24"/>
  <c r="H82" i="24"/>
  <c r="H145" i="24" s="1"/>
  <c r="G82" i="24"/>
  <c r="G145" i="24" s="1"/>
  <c r="F82" i="24"/>
  <c r="F145" i="24"/>
  <c r="K80" i="24"/>
  <c r="K79" i="24"/>
  <c r="K78" i="24"/>
  <c r="K77" i="24"/>
  <c r="J74" i="24"/>
  <c r="I74" i="24"/>
  <c r="I144" i="24" s="1"/>
  <c r="H74" i="24"/>
  <c r="H144" i="24"/>
  <c r="G74" i="24"/>
  <c r="G144" i="24"/>
  <c r="F74" i="24"/>
  <c r="F144" i="24" s="1"/>
  <c r="K72" i="24"/>
  <c r="K71" i="24"/>
  <c r="K70" i="24"/>
  <c r="K69" i="24"/>
  <c r="K68" i="24"/>
  <c r="J64" i="24"/>
  <c r="J143" i="24"/>
  <c r="H64" i="24"/>
  <c r="H143" i="24"/>
  <c r="G64" i="24"/>
  <c r="G143" i="24"/>
  <c r="F64" i="24"/>
  <c r="F143" i="24"/>
  <c r="K63" i="24"/>
  <c r="K62" i="24"/>
  <c r="K61" i="24"/>
  <c r="K60" i="24"/>
  <c r="K59" i="24"/>
  <c r="I58" i="24"/>
  <c r="K58" i="24" s="1"/>
  <c r="K57" i="24"/>
  <c r="I57" i="24"/>
  <c r="K56" i="24"/>
  <c r="K55" i="24"/>
  <c r="K64" i="24"/>
  <c r="K143" i="24" s="1"/>
  <c r="K54" i="24"/>
  <c r="K53" i="24"/>
  <c r="J49" i="24"/>
  <c r="J142" i="24" s="1"/>
  <c r="I49" i="24"/>
  <c r="I142" i="24" s="1"/>
  <c r="H49" i="24"/>
  <c r="H142" i="24" s="1"/>
  <c r="G49" i="24"/>
  <c r="G142" i="24" s="1"/>
  <c r="F49" i="24"/>
  <c r="F142" i="24" s="1"/>
  <c r="K43" i="24"/>
  <c r="K42" i="24"/>
  <c r="K41" i="24"/>
  <c r="K40" i="24"/>
  <c r="K49" i="24"/>
  <c r="K142" i="24" s="1"/>
  <c r="J36" i="24"/>
  <c r="J141" i="24" s="1"/>
  <c r="H36" i="24"/>
  <c r="H141" i="24"/>
  <c r="G36" i="24"/>
  <c r="G141" i="24" s="1"/>
  <c r="G152" i="24" s="1"/>
  <c r="F36" i="24"/>
  <c r="I34" i="24"/>
  <c r="K34" i="24"/>
  <c r="I33" i="24"/>
  <c r="K33" i="24" s="1"/>
  <c r="I32" i="24"/>
  <c r="K32" i="24"/>
  <c r="I31" i="24"/>
  <c r="K31" i="24" s="1"/>
  <c r="I30" i="24"/>
  <c r="K30" i="24"/>
  <c r="I29" i="24"/>
  <c r="K29" i="24" s="1"/>
  <c r="I28" i="24"/>
  <c r="K28" i="24"/>
  <c r="I27" i="24"/>
  <c r="K27" i="24" s="1"/>
  <c r="I26" i="24"/>
  <c r="K26" i="24"/>
  <c r="I25" i="24"/>
  <c r="I24" i="24"/>
  <c r="K24" i="24"/>
  <c r="I23" i="24"/>
  <c r="K23" i="24" s="1"/>
  <c r="I22" i="24"/>
  <c r="K21" i="24"/>
  <c r="I21" i="24"/>
  <c r="K18" i="24"/>
  <c r="K150" i="24" s="1"/>
  <c r="K150" i="22"/>
  <c r="J150" i="22"/>
  <c r="I150" i="22"/>
  <c r="H150" i="22"/>
  <c r="K149" i="22"/>
  <c r="G149" i="22"/>
  <c r="K148" i="22"/>
  <c r="K19" i="58" s="1"/>
  <c r="K147" i="22"/>
  <c r="G147" i="22"/>
  <c r="I146" i="22"/>
  <c r="K145" i="22"/>
  <c r="G145" i="22"/>
  <c r="I144" i="22"/>
  <c r="K143" i="22"/>
  <c r="G143" i="22"/>
  <c r="I142" i="22"/>
  <c r="H142" i="22"/>
  <c r="K141" i="22"/>
  <c r="F141" i="22"/>
  <c r="K137" i="22"/>
  <c r="J137" i="22"/>
  <c r="J149" i="22" s="1"/>
  <c r="I137" i="22"/>
  <c r="I149" i="22" s="1"/>
  <c r="H137" i="22"/>
  <c r="H149" i="22" s="1"/>
  <c r="G137" i="22"/>
  <c r="F137" i="22"/>
  <c r="F149" i="22" s="1"/>
  <c r="F119" i="22"/>
  <c r="K108" i="22"/>
  <c r="J108" i="22"/>
  <c r="J147" i="22" s="1"/>
  <c r="I108" i="22"/>
  <c r="I147" i="22"/>
  <c r="H108" i="22"/>
  <c r="H147" i="22"/>
  <c r="G108" i="22"/>
  <c r="F108" i="22"/>
  <c r="F147" i="22" s="1"/>
  <c r="K98" i="22"/>
  <c r="K146" i="22"/>
  <c r="J98" i="22"/>
  <c r="J146" i="22"/>
  <c r="I98" i="22"/>
  <c r="H98" i="22"/>
  <c r="H146" i="22" s="1"/>
  <c r="G98" i="22"/>
  <c r="G146" i="22"/>
  <c r="F98" i="22"/>
  <c r="F146" i="22"/>
  <c r="K82" i="22"/>
  <c r="J82" i="22"/>
  <c r="J145" i="22" s="1"/>
  <c r="I82" i="22"/>
  <c r="I145" i="22"/>
  <c r="H82" i="22"/>
  <c r="H145" i="22"/>
  <c r="G82" i="22"/>
  <c r="F82" i="22"/>
  <c r="F145" i="22" s="1"/>
  <c r="K74" i="22"/>
  <c r="K144" i="22"/>
  <c r="J74" i="22"/>
  <c r="J144" i="22"/>
  <c r="I74" i="22"/>
  <c r="H74" i="22"/>
  <c r="H144" i="22" s="1"/>
  <c r="G74" i="22"/>
  <c r="G144" i="22"/>
  <c r="F74" i="22"/>
  <c r="F144" i="22"/>
  <c r="K64" i="22"/>
  <c r="J64" i="22"/>
  <c r="J143" i="22" s="1"/>
  <c r="I64" i="22"/>
  <c r="I143" i="22"/>
  <c r="H64" i="22"/>
  <c r="H143" i="22"/>
  <c r="G64" i="22"/>
  <c r="F64" i="22"/>
  <c r="F143" i="22" s="1"/>
  <c r="K49" i="22"/>
  <c r="K142" i="22"/>
  <c r="J49" i="22"/>
  <c r="J142" i="22"/>
  <c r="I49" i="22"/>
  <c r="H49" i="22"/>
  <c r="G49" i="22"/>
  <c r="G142" i="22" s="1"/>
  <c r="F49" i="22"/>
  <c r="F142" i="22" s="1"/>
  <c r="F152" i="22"/>
  <c r="K36" i="22"/>
  <c r="J36" i="22"/>
  <c r="J141" i="22" s="1"/>
  <c r="J152" i="22" s="1"/>
  <c r="I36" i="22"/>
  <c r="I141" i="22"/>
  <c r="H36" i="22"/>
  <c r="H141" i="22"/>
  <c r="G36" i="22"/>
  <c r="G141" i="22" s="1"/>
  <c r="F36" i="22"/>
  <c r="F141" i="15"/>
  <c r="K150" i="13"/>
  <c r="J150" i="13"/>
  <c r="I150" i="13"/>
  <c r="H150" i="13"/>
  <c r="K149" i="13"/>
  <c r="G149" i="13"/>
  <c r="K148" i="13"/>
  <c r="K18" i="58" s="1"/>
  <c r="J147" i="13"/>
  <c r="F147" i="13"/>
  <c r="H146" i="13"/>
  <c r="H144" i="13"/>
  <c r="H142" i="13"/>
  <c r="K137" i="13"/>
  <c r="J137" i="13"/>
  <c r="J149" i="13" s="1"/>
  <c r="I137" i="13"/>
  <c r="I149" i="13" s="1"/>
  <c r="H137" i="13"/>
  <c r="H149" i="13" s="1"/>
  <c r="G137" i="13"/>
  <c r="F137" i="13"/>
  <c r="F149" i="13"/>
  <c r="F119" i="13"/>
  <c r="K108" i="13"/>
  <c r="K147" i="13" s="1"/>
  <c r="J108" i="13"/>
  <c r="I108" i="13"/>
  <c r="I147" i="13"/>
  <c r="H108" i="13"/>
  <c r="H147" i="13"/>
  <c r="G108" i="13"/>
  <c r="G147" i="13"/>
  <c r="F108" i="13"/>
  <c r="K98" i="13"/>
  <c r="K146" i="13" s="1"/>
  <c r="J98" i="13"/>
  <c r="J146" i="13" s="1"/>
  <c r="I98" i="13"/>
  <c r="I146" i="13" s="1"/>
  <c r="H98" i="13"/>
  <c r="G98" i="13"/>
  <c r="G146" i="13"/>
  <c r="F98" i="13"/>
  <c r="F146" i="13"/>
  <c r="K82" i="13"/>
  <c r="K145" i="13"/>
  <c r="J82" i="13"/>
  <c r="J145" i="13" s="1"/>
  <c r="I82" i="13"/>
  <c r="I145" i="13" s="1"/>
  <c r="H82" i="13"/>
  <c r="H145" i="13" s="1"/>
  <c r="G82" i="13"/>
  <c r="G145" i="13" s="1"/>
  <c r="F82" i="13"/>
  <c r="F145" i="13" s="1"/>
  <c r="K74" i="13"/>
  <c r="K144" i="13"/>
  <c r="J74" i="13"/>
  <c r="J144" i="13"/>
  <c r="I74" i="13"/>
  <c r="I144" i="13"/>
  <c r="H74" i="13"/>
  <c r="G74" i="13"/>
  <c r="G144" i="13" s="1"/>
  <c r="F74" i="13"/>
  <c r="F144" i="13" s="1"/>
  <c r="K64" i="13"/>
  <c r="K143" i="13" s="1"/>
  <c r="J64" i="13"/>
  <c r="J143" i="13" s="1"/>
  <c r="I64" i="13"/>
  <c r="I143" i="13"/>
  <c r="H64" i="13"/>
  <c r="H143" i="13"/>
  <c r="G64" i="13"/>
  <c r="G143" i="13"/>
  <c r="F64" i="13"/>
  <c r="F143" i="13" s="1"/>
  <c r="K49" i="13"/>
  <c r="K142" i="13" s="1"/>
  <c r="J49" i="13"/>
  <c r="J142" i="13" s="1"/>
  <c r="I49" i="13"/>
  <c r="I142" i="13" s="1"/>
  <c r="H49" i="13"/>
  <c r="G49" i="13"/>
  <c r="G142" i="13"/>
  <c r="F49" i="13"/>
  <c r="F142" i="13"/>
  <c r="K36" i="13"/>
  <c r="K141" i="13"/>
  <c r="J36" i="13"/>
  <c r="J141" i="13" s="1"/>
  <c r="J152" i="13" s="1"/>
  <c r="I36" i="13"/>
  <c r="I141" i="13"/>
  <c r="I152" i="13" s="1"/>
  <c r="H36" i="13"/>
  <c r="H141" i="13"/>
  <c r="G36" i="13"/>
  <c r="G141" i="13"/>
  <c r="G152" i="13" s="1"/>
  <c r="F36" i="13"/>
  <c r="F141" i="13" s="1"/>
  <c r="F152" i="13" s="1"/>
  <c r="K150" i="7"/>
  <c r="J150" i="7"/>
  <c r="I150" i="7"/>
  <c r="H150" i="7"/>
  <c r="H149" i="7"/>
  <c r="K148" i="7"/>
  <c r="K15" i="58" s="1"/>
  <c r="K137" i="7"/>
  <c r="K149" i="7" s="1"/>
  <c r="J137" i="7"/>
  <c r="J149" i="7" s="1"/>
  <c r="I137" i="7"/>
  <c r="I149" i="7" s="1"/>
  <c r="H137" i="7"/>
  <c r="G137" i="7"/>
  <c r="G149" i="7" s="1"/>
  <c r="F137" i="7"/>
  <c r="F149" i="7" s="1"/>
  <c r="K108" i="7"/>
  <c r="K147" i="7" s="1"/>
  <c r="J108" i="7"/>
  <c r="J147" i="7" s="1"/>
  <c r="I108" i="7"/>
  <c r="I147" i="7" s="1"/>
  <c r="H108" i="7"/>
  <c r="H147" i="7" s="1"/>
  <c r="G108" i="7"/>
  <c r="G147" i="7" s="1"/>
  <c r="F108" i="7"/>
  <c r="F147" i="7" s="1"/>
  <c r="K98" i="7"/>
  <c r="K146" i="7" s="1"/>
  <c r="J98" i="7"/>
  <c r="J146" i="7" s="1"/>
  <c r="I98" i="7"/>
  <c r="I146" i="7" s="1"/>
  <c r="H98" i="7"/>
  <c r="H146" i="7" s="1"/>
  <c r="G98" i="7"/>
  <c r="G146" i="7" s="1"/>
  <c r="F98" i="7"/>
  <c r="F146" i="7" s="1"/>
  <c r="K82" i="7"/>
  <c r="K145" i="7" s="1"/>
  <c r="J82" i="7"/>
  <c r="J145" i="7" s="1"/>
  <c r="I82" i="7"/>
  <c r="I145" i="7" s="1"/>
  <c r="H82" i="7"/>
  <c r="H145" i="7" s="1"/>
  <c r="G82" i="7"/>
  <c r="G145" i="7" s="1"/>
  <c r="F82" i="7"/>
  <c r="F145" i="7" s="1"/>
  <c r="K74" i="7"/>
  <c r="K144" i="7" s="1"/>
  <c r="J74" i="7"/>
  <c r="J144" i="7" s="1"/>
  <c r="I74" i="7"/>
  <c r="I144" i="7" s="1"/>
  <c r="H74" i="7"/>
  <c r="H144" i="7" s="1"/>
  <c r="G74" i="7"/>
  <c r="G144" i="7" s="1"/>
  <c r="F74" i="7"/>
  <c r="F144" i="7" s="1"/>
  <c r="K64" i="7"/>
  <c r="K143" i="7" s="1"/>
  <c r="J64" i="7"/>
  <c r="J143" i="7" s="1"/>
  <c r="I64" i="7"/>
  <c r="I143" i="7" s="1"/>
  <c r="H64" i="7"/>
  <c r="H143" i="7" s="1"/>
  <c r="G64" i="7"/>
  <c r="G143" i="7" s="1"/>
  <c r="F64" i="7"/>
  <c r="F143" i="7" s="1"/>
  <c r="K49" i="7"/>
  <c r="K142" i="7" s="1"/>
  <c r="J49" i="7"/>
  <c r="J142" i="7" s="1"/>
  <c r="I49" i="7"/>
  <c r="I142" i="7" s="1"/>
  <c r="H49" i="7"/>
  <c r="H142" i="7" s="1"/>
  <c r="G49" i="7"/>
  <c r="G142" i="7" s="1"/>
  <c r="G152" i="7" s="1"/>
  <c r="F49" i="7"/>
  <c r="F142" i="7" s="1"/>
  <c r="K36" i="7"/>
  <c r="K141" i="7" s="1"/>
  <c r="K152" i="7" s="1"/>
  <c r="J36" i="7"/>
  <c r="J141" i="7"/>
  <c r="J152" i="7" s="1"/>
  <c r="I36" i="7"/>
  <c r="I141" i="7" s="1"/>
  <c r="H36" i="7"/>
  <c r="H141" i="7" s="1"/>
  <c r="G36" i="7"/>
  <c r="G141" i="7" s="1"/>
  <c r="F36" i="7"/>
  <c r="F141" i="7" s="1"/>
  <c r="F152" i="7" s="1"/>
  <c r="F155" i="20"/>
  <c r="F154" i="20"/>
  <c r="K150" i="15"/>
  <c r="J150" i="15"/>
  <c r="I150" i="15"/>
  <c r="H150" i="15"/>
  <c r="K148" i="15"/>
  <c r="K6" i="58" s="1"/>
  <c r="K145" i="15"/>
  <c r="G143" i="15"/>
  <c r="H141" i="15"/>
  <c r="K137" i="15"/>
  <c r="K149" i="15"/>
  <c r="J137" i="15"/>
  <c r="J149" i="15"/>
  <c r="I137" i="15"/>
  <c r="I149" i="15" s="1"/>
  <c r="H137" i="15"/>
  <c r="H149" i="15" s="1"/>
  <c r="G137" i="15"/>
  <c r="G149" i="15"/>
  <c r="F137" i="15"/>
  <c r="F149" i="15"/>
  <c r="F119" i="15"/>
  <c r="K108" i="15"/>
  <c r="K147" i="15" s="1"/>
  <c r="J108" i="15"/>
  <c r="J147" i="15"/>
  <c r="I108" i="15"/>
  <c r="I147" i="15"/>
  <c r="H108" i="15"/>
  <c r="H147" i="15" s="1"/>
  <c r="G108" i="15"/>
  <c r="G147" i="15" s="1"/>
  <c r="F108" i="15"/>
  <c r="F147" i="15"/>
  <c r="K98" i="15"/>
  <c r="K146" i="15"/>
  <c r="J98" i="15"/>
  <c r="J146" i="15" s="1"/>
  <c r="I98" i="15"/>
  <c r="I146" i="15" s="1"/>
  <c r="H98" i="15"/>
  <c r="H146" i="15"/>
  <c r="G98" i="15"/>
  <c r="G146" i="15"/>
  <c r="F98" i="15"/>
  <c r="F146" i="15" s="1"/>
  <c r="K82" i="15"/>
  <c r="J82" i="15"/>
  <c r="J145" i="15"/>
  <c r="I82" i="15"/>
  <c r="I145" i="15"/>
  <c r="H82" i="15"/>
  <c r="H145" i="15" s="1"/>
  <c r="G82" i="15"/>
  <c r="G145" i="15" s="1"/>
  <c r="F82" i="15"/>
  <c r="F145" i="15"/>
  <c r="K74" i="15"/>
  <c r="K144" i="15"/>
  <c r="J74" i="15"/>
  <c r="J144" i="15" s="1"/>
  <c r="I74" i="15"/>
  <c r="I144" i="15" s="1"/>
  <c r="H74" i="15"/>
  <c r="H144" i="15"/>
  <c r="G74" i="15"/>
  <c r="G144" i="15"/>
  <c r="F74" i="15"/>
  <c r="F144" i="15" s="1"/>
  <c r="K64" i="15"/>
  <c r="K143" i="15" s="1"/>
  <c r="J64" i="15"/>
  <c r="J143" i="15"/>
  <c r="I64" i="15"/>
  <c r="I143" i="15"/>
  <c r="H64" i="15"/>
  <c r="H143" i="15" s="1"/>
  <c r="G64" i="15"/>
  <c r="F64" i="15"/>
  <c r="F143" i="15"/>
  <c r="F152" i="15" s="1"/>
  <c r="K49" i="15"/>
  <c r="K142" i="15"/>
  <c r="J49" i="15"/>
  <c r="J142" i="15" s="1"/>
  <c r="I49" i="15"/>
  <c r="I142" i="15" s="1"/>
  <c r="H49" i="15"/>
  <c r="H142" i="15"/>
  <c r="G49" i="15"/>
  <c r="G142" i="15"/>
  <c r="F49" i="15"/>
  <c r="F142" i="15" s="1"/>
  <c r="K36" i="15"/>
  <c r="K141" i="15" s="1"/>
  <c r="K152" i="15" s="1"/>
  <c r="J36" i="15"/>
  <c r="J141" i="15"/>
  <c r="I36" i="15"/>
  <c r="I141" i="15" s="1"/>
  <c r="H36" i="15"/>
  <c r="G36" i="15"/>
  <c r="G141" i="15" s="1"/>
  <c r="F36" i="15"/>
  <c r="F38" i="58"/>
  <c r="J152" i="25"/>
  <c r="K22" i="24"/>
  <c r="K103" i="24"/>
  <c r="K152" i="22"/>
  <c r="H152" i="7"/>
  <c r="K150" i="54"/>
  <c r="J150" i="54"/>
  <c r="I150" i="54"/>
  <c r="H150" i="54"/>
  <c r="G149" i="54"/>
  <c r="K148" i="54"/>
  <c r="K45" i="58" s="1"/>
  <c r="J147" i="54"/>
  <c r="H146" i="54"/>
  <c r="J145" i="54"/>
  <c r="F145" i="54"/>
  <c r="F143" i="54"/>
  <c r="H142" i="54"/>
  <c r="F141" i="54"/>
  <c r="K137" i="54"/>
  <c r="K149" i="54" s="1"/>
  <c r="J137" i="54"/>
  <c r="J149" i="54" s="1"/>
  <c r="I137" i="54"/>
  <c r="I149" i="54" s="1"/>
  <c r="H137" i="54"/>
  <c r="H149" i="54" s="1"/>
  <c r="G137" i="54"/>
  <c r="F137" i="54"/>
  <c r="F149" i="54" s="1"/>
  <c r="F119" i="54"/>
  <c r="K108" i="54"/>
  <c r="K147" i="54" s="1"/>
  <c r="J108" i="54"/>
  <c r="I108" i="54"/>
  <c r="I147" i="54"/>
  <c r="H108" i="54"/>
  <c r="H147" i="54"/>
  <c r="G108" i="54"/>
  <c r="G147" i="54" s="1"/>
  <c r="F108" i="54"/>
  <c r="F147" i="54" s="1"/>
  <c r="K98" i="54"/>
  <c r="K146" i="54"/>
  <c r="J98" i="54"/>
  <c r="J146" i="54"/>
  <c r="I98" i="54"/>
  <c r="I146" i="54" s="1"/>
  <c r="H98" i="54"/>
  <c r="G98" i="54"/>
  <c r="G146" i="54"/>
  <c r="F98" i="54"/>
  <c r="F146" i="54"/>
  <c r="K82" i="54"/>
  <c r="K145" i="54"/>
  <c r="J82" i="54"/>
  <c r="I82" i="54"/>
  <c r="I145" i="54" s="1"/>
  <c r="H82" i="54"/>
  <c r="H145" i="54" s="1"/>
  <c r="G82" i="54"/>
  <c r="G145" i="54"/>
  <c r="F82" i="54"/>
  <c r="K74" i="54"/>
  <c r="K144" i="54"/>
  <c r="J74" i="54"/>
  <c r="J144" i="54" s="1"/>
  <c r="I74" i="54"/>
  <c r="I144" i="54"/>
  <c r="H74" i="54"/>
  <c r="H144" i="54" s="1"/>
  <c r="G74" i="54"/>
  <c r="G144" i="54" s="1"/>
  <c r="F74" i="54"/>
  <c r="F144" i="54" s="1"/>
  <c r="K64" i="54"/>
  <c r="K143" i="54" s="1"/>
  <c r="J64" i="54"/>
  <c r="J143" i="54" s="1"/>
  <c r="I64" i="54"/>
  <c r="I143" i="54" s="1"/>
  <c r="H64" i="54"/>
  <c r="H143" i="54"/>
  <c r="G64" i="54"/>
  <c r="G143" i="54" s="1"/>
  <c r="F64" i="54"/>
  <c r="K49" i="54"/>
  <c r="K142" i="54"/>
  <c r="J49" i="54"/>
  <c r="J142" i="54" s="1"/>
  <c r="I49" i="54"/>
  <c r="I142" i="54"/>
  <c r="H49" i="54"/>
  <c r="G49" i="54"/>
  <c r="G142" i="54" s="1"/>
  <c r="F49" i="54"/>
  <c r="F142" i="54" s="1"/>
  <c r="K36" i="54"/>
  <c r="K141" i="54" s="1"/>
  <c r="K152" i="54" s="1"/>
  <c r="J36" i="54"/>
  <c r="J141" i="54" s="1"/>
  <c r="I36" i="54"/>
  <c r="I141" i="54"/>
  <c r="H36" i="54"/>
  <c r="H141" i="54" s="1"/>
  <c r="G36" i="54"/>
  <c r="G141" i="54"/>
  <c r="G152" i="54" s="1"/>
  <c r="F36" i="54"/>
  <c r="J150" i="53"/>
  <c r="I150" i="53"/>
  <c r="H150" i="53"/>
  <c r="K148" i="53"/>
  <c r="K44" i="58" s="1"/>
  <c r="G147" i="53"/>
  <c r="G145" i="53"/>
  <c r="I144" i="53"/>
  <c r="I142" i="53"/>
  <c r="J137" i="53"/>
  <c r="J149" i="53" s="1"/>
  <c r="I137" i="53"/>
  <c r="I149" i="53" s="1"/>
  <c r="H137" i="53"/>
  <c r="H149" i="53" s="1"/>
  <c r="G137" i="53"/>
  <c r="G149" i="53" s="1"/>
  <c r="F137" i="53"/>
  <c r="F149" i="53" s="1"/>
  <c r="K135" i="53"/>
  <c r="K134" i="53"/>
  <c r="K133" i="53"/>
  <c r="K132" i="53"/>
  <c r="K131" i="53"/>
  <c r="F119" i="53"/>
  <c r="J108" i="53"/>
  <c r="J147" i="53" s="1"/>
  <c r="H108" i="53"/>
  <c r="H147" i="53" s="1"/>
  <c r="G108" i="53"/>
  <c r="F108" i="53"/>
  <c r="F147" i="53" s="1"/>
  <c r="I106" i="53"/>
  <c r="K106" i="53" s="1"/>
  <c r="I105" i="53"/>
  <c r="K105" i="53"/>
  <c r="I104" i="53"/>
  <c r="K104" i="53" s="1"/>
  <c r="I103" i="53"/>
  <c r="K103" i="53" s="1"/>
  <c r="I102" i="53"/>
  <c r="I108" i="53" s="1"/>
  <c r="I147" i="53" s="1"/>
  <c r="H102" i="53"/>
  <c r="J98" i="53"/>
  <c r="J146" i="53" s="1"/>
  <c r="H98" i="53"/>
  <c r="H146" i="53" s="1"/>
  <c r="G98" i="53"/>
  <c r="G146" i="53" s="1"/>
  <c r="F98" i="53"/>
  <c r="F146" i="53"/>
  <c r="K96" i="53"/>
  <c r="I96" i="53"/>
  <c r="I95" i="53"/>
  <c r="K95" i="53"/>
  <c r="K94" i="53"/>
  <c r="I94" i="53"/>
  <c r="I93" i="53"/>
  <c r="K93" i="53"/>
  <c r="K92" i="53"/>
  <c r="I92" i="53"/>
  <c r="I91" i="53"/>
  <c r="K91" i="53"/>
  <c r="K90" i="53"/>
  <c r="I90" i="53"/>
  <c r="I89" i="53"/>
  <c r="K89" i="53"/>
  <c r="K88" i="53"/>
  <c r="I88" i="53"/>
  <c r="I87" i="53"/>
  <c r="I98" i="53"/>
  <c r="I146" i="53"/>
  <c r="K86" i="53"/>
  <c r="I86" i="53"/>
  <c r="J82" i="53"/>
  <c r="J145" i="53"/>
  <c r="I82" i="53"/>
  <c r="I145" i="53" s="1"/>
  <c r="H82" i="53"/>
  <c r="H145" i="53" s="1"/>
  <c r="G82" i="53"/>
  <c r="F82" i="53"/>
  <c r="F145" i="53" s="1"/>
  <c r="K80" i="53"/>
  <c r="K79" i="53"/>
  <c r="K78" i="53"/>
  <c r="K77" i="53"/>
  <c r="J74" i="53"/>
  <c r="J144" i="53" s="1"/>
  <c r="I74" i="53"/>
  <c r="H74" i="53"/>
  <c r="H144" i="53"/>
  <c r="G74" i="53"/>
  <c r="G144" i="53" s="1"/>
  <c r="F74" i="53"/>
  <c r="F144" i="53" s="1"/>
  <c r="K72" i="53"/>
  <c r="K71" i="53"/>
  <c r="K70" i="53"/>
  <c r="K69" i="53"/>
  <c r="K74" i="53" s="1"/>
  <c r="K144" i="53" s="1"/>
  <c r="K68" i="53"/>
  <c r="J64" i="53"/>
  <c r="J143" i="53" s="1"/>
  <c r="I64" i="53"/>
  <c r="I143" i="53" s="1"/>
  <c r="H64" i="53"/>
  <c r="H143" i="53"/>
  <c r="G64" i="53"/>
  <c r="G143" i="53" s="1"/>
  <c r="F64" i="53"/>
  <c r="F143" i="53" s="1"/>
  <c r="K62" i="53"/>
  <c r="K61" i="53"/>
  <c r="K60" i="53"/>
  <c r="K59" i="53"/>
  <c r="K58" i="53"/>
  <c r="K57" i="53"/>
  <c r="K56" i="53"/>
  <c r="K55" i="53"/>
  <c r="K54" i="53"/>
  <c r="K53" i="53"/>
  <c r="J49" i="53"/>
  <c r="J142" i="53" s="1"/>
  <c r="I49" i="53"/>
  <c r="H49" i="53"/>
  <c r="H142" i="53" s="1"/>
  <c r="H152" i="53" s="1"/>
  <c r="G49" i="53"/>
  <c r="G142" i="53"/>
  <c r="F49" i="53"/>
  <c r="F142" i="53" s="1"/>
  <c r="K47" i="53"/>
  <c r="K46" i="53"/>
  <c r="K45" i="53"/>
  <c r="K44" i="53"/>
  <c r="K43" i="53"/>
  <c r="K42" i="53"/>
  <c r="K41" i="53"/>
  <c r="K40" i="53"/>
  <c r="K49" i="53" s="1"/>
  <c r="K142" i="53" s="1"/>
  <c r="J36" i="53"/>
  <c r="J141" i="53"/>
  <c r="H36" i="53"/>
  <c r="H141" i="53" s="1"/>
  <c r="G36" i="53"/>
  <c r="G141" i="53" s="1"/>
  <c r="G152" i="53" s="1"/>
  <c r="F36" i="53"/>
  <c r="F141" i="53"/>
  <c r="I34" i="53"/>
  <c r="K34" i="53" s="1"/>
  <c r="I33" i="53"/>
  <c r="K33" i="53" s="1"/>
  <c r="K32" i="53"/>
  <c r="I32" i="53"/>
  <c r="I31" i="53"/>
  <c r="K31" i="53" s="1"/>
  <c r="I30" i="53"/>
  <c r="K30" i="53" s="1"/>
  <c r="I29" i="53"/>
  <c r="K29" i="53" s="1"/>
  <c r="K28" i="53"/>
  <c r="I28" i="53"/>
  <c r="I27" i="53"/>
  <c r="K27" i="53" s="1"/>
  <c r="I26" i="53"/>
  <c r="K26" i="53" s="1"/>
  <c r="I25" i="53"/>
  <c r="K25" i="53" s="1"/>
  <c r="K24" i="53"/>
  <c r="I24" i="53"/>
  <c r="I23" i="53"/>
  <c r="K23" i="53" s="1"/>
  <c r="I22" i="53"/>
  <c r="I21" i="53"/>
  <c r="K21" i="53" s="1"/>
  <c r="K18" i="53"/>
  <c r="K150" i="53" s="1"/>
  <c r="K146" i="53"/>
  <c r="K87" i="53"/>
  <c r="K98" i="53" s="1"/>
  <c r="J150" i="52"/>
  <c r="I150" i="52"/>
  <c r="H150" i="52"/>
  <c r="K148" i="52"/>
  <c r="K34" i="58" s="1"/>
  <c r="J137" i="52"/>
  <c r="J149" i="52" s="1"/>
  <c r="I137" i="52"/>
  <c r="I149" i="52"/>
  <c r="H137" i="52"/>
  <c r="H149" i="52" s="1"/>
  <c r="G137" i="52"/>
  <c r="G149" i="52" s="1"/>
  <c r="F137" i="52"/>
  <c r="F149" i="52"/>
  <c r="K135" i="52"/>
  <c r="K134" i="52"/>
  <c r="K133" i="52"/>
  <c r="K132" i="52"/>
  <c r="K131" i="52"/>
  <c r="F119" i="52"/>
  <c r="F123" i="52"/>
  <c r="F127" i="52" s="1"/>
  <c r="J108" i="52"/>
  <c r="J147" i="52"/>
  <c r="H108" i="52"/>
  <c r="H147" i="52" s="1"/>
  <c r="G108" i="52"/>
  <c r="G147" i="52" s="1"/>
  <c r="F108" i="52"/>
  <c r="F147" i="52" s="1"/>
  <c r="I106" i="52"/>
  <c r="K106" i="52"/>
  <c r="K105" i="52"/>
  <c r="I105" i="52"/>
  <c r="I104" i="52"/>
  <c r="K104" i="52"/>
  <c r="K108" i="52" s="1"/>
  <c r="K147" i="52" s="1"/>
  <c r="K103" i="52"/>
  <c r="I103" i="52"/>
  <c r="I102" i="52"/>
  <c r="I108" i="52"/>
  <c r="I147" i="52" s="1"/>
  <c r="J98" i="52"/>
  <c r="J146" i="52"/>
  <c r="H98" i="52"/>
  <c r="H146" i="52" s="1"/>
  <c r="G98" i="52"/>
  <c r="G146" i="52"/>
  <c r="F98" i="52"/>
  <c r="F146" i="52" s="1"/>
  <c r="I96" i="52"/>
  <c r="K96" i="52"/>
  <c r="K95" i="52"/>
  <c r="I95" i="52"/>
  <c r="I94" i="52"/>
  <c r="K94" i="52"/>
  <c r="K93" i="52"/>
  <c r="I93" i="52"/>
  <c r="I92" i="52"/>
  <c r="K92" i="52"/>
  <c r="K91" i="52"/>
  <c r="I91" i="52"/>
  <c r="I90" i="52"/>
  <c r="K90" i="52"/>
  <c r="K89" i="52"/>
  <c r="I89" i="52"/>
  <c r="I88" i="52"/>
  <c r="K88" i="52"/>
  <c r="K87" i="52"/>
  <c r="I87" i="52"/>
  <c r="I98" i="52" s="1"/>
  <c r="I86" i="52"/>
  <c r="I146" i="52"/>
  <c r="J82" i="52"/>
  <c r="J145" i="52" s="1"/>
  <c r="I82" i="52"/>
  <c r="I145" i="52" s="1"/>
  <c r="H82" i="52"/>
  <c r="H145" i="52" s="1"/>
  <c r="G82" i="52"/>
  <c r="G145" i="52"/>
  <c r="F82" i="52"/>
  <c r="F145" i="52" s="1"/>
  <c r="K80" i="52"/>
  <c r="K79" i="52"/>
  <c r="K78" i="52"/>
  <c r="K77" i="52"/>
  <c r="J74" i="52"/>
  <c r="J144" i="52" s="1"/>
  <c r="H74" i="52"/>
  <c r="H144" i="52" s="1"/>
  <c r="G74" i="52"/>
  <c r="G144" i="52"/>
  <c r="F74" i="52"/>
  <c r="F144" i="52" s="1"/>
  <c r="K72" i="52"/>
  <c r="I72" i="52"/>
  <c r="I71" i="52"/>
  <c r="K71" i="52" s="1"/>
  <c r="I70" i="52"/>
  <c r="I69" i="52"/>
  <c r="K69" i="52" s="1"/>
  <c r="K68" i="52"/>
  <c r="I68" i="52"/>
  <c r="J64" i="52"/>
  <c r="J143" i="52" s="1"/>
  <c r="H64" i="52"/>
  <c r="H143" i="52" s="1"/>
  <c r="G64" i="52"/>
  <c r="G143" i="52" s="1"/>
  <c r="F64" i="52"/>
  <c r="F143" i="52"/>
  <c r="I62" i="52"/>
  <c r="K62" i="52" s="1"/>
  <c r="I61" i="52"/>
  <c r="K61" i="52" s="1"/>
  <c r="I60" i="52"/>
  <c r="K60" i="52" s="1"/>
  <c r="I59" i="52"/>
  <c r="K59" i="52"/>
  <c r="I58" i="52"/>
  <c r="K58" i="52" s="1"/>
  <c r="I57" i="52"/>
  <c r="K57" i="52" s="1"/>
  <c r="I56" i="52"/>
  <c r="K56" i="52" s="1"/>
  <c r="I55" i="52"/>
  <c r="K55" i="52"/>
  <c r="I54" i="52"/>
  <c r="K54" i="52" s="1"/>
  <c r="I53" i="52"/>
  <c r="J49" i="52"/>
  <c r="J142" i="52"/>
  <c r="H49" i="52"/>
  <c r="H142" i="52" s="1"/>
  <c r="G49" i="52"/>
  <c r="G142" i="52"/>
  <c r="F49" i="52"/>
  <c r="F142" i="52" s="1"/>
  <c r="I47" i="52"/>
  <c r="K47" i="52"/>
  <c r="K46" i="52"/>
  <c r="I46" i="52"/>
  <c r="I45" i="52"/>
  <c r="K45" i="52"/>
  <c r="K44" i="52"/>
  <c r="I44" i="52"/>
  <c r="I43" i="52"/>
  <c r="K43" i="52"/>
  <c r="K42" i="52"/>
  <c r="I42" i="52"/>
  <c r="I41" i="52"/>
  <c r="K41" i="52"/>
  <c r="K40" i="52"/>
  <c r="K49" i="52" s="1"/>
  <c r="K142" i="52" s="1"/>
  <c r="I40" i="52"/>
  <c r="I49" i="52" s="1"/>
  <c r="I142" i="52"/>
  <c r="J36" i="52"/>
  <c r="J141" i="52"/>
  <c r="J152" i="52" s="1"/>
  <c r="I34" i="52"/>
  <c r="K34" i="52" s="1"/>
  <c r="I33" i="52"/>
  <c r="K33" i="52" s="1"/>
  <c r="K32" i="52"/>
  <c r="I32" i="52"/>
  <c r="I31" i="52"/>
  <c r="K31" i="52" s="1"/>
  <c r="I30" i="52"/>
  <c r="K30" i="52" s="1"/>
  <c r="I29" i="52"/>
  <c r="K29" i="52" s="1"/>
  <c r="F29" i="52"/>
  <c r="I28" i="52"/>
  <c r="K28" i="52" s="1"/>
  <c r="I27" i="52"/>
  <c r="K27" i="52"/>
  <c r="I26" i="52"/>
  <c r="K26" i="52" s="1"/>
  <c r="H25" i="52"/>
  <c r="I25" i="52" s="1"/>
  <c r="G25" i="52"/>
  <c r="G36" i="52" s="1"/>
  <c r="G141" i="52"/>
  <c r="F25" i="52"/>
  <c r="K24" i="52"/>
  <c r="I24" i="52"/>
  <c r="I23" i="52"/>
  <c r="K23" i="52" s="1"/>
  <c r="K22" i="52"/>
  <c r="I22" i="52"/>
  <c r="H21" i="52"/>
  <c r="F21" i="52"/>
  <c r="F36" i="52"/>
  <c r="F141" i="52" s="1"/>
  <c r="F152" i="52" s="1"/>
  <c r="K18" i="52"/>
  <c r="K150" i="52"/>
  <c r="G152" i="52"/>
  <c r="K86" i="52"/>
  <c r="K102" i="52"/>
  <c r="J150" i="51"/>
  <c r="I150" i="51"/>
  <c r="H150" i="51"/>
  <c r="G149" i="51"/>
  <c r="K148" i="51"/>
  <c r="K33" i="58" s="1"/>
  <c r="H146" i="51"/>
  <c r="F145" i="51"/>
  <c r="J137" i="51"/>
  <c r="J149" i="51" s="1"/>
  <c r="I137" i="51"/>
  <c r="I149" i="51"/>
  <c r="H137" i="51"/>
  <c r="H149" i="51" s="1"/>
  <c r="G137" i="51"/>
  <c r="F137" i="51"/>
  <c r="F149" i="51"/>
  <c r="K135" i="51"/>
  <c r="K134" i="51"/>
  <c r="K133" i="51"/>
  <c r="K132" i="51"/>
  <c r="K131" i="51"/>
  <c r="F125" i="51"/>
  <c r="F119" i="51"/>
  <c r="F123" i="51" s="1"/>
  <c r="F127" i="51" s="1"/>
  <c r="J108" i="51"/>
  <c r="J147" i="51" s="1"/>
  <c r="H108" i="51"/>
  <c r="H147" i="51" s="1"/>
  <c r="G108" i="51"/>
  <c r="G147" i="51" s="1"/>
  <c r="F108" i="51"/>
  <c r="F147" i="51" s="1"/>
  <c r="I106" i="51"/>
  <c r="K106" i="51"/>
  <c r="I105" i="51"/>
  <c r="K105" i="51" s="1"/>
  <c r="I104" i="51"/>
  <c r="I108" i="51"/>
  <c r="I147" i="51" s="1"/>
  <c r="K103" i="51"/>
  <c r="I103" i="51"/>
  <c r="K102" i="51"/>
  <c r="J98" i="51"/>
  <c r="J146" i="51"/>
  <c r="H98" i="51"/>
  <c r="G98" i="51"/>
  <c r="G146" i="51" s="1"/>
  <c r="F98" i="51"/>
  <c r="F146" i="51" s="1"/>
  <c r="I96" i="51"/>
  <c r="K96" i="51"/>
  <c r="I95" i="51"/>
  <c r="K95" i="51" s="1"/>
  <c r="I94" i="51"/>
  <c r="K94" i="51" s="1"/>
  <c r="I93" i="51"/>
  <c r="K93" i="51" s="1"/>
  <c r="K92" i="51"/>
  <c r="K91" i="51"/>
  <c r="I90" i="51"/>
  <c r="K90" i="51" s="1"/>
  <c r="I89" i="51"/>
  <c r="K89" i="51" s="1"/>
  <c r="K88" i="51"/>
  <c r="I87" i="51"/>
  <c r="K87" i="51" s="1"/>
  <c r="I86" i="51"/>
  <c r="J82" i="51"/>
  <c r="J145" i="51" s="1"/>
  <c r="I82" i="51"/>
  <c r="I145" i="51"/>
  <c r="H82" i="51"/>
  <c r="H145" i="51"/>
  <c r="G82" i="51"/>
  <c r="G145" i="51"/>
  <c r="F82" i="51"/>
  <c r="K80" i="51"/>
  <c r="K79" i="51"/>
  <c r="K78" i="51"/>
  <c r="K77" i="51"/>
  <c r="J74" i="51"/>
  <c r="J144" i="51" s="1"/>
  <c r="I74" i="51"/>
  <c r="I144" i="51" s="1"/>
  <c r="H74" i="51"/>
  <c r="H144" i="51" s="1"/>
  <c r="G74" i="51"/>
  <c r="G144" i="51"/>
  <c r="G152" i="51" s="1"/>
  <c r="F74" i="51"/>
  <c r="F144" i="51"/>
  <c r="K72" i="51"/>
  <c r="K71" i="51"/>
  <c r="K70" i="51"/>
  <c r="K69" i="51"/>
  <c r="K68" i="51"/>
  <c r="K74" i="51"/>
  <c r="K144" i="51" s="1"/>
  <c r="J64" i="51"/>
  <c r="J143" i="51" s="1"/>
  <c r="I64" i="51"/>
  <c r="I143" i="51"/>
  <c r="H64" i="51"/>
  <c r="H143" i="51"/>
  <c r="G64" i="51"/>
  <c r="G143" i="51" s="1"/>
  <c r="F64" i="51"/>
  <c r="F143" i="51" s="1"/>
  <c r="K62" i="51"/>
  <c r="K61" i="51"/>
  <c r="K60" i="51"/>
  <c r="K59" i="51"/>
  <c r="K58" i="51"/>
  <c r="K57" i="51"/>
  <c r="K56" i="51"/>
  <c r="K55" i="51"/>
  <c r="K54" i="51"/>
  <c r="K53" i="51"/>
  <c r="J49" i="51"/>
  <c r="J142" i="51" s="1"/>
  <c r="I49" i="51"/>
  <c r="I142" i="51"/>
  <c r="H49" i="51"/>
  <c r="H142" i="51" s="1"/>
  <c r="G49" i="51"/>
  <c r="G142" i="51"/>
  <c r="F49" i="51"/>
  <c r="F142" i="51" s="1"/>
  <c r="K47" i="51"/>
  <c r="K46" i="51"/>
  <c r="K45" i="51"/>
  <c r="K44" i="51"/>
  <c r="K43" i="51"/>
  <c r="K42" i="51"/>
  <c r="K41" i="51"/>
  <c r="K40" i="51"/>
  <c r="J36" i="51"/>
  <c r="J141" i="51"/>
  <c r="H36" i="51"/>
  <c r="H141" i="51"/>
  <c r="G36" i="51"/>
  <c r="G141" i="51" s="1"/>
  <c r="F36" i="51"/>
  <c r="F141" i="51" s="1"/>
  <c r="I34" i="51"/>
  <c r="K34" i="51" s="1"/>
  <c r="I33" i="51"/>
  <c r="K33" i="51"/>
  <c r="I32" i="51"/>
  <c r="K32" i="51" s="1"/>
  <c r="I31" i="51"/>
  <c r="K31" i="51" s="1"/>
  <c r="I30" i="51"/>
  <c r="K30" i="51" s="1"/>
  <c r="K29" i="51"/>
  <c r="K28" i="51"/>
  <c r="I28" i="51"/>
  <c r="I27" i="51"/>
  <c r="K27" i="51"/>
  <c r="K26" i="51"/>
  <c r="I26" i="51"/>
  <c r="K25" i="51"/>
  <c r="K24" i="51"/>
  <c r="K23" i="51"/>
  <c r="I23" i="51"/>
  <c r="K22" i="51"/>
  <c r="K21" i="51"/>
  <c r="K18" i="51"/>
  <c r="K150" i="51" s="1"/>
  <c r="K108" i="51"/>
  <c r="K147" i="51" s="1"/>
  <c r="K104" i="51"/>
  <c r="I150" i="50"/>
  <c r="I149" i="50"/>
  <c r="J137" i="50"/>
  <c r="J149" i="50" s="1"/>
  <c r="I137" i="50"/>
  <c r="H137" i="50"/>
  <c r="H149" i="50"/>
  <c r="G137" i="50"/>
  <c r="G149" i="50"/>
  <c r="F137" i="50"/>
  <c r="F149" i="50"/>
  <c r="K135" i="50"/>
  <c r="K134" i="50"/>
  <c r="K133" i="50"/>
  <c r="K132" i="50"/>
  <c r="K137" i="50" s="1"/>
  <c r="K149" i="50" s="1"/>
  <c r="K131" i="50"/>
  <c r="F125" i="50"/>
  <c r="F121" i="50"/>
  <c r="E16" i="58" s="1"/>
  <c r="F118" i="50"/>
  <c r="F117" i="50"/>
  <c r="F114" i="50"/>
  <c r="F111" i="50"/>
  <c r="J108" i="50"/>
  <c r="J147" i="50"/>
  <c r="I106" i="50"/>
  <c r="K106" i="50" s="1"/>
  <c r="I105" i="50"/>
  <c r="K105" i="50" s="1"/>
  <c r="G105" i="50"/>
  <c r="G79" i="57" s="1"/>
  <c r="I104" i="50"/>
  <c r="H104" i="50"/>
  <c r="I103" i="50"/>
  <c r="H103" i="50"/>
  <c r="K103" i="50" s="1"/>
  <c r="G103" i="50"/>
  <c r="F103" i="50"/>
  <c r="I102" i="50"/>
  <c r="H102" i="50"/>
  <c r="K102" i="50" s="1"/>
  <c r="G102" i="50"/>
  <c r="F102" i="50"/>
  <c r="F108" i="50" s="1"/>
  <c r="I96" i="50"/>
  <c r="K96" i="50" s="1"/>
  <c r="I95" i="50"/>
  <c r="K95" i="50" s="1"/>
  <c r="I94" i="50"/>
  <c r="H94" i="50"/>
  <c r="G94" i="50"/>
  <c r="G67" i="57" s="1"/>
  <c r="F94" i="50"/>
  <c r="F67" i="57" s="1"/>
  <c r="I93" i="50"/>
  <c r="H93" i="50"/>
  <c r="G93" i="50"/>
  <c r="F93" i="50"/>
  <c r="I92" i="50"/>
  <c r="H92" i="50"/>
  <c r="G92" i="50"/>
  <c r="G65" i="57" s="1"/>
  <c r="F92" i="50"/>
  <c r="F65" i="57" s="1"/>
  <c r="I91" i="50"/>
  <c r="H91" i="50"/>
  <c r="G91" i="50"/>
  <c r="F91" i="50"/>
  <c r="I90" i="50"/>
  <c r="H90" i="50"/>
  <c r="G90" i="50"/>
  <c r="G63" i="57" s="1"/>
  <c r="F90" i="50"/>
  <c r="F63" i="57" s="1"/>
  <c r="I89" i="50"/>
  <c r="H89" i="50"/>
  <c r="G89" i="50"/>
  <c r="G62" i="57" s="1"/>
  <c r="F89" i="50"/>
  <c r="F62" i="57" s="1"/>
  <c r="I88" i="50"/>
  <c r="H88" i="50"/>
  <c r="G88" i="50"/>
  <c r="F88" i="50"/>
  <c r="I87" i="50"/>
  <c r="H87" i="50"/>
  <c r="G87" i="50"/>
  <c r="G60" i="57" s="1"/>
  <c r="F87" i="50"/>
  <c r="F60" i="57" s="1"/>
  <c r="I86" i="50"/>
  <c r="H86" i="50"/>
  <c r="G86" i="50"/>
  <c r="G59" i="57" s="1"/>
  <c r="F86" i="50"/>
  <c r="F59" i="57" s="1"/>
  <c r="J82" i="50"/>
  <c r="J145" i="50" s="1"/>
  <c r="I82" i="50"/>
  <c r="I145" i="50" s="1"/>
  <c r="H80" i="50"/>
  <c r="G80" i="50"/>
  <c r="G51" i="57" s="1"/>
  <c r="F80" i="50"/>
  <c r="F51" i="57" s="1"/>
  <c r="H79" i="50"/>
  <c r="G79" i="50"/>
  <c r="G50" i="57" s="1"/>
  <c r="F79" i="50"/>
  <c r="F50" i="57" s="1"/>
  <c r="H78" i="50"/>
  <c r="G78" i="50"/>
  <c r="G49" i="57" s="1"/>
  <c r="F78" i="50"/>
  <c r="F49" i="57" s="1"/>
  <c r="H77" i="50"/>
  <c r="G77" i="50"/>
  <c r="F77" i="50"/>
  <c r="J69" i="50"/>
  <c r="I69" i="50"/>
  <c r="I41" i="57" s="1"/>
  <c r="H69" i="50"/>
  <c r="G69" i="50"/>
  <c r="G41" i="57" s="1"/>
  <c r="F69" i="50"/>
  <c r="F41" i="57" s="1"/>
  <c r="I68" i="50"/>
  <c r="I40" i="57" s="1"/>
  <c r="H68" i="50"/>
  <c r="G68" i="50"/>
  <c r="G40" i="57" s="1"/>
  <c r="G74" i="50"/>
  <c r="G144" i="50" s="1"/>
  <c r="F68" i="50"/>
  <c r="F40" i="57" s="1"/>
  <c r="J57" i="50"/>
  <c r="I57" i="50"/>
  <c r="H57" i="50"/>
  <c r="G57" i="50"/>
  <c r="F57" i="50"/>
  <c r="J56" i="50"/>
  <c r="I56" i="50"/>
  <c r="H56" i="50"/>
  <c r="G56" i="50"/>
  <c r="F56" i="50"/>
  <c r="J55" i="50"/>
  <c r="I55" i="50"/>
  <c r="H55" i="50"/>
  <c r="G55" i="50"/>
  <c r="F55" i="50"/>
  <c r="J54" i="50"/>
  <c r="I54" i="50"/>
  <c r="H54" i="50"/>
  <c r="G54" i="50"/>
  <c r="F54" i="50"/>
  <c r="J53" i="50"/>
  <c r="I53" i="50"/>
  <c r="H53" i="50"/>
  <c r="G53" i="50"/>
  <c r="F53" i="50"/>
  <c r="I43" i="50"/>
  <c r="I28" i="57" s="1"/>
  <c r="H43" i="50"/>
  <c r="G43" i="50"/>
  <c r="G28" i="57" s="1"/>
  <c r="F43" i="50"/>
  <c r="F28" i="57" s="1"/>
  <c r="I42" i="50"/>
  <c r="H42" i="50"/>
  <c r="G42" i="50"/>
  <c r="F42" i="50"/>
  <c r="I41" i="50"/>
  <c r="H41" i="50"/>
  <c r="G41" i="50"/>
  <c r="F41" i="50"/>
  <c r="I40" i="50"/>
  <c r="H40" i="50"/>
  <c r="G40" i="50"/>
  <c r="G25" i="57" s="1"/>
  <c r="F40" i="50"/>
  <c r="F25" i="57" s="1"/>
  <c r="I34" i="50"/>
  <c r="K34" i="50" s="1"/>
  <c r="I33" i="50"/>
  <c r="K33" i="50" s="1"/>
  <c r="I32" i="50"/>
  <c r="K32" i="50" s="1"/>
  <c r="I31" i="50"/>
  <c r="K31" i="50" s="1"/>
  <c r="I30" i="50"/>
  <c r="H30" i="50"/>
  <c r="G30" i="50"/>
  <c r="G18" i="57" s="1"/>
  <c r="F30" i="50"/>
  <c r="I29" i="50"/>
  <c r="H29" i="50"/>
  <c r="G29" i="50"/>
  <c r="G17" i="57" s="1"/>
  <c r="F29" i="50"/>
  <c r="J16" i="57"/>
  <c r="I28" i="50"/>
  <c r="H28" i="50"/>
  <c r="G28" i="50"/>
  <c r="G16" i="57" s="1"/>
  <c r="F28" i="50"/>
  <c r="F16" i="57" s="1"/>
  <c r="J15" i="57"/>
  <c r="I27" i="50"/>
  <c r="H27" i="50"/>
  <c r="G27" i="50"/>
  <c r="G15" i="57" s="1"/>
  <c r="F27" i="50"/>
  <c r="F15" i="57" s="1"/>
  <c r="J14" i="57"/>
  <c r="I26" i="50"/>
  <c r="H26" i="50"/>
  <c r="G26" i="50"/>
  <c r="G14" i="57" s="1"/>
  <c r="F26" i="50"/>
  <c r="F14" i="57" s="1"/>
  <c r="I25" i="50"/>
  <c r="H25" i="50"/>
  <c r="G25" i="50"/>
  <c r="G13" i="57" s="1"/>
  <c r="F25" i="50"/>
  <c r="J12" i="57"/>
  <c r="I24" i="50"/>
  <c r="H24" i="50"/>
  <c r="G24" i="50"/>
  <c r="F24" i="50"/>
  <c r="I23" i="50"/>
  <c r="H23" i="50"/>
  <c r="G23" i="50"/>
  <c r="G11" i="57" s="1"/>
  <c r="F23" i="50"/>
  <c r="I22" i="50"/>
  <c r="H22" i="50"/>
  <c r="G22" i="50"/>
  <c r="G10" i="57" s="1"/>
  <c r="F22" i="50"/>
  <c r="I21" i="50"/>
  <c r="H21" i="50"/>
  <c r="G21" i="50"/>
  <c r="F21" i="50"/>
  <c r="H18" i="50"/>
  <c r="H150" i="50" s="1"/>
  <c r="G18" i="50"/>
  <c r="G6" i="57" s="1"/>
  <c r="G111" i="57" s="1"/>
  <c r="C2" i="56" s="1"/>
  <c r="F18" i="50"/>
  <c r="F6" i="57" s="1"/>
  <c r="F111" i="57" s="1"/>
  <c r="B2" i="56" s="1"/>
  <c r="H64" i="50"/>
  <c r="H143" i="50" s="1"/>
  <c r="J98" i="50"/>
  <c r="J146" i="50"/>
  <c r="J36" i="50"/>
  <c r="J141" i="50" s="1"/>
  <c r="I74" i="50"/>
  <c r="I144" i="50" s="1"/>
  <c r="J150" i="50"/>
  <c r="J150" i="49"/>
  <c r="I150" i="49"/>
  <c r="H150" i="49"/>
  <c r="K148" i="49"/>
  <c r="K9" i="58" s="1"/>
  <c r="J146" i="49"/>
  <c r="J144" i="49"/>
  <c r="H144" i="49"/>
  <c r="G144" i="49"/>
  <c r="H143" i="49"/>
  <c r="J142" i="49"/>
  <c r="F142" i="49"/>
  <c r="J137" i="49"/>
  <c r="J149" i="49"/>
  <c r="I137" i="49"/>
  <c r="I149" i="49" s="1"/>
  <c r="H137" i="49"/>
  <c r="H149" i="49" s="1"/>
  <c r="G137" i="49"/>
  <c r="G149" i="49" s="1"/>
  <c r="F137" i="49"/>
  <c r="F149" i="49" s="1"/>
  <c r="K135" i="49"/>
  <c r="K134" i="49"/>
  <c r="K137" i="49" s="1"/>
  <c r="K149" i="49" s="1"/>
  <c r="K133" i="49"/>
  <c r="K132" i="49"/>
  <c r="K131" i="49"/>
  <c r="F127" i="49"/>
  <c r="F118" i="49"/>
  <c r="F119" i="49" s="1"/>
  <c r="F123" i="49" s="1"/>
  <c r="J108" i="49"/>
  <c r="J147" i="49"/>
  <c r="H108" i="49"/>
  <c r="H147" i="49" s="1"/>
  <c r="G108" i="49"/>
  <c r="G147" i="49"/>
  <c r="F108" i="49"/>
  <c r="F147" i="49" s="1"/>
  <c r="I106" i="49"/>
  <c r="K106" i="49" s="1"/>
  <c r="I105" i="49"/>
  <c r="K105" i="49" s="1"/>
  <c r="K104" i="49"/>
  <c r="I104" i="49"/>
  <c r="I103" i="49"/>
  <c r="K103" i="49" s="1"/>
  <c r="I102" i="49"/>
  <c r="K102" i="49" s="1"/>
  <c r="K108" i="49" s="1"/>
  <c r="K147" i="49" s="1"/>
  <c r="J98" i="49"/>
  <c r="H98" i="49"/>
  <c r="H146" i="49" s="1"/>
  <c r="G98" i="49"/>
  <c r="G146" i="49" s="1"/>
  <c r="F98" i="49"/>
  <c r="F146" i="49" s="1"/>
  <c r="I96" i="49"/>
  <c r="K96" i="49" s="1"/>
  <c r="I95" i="49"/>
  <c r="K95" i="49" s="1"/>
  <c r="I94" i="49"/>
  <c r="K94" i="49" s="1"/>
  <c r="I93" i="49"/>
  <c r="K93" i="49" s="1"/>
  <c r="K92" i="49"/>
  <c r="I92" i="49"/>
  <c r="I91" i="49"/>
  <c r="K91" i="49" s="1"/>
  <c r="K90" i="49"/>
  <c r="I90" i="49"/>
  <c r="I89" i="49"/>
  <c r="K89" i="49" s="1"/>
  <c r="I88" i="49"/>
  <c r="K88" i="49" s="1"/>
  <c r="I87" i="49"/>
  <c r="K87" i="49" s="1"/>
  <c r="I86" i="49"/>
  <c r="J82" i="49"/>
  <c r="J145" i="49" s="1"/>
  <c r="I82" i="49"/>
  <c r="I145" i="49" s="1"/>
  <c r="G82" i="49"/>
  <c r="G145" i="49" s="1"/>
  <c r="F82" i="49"/>
  <c r="F145" i="49"/>
  <c r="K80" i="49"/>
  <c r="I79" i="49"/>
  <c r="K79" i="49"/>
  <c r="K78" i="49"/>
  <c r="H77" i="49"/>
  <c r="H82" i="49"/>
  <c r="H145" i="49" s="1"/>
  <c r="J74" i="49"/>
  <c r="I74" i="49"/>
  <c r="I144" i="49"/>
  <c r="H74" i="49"/>
  <c r="G74" i="49"/>
  <c r="F74" i="49"/>
  <c r="F144" i="49" s="1"/>
  <c r="K72" i="49"/>
  <c r="K71" i="49"/>
  <c r="K70" i="49"/>
  <c r="K69" i="49"/>
  <c r="K68" i="49"/>
  <c r="K74" i="49" s="1"/>
  <c r="K144" i="49"/>
  <c r="J64" i="49"/>
  <c r="J143" i="49"/>
  <c r="H64" i="49"/>
  <c r="G64" i="49"/>
  <c r="G143" i="49" s="1"/>
  <c r="F64" i="49"/>
  <c r="F143" i="49" s="1"/>
  <c r="I62" i="49"/>
  <c r="K62" i="49" s="1"/>
  <c r="I61" i="49"/>
  <c r="K61" i="49" s="1"/>
  <c r="I60" i="49"/>
  <c r="K60" i="49"/>
  <c r="I59" i="49"/>
  <c r="K59" i="49" s="1"/>
  <c r="I58" i="49"/>
  <c r="K58" i="49"/>
  <c r="I57" i="49"/>
  <c r="K57" i="49" s="1"/>
  <c r="I56" i="49"/>
  <c r="K56" i="49" s="1"/>
  <c r="I55" i="49"/>
  <c r="K55" i="49" s="1"/>
  <c r="I54" i="49"/>
  <c r="K54" i="49" s="1"/>
  <c r="I53" i="49"/>
  <c r="K53" i="49" s="1"/>
  <c r="J49" i="49"/>
  <c r="H49" i="49"/>
  <c r="H142" i="49" s="1"/>
  <c r="G49" i="49"/>
  <c r="G142" i="49" s="1"/>
  <c r="F49" i="49"/>
  <c r="I47" i="49"/>
  <c r="K47" i="49" s="1"/>
  <c r="I46" i="49"/>
  <c r="K46" i="49"/>
  <c r="I45" i="49"/>
  <c r="K45" i="49" s="1"/>
  <c r="I44" i="49"/>
  <c r="K44" i="49"/>
  <c r="I43" i="49"/>
  <c r="K43" i="49" s="1"/>
  <c r="I42" i="49"/>
  <c r="K42" i="49"/>
  <c r="I41" i="49"/>
  <c r="K41" i="49" s="1"/>
  <c r="I40" i="49"/>
  <c r="J36" i="49"/>
  <c r="J141" i="49"/>
  <c r="H36" i="49"/>
  <c r="H141" i="49" s="1"/>
  <c r="G36" i="49"/>
  <c r="G141" i="49"/>
  <c r="F36" i="49"/>
  <c r="F141" i="49" s="1"/>
  <c r="I34" i="49"/>
  <c r="K34" i="49" s="1"/>
  <c r="I33" i="49"/>
  <c r="K33" i="49" s="1"/>
  <c r="I32" i="49"/>
  <c r="K32" i="49" s="1"/>
  <c r="I31" i="49"/>
  <c r="K31" i="49"/>
  <c r="K30" i="49"/>
  <c r="I30" i="49"/>
  <c r="I29" i="49"/>
  <c r="K29" i="49"/>
  <c r="I28" i="49"/>
  <c r="K28" i="49" s="1"/>
  <c r="I27" i="49"/>
  <c r="K27" i="49"/>
  <c r="I26" i="49"/>
  <c r="K26" i="49" s="1"/>
  <c r="I25" i="49"/>
  <c r="K25" i="49" s="1"/>
  <c r="I24" i="49"/>
  <c r="K24" i="49" s="1"/>
  <c r="I23" i="49"/>
  <c r="K23" i="49"/>
  <c r="K21" i="49"/>
  <c r="I21" i="49"/>
  <c r="K18" i="49"/>
  <c r="K150" i="49" s="1"/>
  <c r="J150" i="48"/>
  <c r="I150" i="48"/>
  <c r="H150" i="48"/>
  <c r="J149" i="48"/>
  <c r="K148" i="48"/>
  <c r="K5" i="58" s="1"/>
  <c r="J147" i="48"/>
  <c r="F147" i="48"/>
  <c r="G145" i="48"/>
  <c r="I144" i="48"/>
  <c r="G144" i="48"/>
  <c r="G142" i="48"/>
  <c r="J141" i="48"/>
  <c r="F141" i="48"/>
  <c r="J137" i="48"/>
  <c r="I137" i="48"/>
  <c r="I149" i="48" s="1"/>
  <c r="H137" i="48"/>
  <c r="H149" i="48" s="1"/>
  <c r="G137" i="48"/>
  <c r="G149" i="48" s="1"/>
  <c r="G152" i="48" s="1"/>
  <c r="F137" i="48"/>
  <c r="F149" i="48" s="1"/>
  <c r="K135" i="48"/>
  <c r="K134" i="48"/>
  <c r="K133" i="48"/>
  <c r="K132" i="48"/>
  <c r="K131" i="48"/>
  <c r="F119" i="48"/>
  <c r="J108" i="48"/>
  <c r="H108" i="48"/>
  <c r="H147" i="48" s="1"/>
  <c r="G108" i="48"/>
  <c r="G147" i="48" s="1"/>
  <c r="F108" i="48"/>
  <c r="I106" i="48"/>
  <c r="K106" i="48" s="1"/>
  <c r="I105" i="48"/>
  <c r="K105" i="48" s="1"/>
  <c r="K104" i="48"/>
  <c r="I103" i="48"/>
  <c r="I108" i="48" s="1"/>
  <c r="I147" i="48" s="1"/>
  <c r="K102" i="48"/>
  <c r="J98" i="48"/>
  <c r="J146" i="48" s="1"/>
  <c r="H98" i="48"/>
  <c r="H146" i="48" s="1"/>
  <c r="G98" i="48"/>
  <c r="G146" i="48" s="1"/>
  <c r="F98" i="48"/>
  <c r="F146" i="48" s="1"/>
  <c r="I96" i="48"/>
  <c r="K96" i="48" s="1"/>
  <c r="I95" i="48"/>
  <c r="K95" i="48" s="1"/>
  <c r="K94" i="48"/>
  <c r="I94" i="48"/>
  <c r="I93" i="48"/>
  <c r="K93" i="48" s="1"/>
  <c r="K92" i="48"/>
  <c r="I92" i="48"/>
  <c r="I91" i="48"/>
  <c r="K91" i="48" s="1"/>
  <c r="I90" i="48"/>
  <c r="K90" i="48" s="1"/>
  <c r="I89" i="48"/>
  <c r="K89" i="48" s="1"/>
  <c r="K88" i="48"/>
  <c r="I87" i="48"/>
  <c r="K87" i="48"/>
  <c r="K98" i="48" s="1"/>
  <c r="K146" i="48" s="1"/>
  <c r="I86" i="48"/>
  <c r="K86" i="48"/>
  <c r="J82" i="48"/>
  <c r="J145" i="48" s="1"/>
  <c r="I82" i="48"/>
  <c r="I145" i="48" s="1"/>
  <c r="H82" i="48"/>
  <c r="H145" i="48"/>
  <c r="G82" i="48"/>
  <c r="F82" i="48"/>
  <c r="F145" i="48" s="1"/>
  <c r="K80" i="48"/>
  <c r="K79" i="48"/>
  <c r="K78" i="48"/>
  <c r="K77" i="48"/>
  <c r="K82" i="48" s="1"/>
  <c r="K145" i="48" s="1"/>
  <c r="J74" i="48"/>
  <c r="J144" i="48"/>
  <c r="I74" i="48"/>
  <c r="H74" i="48"/>
  <c r="H144" i="48" s="1"/>
  <c r="G74" i="48"/>
  <c r="F74" i="48"/>
  <c r="F144" i="48" s="1"/>
  <c r="K72" i="48"/>
  <c r="K71" i="48"/>
  <c r="K70" i="48"/>
  <c r="K69" i="48"/>
  <c r="K74" i="48"/>
  <c r="K144" i="48" s="1"/>
  <c r="K68" i="48"/>
  <c r="J64" i="48"/>
  <c r="J143" i="48"/>
  <c r="I64" i="48"/>
  <c r="I143" i="48" s="1"/>
  <c r="H64" i="48"/>
  <c r="H143" i="48"/>
  <c r="G64" i="48"/>
  <c r="G143" i="48" s="1"/>
  <c r="F64" i="48"/>
  <c r="F143" i="48"/>
  <c r="K62" i="48"/>
  <c r="K61" i="48"/>
  <c r="K60" i="48"/>
  <c r="K59" i="48"/>
  <c r="K58" i="48"/>
  <c r="K57" i="48"/>
  <c r="K56" i="48"/>
  <c r="K55" i="48"/>
  <c r="K54" i="48"/>
  <c r="K53" i="48"/>
  <c r="K64" i="48" s="1"/>
  <c r="K143" i="48" s="1"/>
  <c r="J49" i="48"/>
  <c r="J142" i="48"/>
  <c r="I49" i="48"/>
  <c r="I142" i="48"/>
  <c r="H49" i="48"/>
  <c r="H142" i="48" s="1"/>
  <c r="G49" i="48"/>
  <c r="F49" i="48"/>
  <c r="F142" i="48"/>
  <c r="K47" i="48"/>
  <c r="K46" i="48"/>
  <c r="K45" i="48"/>
  <c r="K44" i="48"/>
  <c r="K43" i="48"/>
  <c r="K42" i="48"/>
  <c r="K41" i="48"/>
  <c r="K40" i="48"/>
  <c r="K49" i="48" s="1"/>
  <c r="K142" i="48" s="1"/>
  <c r="J36" i="48"/>
  <c r="H36" i="48"/>
  <c r="H141" i="48" s="1"/>
  <c r="H152" i="48" s="1"/>
  <c r="G36" i="48"/>
  <c r="G141" i="48" s="1"/>
  <c r="F36" i="48"/>
  <c r="I34" i="48"/>
  <c r="K34" i="48" s="1"/>
  <c r="I33" i="48"/>
  <c r="K33" i="48" s="1"/>
  <c r="I32" i="48"/>
  <c r="K32" i="48"/>
  <c r="I31" i="48"/>
  <c r="K31" i="48" s="1"/>
  <c r="K30" i="48"/>
  <c r="K29" i="48"/>
  <c r="I28" i="48"/>
  <c r="K28" i="48" s="1"/>
  <c r="I27" i="48"/>
  <c r="K27" i="48"/>
  <c r="I26" i="48"/>
  <c r="K26" i="48" s="1"/>
  <c r="I25" i="48"/>
  <c r="K25" i="48" s="1"/>
  <c r="K24" i="48"/>
  <c r="I23" i="48"/>
  <c r="K23" i="48"/>
  <c r="I22" i="48"/>
  <c r="K21" i="48"/>
  <c r="K18" i="48"/>
  <c r="K150" i="48" s="1"/>
  <c r="I49" i="49"/>
  <c r="I142" i="49" s="1"/>
  <c r="K40" i="49"/>
  <c r="K150" i="47"/>
  <c r="J150" i="47"/>
  <c r="I150" i="47"/>
  <c r="H150" i="47"/>
  <c r="J149" i="47"/>
  <c r="F149" i="47"/>
  <c r="K148" i="47"/>
  <c r="K13" i="58" s="1"/>
  <c r="J145" i="47"/>
  <c r="G145" i="47"/>
  <c r="G144" i="47"/>
  <c r="J137" i="47"/>
  <c r="I137" i="47"/>
  <c r="I149" i="47" s="1"/>
  <c r="H137" i="47"/>
  <c r="H149" i="47"/>
  <c r="G137" i="47"/>
  <c r="G149" i="47" s="1"/>
  <c r="F137" i="47"/>
  <c r="K135" i="47"/>
  <c r="K134" i="47"/>
  <c r="K133" i="47"/>
  <c r="K149" i="47"/>
  <c r="K132" i="47"/>
  <c r="K131" i="47"/>
  <c r="K137" i="47" s="1"/>
  <c r="F118" i="47"/>
  <c r="F119" i="47"/>
  <c r="F123" i="47" s="1"/>
  <c r="F127" i="47" s="1"/>
  <c r="J108" i="47"/>
  <c r="J147" i="47"/>
  <c r="H108" i="47"/>
  <c r="H147" i="47"/>
  <c r="G108" i="47"/>
  <c r="G147" i="47"/>
  <c r="F108" i="47"/>
  <c r="F147" i="47"/>
  <c r="I106" i="47"/>
  <c r="K106" i="47"/>
  <c r="I105" i="47"/>
  <c r="K105" i="47"/>
  <c r="I104" i="47"/>
  <c r="K104" i="47"/>
  <c r="I103" i="47"/>
  <c r="K103" i="47"/>
  <c r="K108" i="47" s="1"/>
  <c r="K147" i="47" s="1"/>
  <c r="I102" i="47"/>
  <c r="I108" i="47"/>
  <c r="I147" i="47" s="1"/>
  <c r="J98" i="47"/>
  <c r="J146" i="47" s="1"/>
  <c r="G98" i="47"/>
  <c r="G146" i="47" s="1"/>
  <c r="F98" i="47"/>
  <c r="F146" i="47" s="1"/>
  <c r="I96" i="47"/>
  <c r="K96" i="47" s="1"/>
  <c r="I95" i="47"/>
  <c r="K95" i="47" s="1"/>
  <c r="I94" i="47"/>
  <c r="K94" i="47"/>
  <c r="I93" i="47"/>
  <c r="K93" i="47" s="1"/>
  <c r="I92" i="47"/>
  <c r="K92" i="47" s="1"/>
  <c r="I91" i="47"/>
  <c r="H91" i="47"/>
  <c r="F91" i="47"/>
  <c r="I90" i="47"/>
  <c r="K90" i="47" s="1"/>
  <c r="I89" i="47"/>
  <c r="K89" i="47" s="1"/>
  <c r="I88" i="47"/>
  <c r="K88" i="47" s="1"/>
  <c r="I87" i="47"/>
  <c r="K87" i="47" s="1"/>
  <c r="I86" i="47"/>
  <c r="J82" i="47"/>
  <c r="I82" i="47"/>
  <c r="I145" i="47" s="1"/>
  <c r="G82" i="47"/>
  <c r="F82" i="47"/>
  <c r="F145" i="47" s="1"/>
  <c r="K80" i="47"/>
  <c r="K79" i="47"/>
  <c r="F79" i="47"/>
  <c r="K78" i="47"/>
  <c r="H77" i="47"/>
  <c r="K77" i="47" s="1"/>
  <c r="K82" i="47" s="1"/>
  <c r="K145" i="47" s="1"/>
  <c r="J74" i="47"/>
  <c r="J144" i="47" s="1"/>
  <c r="G74" i="47"/>
  <c r="F74" i="47"/>
  <c r="F144" i="47" s="1"/>
  <c r="I72" i="47"/>
  <c r="K72" i="47"/>
  <c r="I71" i="47"/>
  <c r="K71" i="47" s="1"/>
  <c r="I70" i="47"/>
  <c r="K70" i="47" s="1"/>
  <c r="I69" i="47"/>
  <c r="K69" i="47" s="1"/>
  <c r="K74" i="47" s="1"/>
  <c r="K144" i="47" s="1"/>
  <c r="I68" i="47"/>
  <c r="K68" i="47" s="1"/>
  <c r="I74" i="47"/>
  <c r="I144" i="47" s="1"/>
  <c r="H68" i="47"/>
  <c r="J64" i="47"/>
  <c r="J143" i="47"/>
  <c r="G64" i="47"/>
  <c r="G143" i="47" s="1"/>
  <c r="K62" i="47"/>
  <c r="I62" i="47"/>
  <c r="I61" i="47"/>
  <c r="K61" i="47" s="1"/>
  <c r="I60" i="47"/>
  <c r="K60" i="47" s="1"/>
  <c r="I59" i="47"/>
  <c r="K59" i="47" s="1"/>
  <c r="F59" i="47"/>
  <c r="F64" i="47" s="1"/>
  <c r="F143" i="47" s="1"/>
  <c r="I58" i="47"/>
  <c r="K58" i="47"/>
  <c r="I57" i="47"/>
  <c r="K57" i="47"/>
  <c r="I56" i="47"/>
  <c r="K56" i="47"/>
  <c r="I55" i="47"/>
  <c r="K55" i="47"/>
  <c r="H54" i="47"/>
  <c r="H64" i="47"/>
  <c r="H143" i="47" s="1"/>
  <c r="K53" i="47"/>
  <c r="I53" i="47"/>
  <c r="J49" i="47"/>
  <c r="J142" i="47" s="1"/>
  <c r="J152" i="47" s="1"/>
  <c r="G49" i="47"/>
  <c r="G142" i="47" s="1"/>
  <c r="I47" i="47"/>
  <c r="K47" i="47" s="1"/>
  <c r="I46" i="47"/>
  <c r="K46" i="47"/>
  <c r="I45" i="47"/>
  <c r="K45" i="47" s="1"/>
  <c r="I44" i="47"/>
  <c r="K44" i="47"/>
  <c r="I43" i="47"/>
  <c r="K43" i="47" s="1"/>
  <c r="H42" i="47"/>
  <c r="H49" i="47"/>
  <c r="H142" i="47"/>
  <c r="F42" i="47"/>
  <c r="I41" i="47"/>
  <c r="K41" i="47"/>
  <c r="I40" i="47"/>
  <c r="K40" i="47" s="1"/>
  <c r="J36" i="47"/>
  <c r="J141" i="47"/>
  <c r="G36" i="47"/>
  <c r="G141" i="47"/>
  <c r="I34" i="47"/>
  <c r="K34" i="47" s="1"/>
  <c r="I33" i="47"/>
  <c r="K33" i="47"/>
  <c r="I32" i="47"/>
  <c r="K32" i="47" s="1"/>
  <c r="I31" i="47"/>
  <c r="K31" i="47" s="1"/>
  <c r="I30" i="47"/>
  <c r="K30" i="47" s="1"/>
  <c r="I29" i="47"/>
  <c r="K29" i="47"/>
  <c r="F29" i="47"/>
  <c r="I28" i="47"/>
  <c r="K28" i="47" s="1"/>
  <c r="I27" i="47"/>
  <c r="K27" i="47" s="1"/>
  <c r="I26" i="47"/>
  <c r="K26" i="47"/>
  <c r="I25" i="47"/>
  <c r="K25" i="47" s="1"/>
  <c r="H24" i="47"/>
  <c r="F24" i="47"/>
  <c r="I23" i="47"/>
  <c r="K23" i="47" s="1"/>
  <c r="I22" i="47"/>
  <c r="K22" i="47" s="1"/>
  <c r="F22" i="47"/>
  <c r="I21" i="47"/>
  <c r="F21" i="47"/>
  <c r="K18" i="47"/>
  <c r="H82" i="47"/>
  <c r="H145" i="47" s="1"/>
  <c r="I42" i="47"/>
  <c r="K86" i="47"/>
  <c r="K42" i="47"/>
  <c r="I54" i="47"/>
  <c r="I64" i="47" s="1"/>
  <c r="I143" i="47" s="1"/>
  <c r="K54" i="47"/>
  <c r="K102" i="47"/>
  <c r="J150" i="44"/>
  <c r="I150" i="44"/>
  <c r="H150" i="44"/>
  <c r="G149" i="44"/>
  <c r="G152" i="44" s="1"/>
  <c r="K148" i="44"/>
  <c r="K8" i="58" s="1"/>
  <c r="J145" i="44"/>
  <c r="F145" i="44"/>
  <c r="J137" i="44"/>
  <c r="J149" i="44" s="1"/>
  <c r="I137" i="44"/>
  <c r="I149" i="44" s="1"/>
  <c r="H137" i="44"/>
  <c r="H149" i="44" s="1"/>
  <c r="G137" i="44"/>
  <c r="F137" i="44"/>
  <c r="F149" i="44" s="1"/>
  <c r="K135" i="44"/>
  <c r="K134" i="44"/>
  <c r="K133" i="44"/>
  <c r="K132" i="44"/>
  <c r="K131" i="44"/>
  <c r="F119" i="44"/>
  <c r="F123" i="44" s="1"/>
  <c r="F127" i="44" s="1"/>
  <c r="J108" i="44"/>
  <c r="J147" i="44"/>
  <c r="H108" i="44"/>
  <c r="H147" i="44" s="1"/>
  <c r="G108" i="44"/>
  <c r="G147" i="44" s="1"/>
  <c r="F108" i="44"/>
  <c r="F147" i="44" s="1"/>
  <c r="I106" i="44"/>
  <c r="K106" i="44"/>
  <c r="I105" i="44"/>
  <c r="K105" i="44" s="1"/>
  <c r="I104" i="44"/>
  <c r="K104" i="44" s="1"/>
  <c r="I103" i="44"/>
  <c r="K103" i="44" s="1"/>
  <c r="I102" i="44"/>
  <c r="I108" i="44"/>
  <c r="I147" i="44" s="1"/>
  <c r="J98" i="44"/>
  <c r="J146" i="44"/>
  <c r="H98" i="44"/>
  <c r="H146" i="44" s="1"/>
  <c r="G98" i="44"/>
  <c r="G146" i="44" s="1"/>
  <c r="F98" i="44"/>
  <c r="F146" i="44" s="1"/>
  <c r="I96" i="44"/>
  <c r="K96" i="44" s="1"/>
  <c r="I95" i="44"/>
  <c r="K95" i="44" s="1"/>
  <c r="K94" i="44"/>
  <c r="I93" i="44"/>
  <c r="K93" i="44" s="1"/>
  <c r="K92" i="44"/>
  <c r="I92" i="44"/>
  <c r="I91" i="44"/>
  <c r="K91" i="44" s="1"/>
  <c r="I90" i="44"/>
  <c r="K90" i="44" s="1"/>
  <c r="I89" i="44"/>
  <c r="K89" i="44" s="1"/>
  <c r="I88" i="44"/>
  <c r="K88" i="44" s="1"/>
  <c r="I87" i="44"/>
  <c r="K87" i="44" s="1"/>
  <c r="K86" i="44"/>
  <c r="I86" i="44"/>
  <c r="J82" i="44"/>
  <c r="I82" i="44"/>
  <c r="I145" i="44"/>
  <c r="H82" i="44"/>
  <c r="H145" i="44" s="1"/>
  <c r="G82" i="44"/>
  <c r="G145" i="44"/>
  <c r="F82" i="44"/>
  <c r="K80" i="44"/>
  <c r="K79" i="44"/>
  <c r="K78" i="44"/>
  <c r="K82" i="44"/>
  <c r="K145" i="44" s="1"/>
  <c r="K77" i="44"/>
  <c r="J74" i="44"/>
  <c r="J144" i="44" s="1"/>
  <c r="H74" i="44"/>
  <c r="H144" i="44" s="1"/>
  <c r="G74" i="44"/>
  <c r="G144" i="44" s="1"/>
  <c r="F74" i="44"/>
  <c r="F144" i="44" s="1"/>
  <c r="K72" i="44"/>
  <c r="K71" i="44"/>
  <c r="I70" i="44"/>
  <c r="K70" i="44" s="1"/>
  <c r="K69" i="44"/>
  <c r="I68" i="44"/>
  <c r="J64" i="44"/>
  <c r="J143" i="44" s="1"/>
  <c r="H64" i="44"/>
  <c r="H143" i="44"/>
  <c r="G64" i="44"/>
  <c r="G143" i="44" s="1"/>
  <c r="F64" i="44"/>
  <c r="F143" i="44"/>
  <c r="K62" i="44"/>
  <c r="K61" i="44"/>
  <c r="K60" i="44"/>
  <c r="K59" i="44"/>
  <c r="I59" i="44"/>
  <c r="K58" i="44"/>
  <c r="I57" i="44"/>
  <c r="K57" i="44"/>
  <c r="I56" i="44"/>
  <c r="K56" i="44" s="1"/>
  <c r="I55" i="44"/>
  <c r="K55" i="44"/>
  <c r="I54" i="44"/>
  <c r="I53" i="44"/>
  <c r="K53" i="44"/>
  <c r="J49" i="44"/>
  <c r="J142" i="44" s="1"/>
  <c r="H49" i="44"/>
  <c r="H142" i="44"/>
  <c r="G49" i="44"/>
  <c r="G142" i="44" s="1"/>
  <c r="F49" i="44"/>
  <c r="F142" i="44"/>
  <c r="K47" i="44"/>
  <c r="K46" i="44"/>
  <c r="K45" i="44"/>
  <c r="K44" i="44"/>
  <c r="K43" i="44"/>
  <c r="K42" i="44"/>
  <c r="I42" i="44"/>
  <c r="K41" i="44"/>
  <c r="I41" i="44"/>
  <c r="I49" i="44" s="1"/>
  <c r="I142" i="44" s="1"/>
  <c r="K40" i="44"/>
  <c r="K49" i="44" s="1"/>
  <c r="K142" i="44" s="1"/>
  <c r="J36" i="44"/>
  <c r="J141" i="44"/>
  <c r="H36" i="44"/>
  <c r="H141" i="44"/>
  <c r="G36" i="44"/>
  <c r="G141" i="44"/>
  <c r="F36" i="44"/>
  <c r="F141" i="44"/>
  <c r="I34" i="44"/>
  <c r="K34" i="44"/>
  <c r="I33" i="44"/>
  <c r="K33" i="44" s="1"/>
  <c r="I32" i="44"/>
  <c r="K32" i="44" s="1"/>
  <c r="I31" i="44"/>
  <c r="K31" i="44" s="1"/>
  <c r="I30" i="44"/>
  <c r="K30" i="44" s="1"/>
  <c r="I29" i="44"/>
  <c r="K29" i="44" s="1"/>
  <c r="I28" i="44"/>
  <c r="K28" i="44"/>
  <c r="I27" i="44"/>
  <c r="K27" i="44" s="1"/>
  <c r="I26" i="44"/>
  <c r="K26" i="44"/>
  <c r="I25" i="44"/>
  <c r="K25" i="44" s="1"/>
  <c r="I24" i="44"/>
  <c r="K24" i="44" s="1"/>
  <c r="I23" i="44"/>
  <c r="K23" i="44" s="1"/>
  <c r="I22" i="44"/>
  <c r="K22" i="44"/>
  <c r="I21" i="44"/>
  <c r="K18" i="44"/>
  <c r="K150" i="44" s="1"/>
  <c r="J152" i="44"/>
  <c r="K102" i="44"/>
  <c r="J150" i="42"/>
  <c r="I150" i="42"/>
  <c r="H150" i="42"/>
  <c r="J149" i="42"/>
  <c r="K148" i="42"/>
  <c r="K43" i="58" s="1"/>
  <c r="J147" i="42"/>
  <c r="F147" i="42"/>
  <c r="G146" i="42"/>
  <c r="I143" i="42"/>
  <c r="F141" i="42"/>
  <c r="J137" i="42"/>
  <c r="I137" i="42"/>
  <c r="I149" i="42"/>
  <c r="H137" i="42"/>
  <c r="H149" i="42" s="1"/>
  <c r="G137" i="42"/>
  <c r="G149" i="42"/>
  <c r="F137" i="42"/>
  <c r="F149" i="42" s="1"/>
  <c r="K135" i="42"/>
  <c r="K134" i="42"/>
  <c r="K133" i="42"/>
  <c r="K137" i="42"/>
  <c r="K149" i="42" s="1"/>
  <c r="K132" i="42"/>
  <c r="K131" i="42"/>
  <c r="F119" i="42"/>
  <c r="J108" i="42"/>
  <c r="H108" i="42"/>
  <c r="H147" i="42" s="1"/>
  <c r="G108" i="42"/>
  <c r="G147" i="42" s="1"/>
  <c r="F108" i="42"/>
  <c r="I106" i="42"/>
  <c r="K106" i="42" s="1"/>
  <c r="I105" i="42"/>
  <c r="K105" i="42" s="1"/>
  <c r="I104" i="42"/>
  <c r="K104" i="42" s="1"/>
  <c r="K103" i="42"/>
  <c r="K102" i="42"/>
  <c r="K108" i="42" s="1"/>
  <c r="K147" i="42" s="1"/>
  <c r="J98" i="42"/>
  <c r="J146" i="42" s="1"/>
  <c r="H98" i="42"/>
  <c r="H146" i="42" s="1"/>
  <c r="G98" i="42"/>
  <c r="F98" i="42"/>
  <c r="F146" i="42" s="1"/>
  <c r="K96" i="42"/>
  <c r="I96" i="42"/>
  <c r="I95" i="42"/>
  <c r="K95" i="42" s="1"/>
  <c r="K94" i="42"/>
  <c r="I94" i="42"/>
  <c r="I93" i="42"/>
  <c r="K93" i="42" s="1"/>
  <c r="K92" i="42"/>
  <c r="I92" i="42"/>
  <c r="I91" i="42"/>
  <c r="K91" i="42" s="1"/>
  <c r="K90" i="42"/>
  <c r="I90" i="42"/>
  <c r="I89" i="42"/>
  <c r="K89" i="42" s="1"/>
  <c r="K88" i="42"/>
  <c r="I88" i="42"/>
  <c r="I87" i="42"/>
  <c r="K87" i="42" s="1"/>
  <c r="I86" i="42"/>
  <c r="I98" i="42" s="1"/>
  <c r="I146" i="42" s="1"/>
  <c r="J82" i="42"/>
  <c r="J145" i="42" s="1"/>
  <c r="I82" i="42"/>
  <c r="I145" i="42" s="1"/>
  <c r="H82" i="42"/>
  <c r="H145" i="42" s="1"/>
  <c r="G82" i="42"/>
  <c r="G145" i="42"/>
  <c r="F82" i="42"/>
  <c r="F145" i="42" s="1"/>
  <c r="K80" i="42"/>
  <c r="K79" i="42"/>
  <c r="K78" i="42"/>
  <c r="K77" i="42"/>
  <c r="K82" i="42"/>
  <c r="K145" i="42" s="1"/>
  <c r="J74" i="42"/>
  <c r="J144" i="42" s="1"/>
  <c r="I74" i="42"/>
  <c r="I144" i="42" s="1"/>
  <c r="H74" i="42"/>
  <c r="H144" i="42" s="1"/>
  <c r="G74" i="42"/>
  <c r="G144" i="42"/>
  <c r="F74" i="42"/>
  <c r="F144" i="42" s="1"/>
  <c r="K72" i="42"/>
  <c r="K71" i="42"/>
  <c r="K70" i="42"/>
  <c r="K69" i="42"/>
  <c r="K68" i="42"/>
  <c r="J64" i="42"/>
  <c r="J143" i="42"/>
  <c r="I64" i="42"/>
  <c r="H64" i="42"/>
  <c r="H143" i="42" s="1"/>
  <c r="G64" i="42"/>
  <c r="G143" i="42" s="1"/>
  <c r="F64" i="42"/>
  <c r="F143" i="42" s="1"/>
  <c r="K62" i="42"/>
  <c r="K61" i="42"/>
  <c r="K60" i="42"/>
  <c r="K59" i="42"/>
  <c r="K58" i="42"/>
  <c r="K57" i="42"/>
  <c r="K64" i="42" s="1"/>
  <c r="K143" i="42" s="1"/>
  <c r="K56" i="42"/>
  <c r="K55" i="42"/>
  <c r="K54" i="42"/>
  <c r="K53" i="42"/>
  <c r="J49" i="42"/>
  <c r="J142" i="42"/>
  <c r="I49" i="42"/>
  <c r="I142" i="42" s="1"/>
  <c r="H49" i="42"/>
  <c r="H142" i="42" s="1"/>
  <c r="G49" i="42"/>
  <c r="G142" i="42" s="1"/>
  <c r="G152" i="42" s="1"/>
  <c r="F49" i="42"/>
  <c r="F142" i="42" s="1"/>
  <c r="F152" i="42" s="1"/>
  <c r="K47" i="42"/>
  <c r="K46" i="42"/>
  <c r="K45" i="42"/>
  <c r="K44" i="42"/>
  <c r="K43" i="42"/>
  <c r="K42" i="42"/>
  <c r="K41" i="42"/>
  <c r="K40" i="42"/>
  <c r="J36" i="42"/>
  <c r="J141" i="42" s="1"/>
  <c r="J152" i="42" s="1"/>
  <c r="H36" i="42"/>
  <c r="H141" i="42" s="1"/>
  <c r="H152" i="42" s="1"/>
  <c r="G36" i="42"/>
  <c r="G141" i="42" s="1"/>
  <c r="F36" i="42"/>
  <c r="I34" i="42"/>
  <c r="K34" i="42"/>
  <c r="I33" i="42"/>
  <c r="K33" i="42"/>
  <c r="I32" i="42"/>
  <c r="K32" i="42"/>
  <c r="I31" i="42"/>
  <c r="K31" i="42"/>
  <c r="I30" i="42"/>
  <c r="K30" i="42"/>
  <c r="K29" i="42"/>
  <c r="K28" i="42"/>
  <c r="K27" i="42"/>
  <c r="K26" i="42"/>
  <c r="I25" i="42"/>
  <c r="K25" i="42"/>
  <c r="K24" i="42"/>
  <c r="K23" i="42"/>
  <c r="I23" i="42"/>
  <c r="I22" i="42"/>
  <c r="K21" i="42"/>
  <c r="K18" i="42"/>
  <c r="K150" i="42" s="1"/>
  <c r="J150" i="41"/>
  <c r="I150" i="41"/>
  <c r="H150" i="41"/>
  <c r="H149" i="41"/>
  <c r="K148" i="41"/>
  <c r="G147" i="41"/>
  <c r="G145" i="41"/>
  <c r="G143" i="41"/>
  <c r="J137" i="41"/>
  <c r="J149" i="41"/>
  <c r="I137" i="41"/>
  <c r="I149" i="41"/>
  <c r="H137" i="41"/>
  <c r="G137" i="41"/>
  <c r="G149" i="41" s="1"/>
  <c r="F137" i="41"/>
  <c r="F149" i="41"/>
  <c r="K135" i="41"/>
  <c r="K134" i="41"/>
  <c r="K133" i="41"/>
  <c r="K132" i="41"/>
  <c r="K131" i="41"/>
  <c r="K137" i="41"/>
  <c r="K149" i="41" s="1"/>
  <c r="F119" i="41"/>
  <c r="J108" i="41"/>
  <c r="J147" i="41" s="1"/>
  <c r="H108" i="41"/>
  <c r="H147" i="41"/>
  <c r="G108" i="41"/>
  <c r="F108" i="41"/>
  <c r="F147" i="41" s="1"/>
  <c r="K106" i="41"/>
  <c r="I106" i="41"/>
  <c r="I105" i="41"/>
  <c r="K105" i="41" s="1"/>
  <c r="K104" i="41"/>
  <c r="I104" i="41"/>
  <c r="I103" i="41"/>
  <c r="K103" i="41" s="1"/>
  <c r="I102" i="41"/>
  <c r="J98" i="41"/>
  <c r="J146" i="41" s="1"/>
  <c r="H98" i="41"/>
  <c r="H146" i="41" s="1"/>
  <c r="G98" i="41"/>
  <c r="G146" i="41"/>
  <c r="F98" i="41"/>
  <c r="F146" i="41" s="1"/>
  <c r="K96" i="41"/>
  <c r="I96" i="41"/>
  <c r="I95" i="41"/>
  <c r="K95" i="41" s="1"/>
  <c r="K94" i="41"/>
  <c r="I94" i="41"/>
  <c r="I93" i="41"/>
  <c r="K93" i="41" s="1"/>
  <c r="I92" i="41"/>
  <c r="K92" i="41" s="1"/>
  <c r="K98" i="41" s="1"/>
  <c r="K146" i="41" s="1"/>
  <c r="I91" i="41"/>
  <c r="K91" i="41" s="1"/>
  <c r="I90" i="41"/>
  <c r="K90" i="41" s="1"/>
  <c r="I89" i="41"/>
  <c r="K89" i="41" s="1"/>
  <c r="K88" i="41"/>
  <c r="I88" i="41"/>
  <c r="I87" i="41"/>
  <c r="K87" i="41" s="1"/>
  <c r="K86" i="41"/>
  <c r="I86" i="41"/>
  <c r="J82" i="41"/>
  <c r="J145" i="41" s="1"/>
  <c r="I82" i="41"/>
  <c r="I145" i="41" s="1"/>
  <c r="H82" i="41"/>
  <c r="H145" i="41"/>
  <c r="G82" i="41"/>
  <c r="F82" i="41"/>
  <c r="F145" i="41"/>
  <c r="K80" i="41"/>
  <c r="K79" i="41"/>
  <c r="K78" i="41"/>
  <c r="K77" i="41"/>
  <c r="K82" i="41"/>
  <c r="K145" i="41" s="1"/>
  <c r="J74" i="41"/>
  <c r="J144" i="41"/>
  <c r="I74" i="41"/>
  <c r="I144" i="41" s="1"/>
  <c r="H74" i="41"/>
  <c r="H144" i="41" s="1"/>
  <c r="G74" i="41"/>
  <c r="G144" i="41"/>
  <c r="F74" i="41"/>
  <c r="F144" i="41" s="1"/>
  <c r="K72" i="41"/>
  <c r="K71" i="41"/>
  <c r="K70" i="41"/>
  <c r="K69" i="41"/>
  <c r="K68" i="41"/>
  <c r="J64" i="41"/>
  <c r="J143" i="41"/>
  <c r="H64" i="41"/>
  <c r="H143" i="41" s="1"/>
  <c r="G64" i="41"/>
  <c r="F64" i="41"/>
  <c r="F143" i="41" s="1"/>
  <c r="K62" i="41"/>
  <c r="K61" i="41"/>
  <c r="K60" i="41"/>
  <c r="K59" i="41"/>
  <c r="K58" i="41"/>
  <c r="K57" i="41"/>
  <c r="K56" i="41"/>
  <c r="K55" i="41"/>
  <c r="K54" i="41"/>
  <c r="I53" i="41"/>
  <c r="I64" i="41" s="1"/>
  <c r="I143" i="41" s="1"/>
  <c r="J49" i="41"/>
  <c r="J142" i="41" s="1"/>
  <c r="H49" i="41"/>
  <c r="H142" i="41" s="1"/>
  <c r="H152" i="41" s="1"/>
  <c r="G49" i="41"/>
  <c r="G142" i="41"/>
  <c r="F49" i="41"/>
  <c r="F142" i="41" s="1"/>
  <c r="K47" i="41"/>
  <c r="K46" i="41"/>
  <c r="K45" i="41"/>
  <c r="K44" i="41"/>
  <c r="K43" i="41"/>
  <c r="I42" i="41"/>
  <c r="K42" i="41"/>
  <c r="K41" i="41"/>
  <c r="I41" i="41"/>
  <c r="I49" i="41" s="1"/>
  <c r="I142" i="41"/>
  <c r="K40" i="41"/>
  <c r="J36" i="41"/>
  <c r="J141" i="41" s="1"/>
  <c r="J152" i="41" s="1"/>
  <c r="H36" i="41"/>
  <c r="H141" i="41"/>
  <c r="G36" i="41"/>
  <c r="G141" i="41" s="1"/>
  <c r="G152" i="41"/>
  <c r="F36" i="41"/>
  <c r="F141" i="41"/>
  <c r="I34" i="41"/>
  <c r="K34" i="41"/>
  <c r="K33" i="41"/>
  <c r="I33" i="41"/>
  <c r="I32" i="41"/>
  <c r="K32" i="41"/>
  <c r="K31" i="41"/>
  <c r="I31" i="41"/>
  <c r="I30" i="41"/>
  <c r="K30" i="41"/>
  <c r="K29" i="41"/>
  <c r="I29" i="41"/>
  <c r="I28" i="41"/>
  <c r="K28" i="41"/>
  <c r="K27" i="41"/>
  <c r="I27" i="41"/>
  <c r="I26" i="41"/>
  <c r="K26" i="41"/>
  <c r="K25" i="41"/>
  <c r="I25" i="41"/>
  <c r="I24" i="41"/>
  <c r="K24" i="41"/>
  <c r="K23" i="41"/>
  <c r="I23" i="41"/>
  <c r="I22" i="41"/>
  <c r="K22" i="41"/>
  <c r="I21" i="41"/>
  <c r="K18" i="41"/>
  <c r="K150" i="41" s="1"/>
  <c r="J150" i="40"/>
  <c r="I150" i="40"/>
  <c r="H150" i="40"/>
  <c r="K148" i="40"/>
  <c r="K40" i="58" s="1"/>
  <c r="F146" i="40"/>
  <c r="F142" i="40"/>
  <c r="J137" i="40"/>
  <c r="J149" i="40" s="1"/>
  <c r="I137" i="40"/>
  <c r="I149" i="40"/>
  <c r="H137" i="40"/>
  <c r="H149" i="40" s="1"/>
  <c r="G137" i="40"/>
  <c r="G149" i="40" s="1"/>
  <c r="F137" i="40"/>
  <c r="F149" i="40"/>
  <c r="K135" i="40"/>
  <c r="K134" i="40"/>
  <c r="K133" i="40"/>
  <c r="K132" i="40"/>
  <c r="K131" i="40"/>
  <c r="K137" i="40" s="1"/>
  <c r="K149" i="40" s="1"/>
  <c r="F127" i="40"/>
  <c r="F119" i="40"/>
  <c r="F114" i="40"/>
  <c r="J108" i="40"/>
  <c r="J147" i="40" s="1"/>
  <c r="H108" i="40"/>
  <c r="H147" i="40"/>
  <c r="G108" i="40"/>
  <c r="G147" i="40" s="1"/>
  <c r="F108" i="40"/>
  <c r="F147" i="40"/>
  <c r="I106" i="40"/>
  <c r="K106" i="40" s="1"/>
  <c r="I102" i="40"/>
  <c r="K102" i="40" s="1"/>
  <c r="J98" i="40"/>
  <c r="J146" i="40" s="1"/>
  <c r="H98" i="40"/>
  <c r="H146" i="40"/>
  <c r="G98" i="40"/>
  <c r="G146" i="40" s="1"/>
  <c r="F98" i="40"/>
  <c r="I88" i="40"/>
  <c r="K88" i="40" s="1"/>
  <c r="J82" i="40"/>
  <c r="J145" i="40"/>
  <c r="I82" i="40"/>
  <c r="I145" i="40"/>
  <c r="H82" i="40"/>
  <c r="H145" i="40"/>
  <c r="G82" i="40"/>
  <c r="G145" i="40"/>
  <c r="F82" i="40"/>
  <c r="F145" i="40"/>
  <c r="K80" i="40"/>
  <c r="K79" i="40"/>
  <c r="K78" i="40"/>
  <c r="K77" i="40"/>
  <c r="K82" i="40" s="1"/>
  <c r="K145" i="40" s="1"/>
  <c r="J74" i="40"/>
  <c r="J144" i="40"/>
  <c r="I74" i="40"/>
  <c r="I144" i="40"/>
  <c r="H74" i="40"/>
  <c r="H144" i="40"/>
  <c r="G74" i="40"/>
  <c r="G144" i="40"/>
  <c r="F74" i="40"/>
  <c r="F144" i="40"/>
  <c r="K72" i="40"/>
  <c r="K71" i="40"/>
  <c r="K70" i="40"/>
  <c r="K69" i="40"/>
  <c r="K68" i="40"/>
  <c r="K74" i="40"/>
  <c r="K144" i="40" s="1"/>
  <c r="J64" i="40"/>
  <c r="J143" i="40"/>
  <c r="I64" i="40"/>
  <c r="I143" i="40" s="1"/>
  <c r="H64" i="40"/>
  <c r="H143" i="40" s="1"/>
  <c r="G64" i="40"/>
  <c r="G143" i="40" s="1"/>
  <c r="F64" i="40"/>
  <c r="F143" i="40"/>
  <c r="F152" i="40" s="1"/>
  <c r="K62" i="40"/>
  <c r="K61" i="40"/>
  <c r="K60" i="40"/>
  <c r="K59" i="40"/>
  <c r="K58" i="40"/>
  <c r="K57" i="40"/>
  <c r="K56" i="40"/>
  <c r="K55" i="40"/>
  <c r="K54" i="40"/>
  <c r="K53" i="40"/>
  <c r="J49" i="40"/>
  <c r="J142" i="40" s="1"/>
  <c r="I49" i="40"/>
  <c r="I142" i="40" s="1"/>
  <c r="H49" i="40"/>
  <c r="H142" i="40"/>
  <c r="G49" i="40"/>
  <c r="G142" i="40"/>
  <c r="F49" i="40"/>
  <c r="K47" i="40"/>
  <c r="K46" i="40"/>
  <c r="K45" i="40"/>
  <c r="K44" i="40"/>
  <c r="K43" i="40"/>
  <c r="K42" i="40"/>
  <c r="K41" i="40"/>
  <c r="K40" i="40"/>
  <c r="J36" i="40"/>
  <c r="J141" i="40" s="1"/>
  <c r="H36" i="40"/>
  <c r="H141" i="40" s="1"/>
  <c r="G36" i="40"/>
  <c r="G141" i="40" s="1"/>
  <c r="F36" i="40"/>
  <c r="F141" i="40" s="1"/>
  <c r="I25" i="40"/>
  <c r="K25" i="40" s="1"/>
  <c r="I21" i="40"/>
  <c r="K21" i="40" s="1"/>
  <c r="K18" i="40"/>
  <c r="K150" i="40" s="1"/>
  <c r="I24" i="40"/>
  <c r="K24" i="40" s="1"/>
  <c r="I28" i="40"/>
  <c r="K28" i="40" s="1"/>
  <c r="I91" i="40"/>
  <c r="K91" i="40" s="1"/>
  <c r="J150" i="39"/>
  <c r="I150" i="39"/>
  <c r="H150" i="39"/>
  <c r="K148" i="39"/>
  <c r="K39" i="58" s="1"/>
  <c r="F147" i="39"/>
  <c r="H146" i="39"/>
  <c r="F146" i="39"/>
  <c r="H144" i="39"/>
  <c r="J143" i="39"/>
  <c r="G143" i="39"/>
  <c r="J137" i="39"/>
  <c r="J149" i="39"/>
  <c r="I137" i="39"/>
  <c r="I149" i="39" s="1"/>
  <c r="H137" i="39"/>
  <c r="H149" i="39" s="1"/>
  <c r="G137" i="39"/>
  <c r="G149" i="39" s="1"/>
  <c r="F137" i="39"/>
  <c r="F149" i="39"/>
  <c r="K135" i="39"/>
  <c r="K134" i="39"/>
  <c r="K133" i="39"/>
  <c r="K132" i="39"/>
  <c r="K131" i="39"/>
  <c r="K137" i="39"/>
  <c r="K149" i="39" s="1"/>
  <c r="F119" i="39"/>
  <c r="J108" i="39"/>
  <c r="J147" i="39" s="1"/>
  <c r="H108" i="39"/>
  <c r="H147" i="39" s="1"/>
  <c r="G108" i="39"/>
  <c r="G147" i="39" s="1"/>
  <c r="F108" i="39"/>
  <c r="I106" i="39"/>
  <c r="K106" i="39" s="1"/>
  <c r="I105" i="39"/>
  <c r="K105" i="39"/>
  <c r="I104" i="39"/>
  <c r="I103" i="39"/>
  <c r="K103" i="39"/>
  <c r="K108" i="39" s="1"/>
  <c r="K147" i="39" s="1"/>
  <c r="K102" i="39"/>
  <c r="J98" i="39"/>
  <c r="J146" i="39" s="1"/>
  <c r="H98" i="39"/>
  <c r="G98" i="39"/>
  <c r="G146" i="39" s="1"/>
  <c r="F98" i="39"/>
  <c r="I96" i="39"/>
  <c r="K96" i="39" s="1"/>
  <c r="I95" i="39"/>
  <c r="K95" i="39" s="1"/>
  <c r="I94" i="39"/>
  <c r="K93" i="39"/>
  <c r="K92" i="39"/>
  <c r="K91" i="39"/>
  <c r="K90" i="39"/>
  <c r="K89" i="39"/>
  <c r="K88" i="39"/>
  <c r="K87" i="39"/>
  <c r="K86" i="39"/>
  <c r="J82" i="39"/>
  <c r="J145" i="39" s="1"/>
  <c r="I82" i="39"/>
  <c r="I145" i="39" s="1"/>
  <c r="H82" i="39"/>
  <c r="H145" i="39"/>
  <c r="G82" i="39"/>
  <c r="G145" i="39" s="1"/>
  <c r="F82" i="39"/>
  <c r="F145" i="39" s="1"/>
  <c r="K80" i="39"/>
  <c r="K79" i="39"/>
  <c r="K78" i="39"/>
  <c r="K77" i="39"/>
  <c r="J74" i="39"/>
  <c r="J144" i="39" s="1"/>
  <c r="I74" i="39"/>
  <c r="I144" i="39"/>
  <c r="H74" i="39"/>
  <c r="G74" i="39"/>
  <c r="G144" i="39"/>
  <c r="F74" i="39"/>
  <c r="F144" i="39" s="1"/>
  <c r="K72" i="39"/>
  <c r="K71" i="39"/>
  <c r="K70" i="39"/>
  <c r="K74" i="39" s="1"/>
  <c r="K144" i="39" s="1"/>
  <c r="K69" i="39"/>
  <c r="K68" i="39"/>
  <c r="J64" i="39"/>
  <c r="I64" i="39"/>
  <c r="I143" i="39"/>
  <c r="H64" i="39"/>
  <c r="H143" i="39" s="1"/>
  <c r="G64" i="39"/>
  <c r="F64" i="39"/>
  <c r="F143" i="39" s="1"/>
  <c r="K62" i="39"/>
  <c r="K61" i="39"/>
  <c r="K60" i="39"/>
  <c r="K59" i="39"/>
  <c r="K58" i="39"/>
  <c r="K57" i="39"/>
  <c r="K56" i="39"/>
  <c r="K55" i="39"/>
  <c r="K54" i="39"/>
  <c r="K53" i="39"/>
  <c r="J49" i="39"/>
  <c r="J142" i="39"/>
  <c r="I49" i="39"/>
  <c r="I142" i="39"/>
  <c r="H49" i="39"/>
  <c r="H142" i="39"/>
  <c r="G49" i="39"/>
  <c r="G142" i="39"/>
  <c r="F49" i="39"/>
  <c r="F142" i="39"/>
  <c r="K47" i="39"/>
  <c r="K46" i="39"/>
  <c r="K45" i="39"/>
  <c r="K44" i="39"/>
  <c r="K43" i="39"/>
  <c r="K42" i="39"/>
  <c r="K41" i="39"/>
  <c r="K40" i="39"/>
  <c r="J36" i="39"/>
  <c r="J141" i="39" s="1"/>
  <c r="J152" i="39" s="1"/>
  <c r="H36" i="39"/>
  <c r="H141" i="39" s="1"/>
  <c r="G36" i="39"/>
  <c r="G141" i="39" s="1"/>
  <c r="F36" i="39"/>
  <c r="F141" i="39"/>
  <c r="F152" i="39" s="1"/>
  <c r="I34" i="39"/>
  <c r="K34" i="39"/>
  <c r="I33" i="39"/>
  <c r="K33" i="39" s="1"/>
  <c r="I32" i="39"/>
  <c r="K32" i="39"/>
  <c r="I31" i="39"/>
  <c r="I36" i="39" s="1"/>
  <c r="I141" i="39" s="1"/>
  <c r="K30" i="39"/>
  <c r="K29" i="39"/>
  <c r="K28" i="39"/>
  <c r="K27" i="39"/>
  <c r="K26" i="39"/>
  <c r="K25" i="39"/>
  <c r="K24" i="39"/>
  <c r="K23" i="39"/>
  <c r="K22" i="39"/>
  <c r="K21" i="39"/>
  <c r="K18" i="39"/>
  <c r="K150" i="39" s="1"/>
  <c r="K104" i="39"/>
  <c r="K94" i="39"/>
  <c r="J150" i="36"/>
  <c r="I150" i="36"/>
  <c r="H150" i="36"/>
  <c r="K148" i="36"/>
  <c r="K35" i="58" s="1"/>
  <c r="G147" i="36"/>
  <c r="G143" i="36"/>
  <c r="G141" i="36"/>
  <c r="J137" i="36"/>
  <c r="J149" i="36"/>
  <c r="I137" i="36"/>
  <c r="I149" i="36" s="1"/>
  <c r="H137" i="36"/>
  <c r="H149" i="36" s="1"/>
  <c r="G137" i="36"/>
  <c r="G149" i="36" s="1"/>
  <c r="F137" i="36"/>
  <c r="F149" i="36" s="1"/>
  <c r="K135" i="36"/>
  <c r="K134" i="36"/>
  <c r="K133" i="36"/>
  <c r="K132" i="36"/>
  <c r="K131" i="36"/>
  <c r="K137" i="36"/>
  <c r="K149" i="36" s="1"/>
  <c r="F119" i="36"/>
  <c r="J108" i="36"/>
  <c r="J147" i="36"/>
  <c r="H108" i="36"/>
  <c r="H147" i="36" s="1"/>
  <c r="G108" i="36"/>
  <c r="F108" i="36"/>
  <c r="F147" i="36"/>
  <c r="I106" i="36"/>
  <c r="K106" i="36" s="1"/>
  <c r="I105" i="36"/>
  <c r="K105" i="36" s="1"/>
  <c r="K104" i="36"/>
  <c r="I103" i="36"/>
  <c r="K103" i="36" s="1"/>
  <c r="I102" i="36"/>
  <c r="J98" i="36"/>
  <c r="J146" i="36" s="1"/>
  <c r="H98" i="36"/>
  <c r="H146" i="36" s="1"/>
  <c r="G98" i="36"/>
  <c r="G146" i="36"/>
  <c r="F98" i="36"/>
  <c r="F146" i="36" s="1"/>
  <c r="I96" i="36"/>
  <c r="K96" i="36"/>
  <c r="K95" i="36"/>
  <c r="I95" i="36"/>
  <c r="I94" i="36"/>
  <c r="K94" i="36"/>
  <c r="K93" i="36"/>
  <c r="I93" i="36"/>
  <c r="I92" i="36"/>
  <c r="K92" i="36"/>
  <c r="K91" i="36"/>
  <c r="I91" i="36"/>
  <c r="I90" i="36"/>
  <c r="K90" i="36"/>
  <c r="K89" i="36"/>
  <c r="I89" i="36"/>
  <c r="K88" i="36"/>
  <c r="I87" i="36"/>
  <c r="K87" i="36" s="1"/>
  <c r="I86" i="36"/>
  <c r="K86" i="36" s="1"/>
  <c r="J82" i="36"/>
  <c r="J145" i="36" s="1"/>
  <c r="I82" i="36"/>
  <c r="I145" i="36" s="1"/>
  <c r="H82" i="36"/>
  <c r="H145" i="36"/>
  <c r="G82" i="36"/>
  <c r="G145" i="36" s="1"/>
  <c r="F82" i="36"/>
  <c r="F145" i="36" s="1"/>
  <c r="K80" i="36"/>
  <c r="K79" i="36"/>
  <c r="K78" i="36"/>
  <c r="K82" i="36" s="1"/>
  <c r="K145" i="36" s="1"/>
  <c r="K77" i="36"/>
  <c r="J74" i="36"/>
  <c r="J144" i="36" s="1"/>
  <c r="H74" i="36"/>
  <c r="H144" i="36"/>
  <c r="G74" i="36"/>
  <c r="G144" i="36" s="1"/>
  <c r="F74" i="36"/>
  <c r="F144" i="36" s="1"/>
  <c r="K72" i="36"/>
  <c r="K71" i="36"/>
  <c r="K70" i="36"/>
  <c r="K69" i="36"/>
  <c r="K68" i="36"/>
  <c r="K74" i="36" s="1"/>
  <c r="K144" i="36" s="1"/>
  <c r="I68" i="36"/>
  <c r="I74" i="36" s="1"/>
  <c r="I144" i="36" s="1"/>
  <c r="J64" i="36"/>
  <c r="J143" i="36" s="1"/>
  <c r="I64" i="36"/>
  <c r="I143" i="36" s="1"/>
  <c r="H64" i="36"/>
  <c r="H143" i="36" s="1"/>
  <c r="H152" i="36" s="1"/>
  <c r="G64" i="36"/>
  <c r="F64" i="36"/>
  <c r="F143" i="36" s="1"/>
  <c r="F152" i="36" s="1"/>
  <c r="K62" i="36"/>
  <c r="K61" i="36"/>
  <c r="K60" i="36"/>
  <c r="K59" i="36"/>
  <c r="K58" i="36"/>
  <c r="K57" i="36"/>
  <c r="K56" i="36"/>
  <c r="K55" i="36"/>
  <c r="I54" i="36"/>
  <c r="K54" i="36" s="1"/>
  <c r="I53" i="36"/>
  <c r="K53" i="36"/>
  <c r="K64" i="36" s="1"/>
  <c r="K143" i="36" s="1"/>
  <c r="J49" i="36"/>
  <c r="J142" i="36" s="1"/>
  <c r="H49" i="36"/>
  <c r="H142" i="36"/>
  <c r="G49" i="36"/>
  <c r="G142" i="36" s="1"/>
  <c r="F49" i="36"/>
  <c r="F142" i="36"/>
  <c r="K47" i="36"/>
  <c r="K46" i="36"/>
  <c r="K45" i="36"/>
  <c r="K44" i="36"/>
  <c r="K43" i="36"/>
  <c r="I42" i="36"/>
  <c r="K42" i="36" s="1"/>
  <c r="K41" i="36"/>
  <c r="I41" i="36"/>
  <c r="I40" i="36"/>
  <c r="J36" i="36"/>
  <c r="J141" i="36" s="1"/>
  <c r="H36" i="36"/>
  <c r="H141" i="36" s="1"/>
  <c r="G36" i="36"/>
  <c r="F36" i="36"/>
  <c r="F141" i="36" s="1"/>
  <c r="I34" i="36"/>
  <c r="K34" i="36" s="1"/>
  <c r="I33" i="36"/>
  <c r="K33" i="36" s="1"/>
  <c r="I32" i="36"/>
  <c r="K32" i="36" s="1"/>
  <c r="K31" i="36"/>
  <c r="I31" i="36"/>
  <c r="I30" i="36"/>
  <c r="K30" i="36" s="1"/>
  <c r="I29" i="36"/>
  <c r="K29" i="36" s="1"/>
  <c r="I28" i="36"/>
  <c r="K28" i="36" s="1"/>
  <c r="K27" i="36"/>
  <c r="I27" i="36"/>
  <c r="I26" i="36"/>
  <c r="K26" i="36" s="1"/>
  <c r="K25" i="36"/>
  <c r="K24" i="36"/>
  <c r="K23" i="36"/>
  <c r="I22" i="36"/>
  <c r="K21" i="36"/>
  <c r="K18" i="36"/>
  <c r="K150" i="36" s="1"/>
  <c r="K102" i="36"/>
  <c r="K108" i="36" s="1"/>
  <c r="K147" i="36" s="1"/>
  <c r="K150" i="35"/>
  <c r="J150" i="35"/>
  <c r="I150" i="35"/>
  <c r="H150" i="35"/>
  <c r="G149" i="35"/>
  <c r="K148" i="35"/>
  <c r="K32" i="58" s="1"/>
  <c r="H146" i="35"/>
  <c r="F143" i="35"/>
  <c r="F152" i="35" s="1"/>
  <c r="J137" i="35"/>
  <c r="J149" i="35"/>
  <c r="I137" i="35"/>
  <c r="I149" i="35"/>
  <c r="H137" i="35"/>
  <c r="H149" i="35"/>
  <c r="G137" i="35"/>
  <c r="F137" i="35"/>
  <c r="F149" i="35" s="1"/>
  <c r="K135" i="35"/>
  <c r="K134" i="35"/>
  <c r="K133" i="35"/>
  <c r="K132" i="35"/>
  <c r="K131" i="35"/>
  <c r="K137" i="35"/>
  <c r="K149" i="35" s="1"/>
  <c r="F119" i="35"/>
  <c r="F123" i="35"/>
  <c r="F127" i="35"/>
  <c r="J108" i="35"/>
  <c r="J147" i="35" s="1"/>
  <c r="H108" i="35"/>
  <c r="H147" i="35" s="1"/>
  <c r="G108" i="35"/>
  <c r="G147" i="35" s="1"/>
  <c r="F108" i="35"/>
  <c r="F147" i="35"/>
  <c r="I106" i="35"/>
  <c r="K106" i="35" s="1"/>
  <c r="I105" i="35"/>
  <c r="K105" i="35" s="1"/>
  <c r="I104" i="35"/>
  <c r="K104" i="35" s="1"/>
  <c r="I103" i="35"/>
  <c r="K103" i="35"/>
  <c r="I102" i="35"/>
  <c r="J98" i="35"/>
  <c r="J146" i="35"/>
  <c r="H98" i="35"/>
  <c r="G98" i="35"/>
  <c r="G146" i="35" s="1"/>
  <c r="G152" i="35" s="1"/>
  <c r="F98" i="35"/>
  <c r="F146" i="35" s="1"/>
  <c r="I96" i="35"/>
  <c r="K96" i="35"/>
  <c r="I95" i="35"/>
  <c r="K95" i="35" s="1"/>
  <c r="I94" i="35"/>
  <c r="K94" i="35" s="1"/>
  <c r="I93" i="35"/>
  <c r="K93" i="35" s="1"/>
  <c r="I92" i="35"/>
  <c r="K92" i="35"/>
  <c r="I91" i="35"/>
  <c r="K91" i="35" s="1"/>
  <c r="I90" i="35"/>
  <c r="K90" i="35" s="1"/>
  <c r="I89" i="35"/>
  <c r="K89" i="35" s="1"/>
  <c r="I88" i="35"/>
  <c r="K88" i="35"/>
  <c r="I87" i="35"/>
  <c r="K87" i="35" s="1"/>
  <c r="I86" i="35"/>
  <c r="K86" i="35" s="1"/>
  <c r="J82" i="35"/>
  <c r="J145" i="35"/>
  <c r="I82" i="35"/>
  <c r="I145" i="35"/>
  <c r="H82" i="35"/>
  <c r="H145" i="35"/>
  <c r="G82" i="35"/>
  <c r="G145" i="35"/>
  <c r="F82" i="35"/>
  <c r="F145" i="35"/>
  <c r="K80" i="35"/>
  <c r="K79" i="35"/>
  <c r="K78" i="35"/>
  <c r="K77" i="35"/>
  <c r="K82" i="35" s="1"/>
  <c r="K145" i="35" s="1"/>
  <c r="J74" i="35"/>
  <c r="J144" i="35"/>
  <c r="I74" i="35"/>
  <c r="I144" i="35"/>
  <c r="H74" i="35"/>
  <c r="H144" i="35"/>
  <c r="G74" i="35"/>
  <c r="G144" i="35"/>
  <c r="F74" i="35"/>
  <c r="F144" i="35"/>
  <c r="K72" i="35"/>
  <c r="K71" i="35"/>
  <c r="K70" i="35"/>
  <c r="K69" i="35"/>
  <c r="K68" i="35"/>
  <c r="K74" i="35"/>
  <c r="K144" i="35" s="1"/>
  <c r="J64" i="35"/>
  <c r="J143" i="35" s="1"/>
  <c r="H64" i="35"/>
  <c r="H143" i="35" s="1"/>
  <c r="G64" i="35"/>
  <c r="G143" i="35"/>
  <c r="F64" i="35"/>
  <c r="K62" i="35"/>
  <c r="K61" i="35"/>
  <c r="K60" i="35"/>
  <c r="K59" i="35"/>
  <c r="K58" i="35"/>
  <c r="K57" i="35"/>
  <c r="K56" i="35"/>
  <c r="K55" i="35"/>
  <c r="K54" i="35"/>
  <c r="I53" i="35"/>
  <c r="I64" i="35"/>
  <c r="I143" i="35"/>
  <c r="J49" i="35"/>
  <c r="J142" i="35" s="1"/>
  <c r="I49" i="35"/>
  <c r="I142" i="35" s="1"/>
  <c r="H49" i="35"/>
  <c r="H142" i="35" s="1"/>
  <c r="G49" i="35"/>
  <c r="G142" i="35"/>
  <c r="F49" i="35"/>
  <c r="F142" i="35" s="1"/>
  <c r="K47" i="35"/>
  <c r="K46" i="35"/>
  <c r="K45" i="35"/>
  <c r="K44" i="35"/>
  <c r="K43" i="35"/>
  <c r="K42" i="35"/>
  <c r="K41" i="35"/>
  <c r="K49" i="35" s="1"/>
  <c r="K142" i="35" s="1"/>
  <c r="K40" i="35"/>
  <c r="J36" i="35"/>
  <c r="J141" i="35" s="1"/>
  <c r="H36" i="35"/>
  <c r="H141" i="35"/>
  <c r="H152" i="35" s="1"/>
  <c r="G36" i="35"/>
  <c r="G141" i="35" s="1"/>
  <c r="F36" i="35"/>
  <c r="F141" i="35"/>
  <c r="I34" i="35"/>
  <c r="K34" i="35"/>
  <c r="I33" i="35"/>
  <c r="K33" i="35"/>
  <c r="I32" i="35"/>
  <c r="K32" i="35"/>
  <c r="I31" i="35"/>
  <c r="K31" i="35"/>
  <c r="I30" i="35"/>
  <c r="K30" i="35"/>
  <c r="I29" i="35"/>
  <c r="K29" i="35"/>
  <c r="I28" i="35"/>
  <c r="K28" i="35"/>
  <c r="I27" i="35"/>
  <c r="K27" i="35"/>
  <c r="I26" i="35"/>
  <c r="K26" i="35"/>
  <c r="I25" i="35"/>
  <c r="K25" i="35"/>
  <c r="I24" i="35"/>
  <c r="K24" i="35"/>
  <c r="I23" i="35"/>
  <c r="K23" i="35"/>
  <c r="I22" i="35"/>
  <c r="K22" i="35"/>
  <c r="I21" i="35"/>
  <c r="I36" i="35"/>
  <c r="I141" i="35" s="1"/>
  <c r="K18" i="35"/>
  <c r="K21" i="35"/>
  <c r="K36" i="35"/>
  <c r="K141" i="35" s="1"/>
  <c r="K53" i="35"/>
  <c r="K64" i="35"/>
  <c r="K143" i="35" s="1"/>
  <c r="K102" i="35"/>
  <c r="J150" i="33"/>
  <c r="I150" i="33"/>
  <c r="H150" i="33"/>
  <c r="K148" i="33"/>
  <c r="K30" i="58" s="1"/>
  <c r="H147" i="33"/>
  <c r="H143" i="33"/>
  <c r="H142" i="33"/>
  <c r="F142" i="33"/>
  <c r="F141" i="33"/>
  <c r="J137" i="33"/>
  <c r="J149" i="33" s="1"/>
  <c r="I137" i="33"/>
  <c r="I149" i="33" s="1"/>
  <c r="H137" i="33"/>
  <c r="H149" i="33"/>
  <c r="G137" i="33"/>
  <c r="G149" i="33"/>
  <c r="F137" i="33"/>
  <c r="F149" i="33"/>
  <c r="K135" i="33"/>
  <c r="K134" i="33"/>
  <c r="K133" i="33"/>
  <c r="K132" i="33"/>
  <c r="K131" i="33"/>
  <c r="F125" i="33"/>
  <c r="F127" i="33"/>
  <c r="F119" i="33"/>
  <c r="F123" i="33" s="1"/>
  <c r="J108" i="33"/>
  <c r="J147" i="33" s="1"/>
  <c r="H108" i="33"/>
  <c r="G108" i="33"/>
  <c r="G147" i="33"/>
  <c r="F108" i="33"/>
  <c r="F147" i="33" s="1"/>
  <c r="I106" i="33"/>
  <c r="K106" i="33" s="1"/>
  <c r="I105" i="33"/>
  <c r="I108" i="33" s="1"/>
  <c r="I147" i="33" s="1"/>
  <c r="K105" i="33"/>
  <c r="K108" i="33" s="1"/>
  <c r="K147" i="33" s="1"/>
  <c r="K104" i="33"/>
  <c r="K103" i="33"/>
  <c r="K102" i="33"/>
  <c r="J98" i="33"/>
  <c r="J146" i="33" s="1"/>
  <c r="H98" i="33"/>
  <c r="H146" i="33"/>
  <c r="G98" i="33"/>
  <c r="G146" i="33" s="1"/>
  <c r="F98" i="33"/>
  <c r="F146" i="33" s="1"/>
  <c r="I96" i="33"/>
  <c r="K96" i="33" s="1"/>
  <c r="I95" i="33"/>
  <c r="K95" i="33"/>
  <c r="I94" i="33"/>
  <c r="K94" i="33" s="1"/>
  <c r="K93" i="33"/>
  <c r="K92" i="33"/>
  <c r="K91" i="33"/>
  <c r="I90" i="33"/>
  <c r="K90" i="33"/>
  <c r="K89" i="33"/>
  <c r="K88" i="33"/>
  <c r="K87" i="33"/>
  <c r="I86" i="33"/>
  <c r="K86" i="33" s="1"/>
  <c r="K98" i="33" s="1"/>
  <c r="K146" i="33" s="1"/>
  <c r="J82" i="33"/>
  <c r="J145" i="33"/>
  <c r="I82" i="33"/>
  <c r="I145" i="33"/>
  <c r="H82" i="33"/>
  <c r="H145" i="33"/>
  <c r="G82" i="33"/>
  <c r="G145" i="33"/>
  <c r="F82" i="33"/>
  <c r="F145" i="33"/>
  <c r="K80" i="33"/>
  <c r="K79" i="33"/>
  <c r="K78" i="33"/>
  <c r="K77" i="33"/>
  <c r="K82" i="33" s="1"/>
  <c r="K145" i="33" s="1"/>
  <c r="J74" i="33"/>
  <c r="J144" i="33"/>
  <c r="I74" i="33"/>
  <c r="I144" i="33"/>
  <c r="H74" i="33"/>
  <c r="H144" i="33"/>
  <c r="G74" i="33"/>
  <c r="G144" i="33"/>
  <c r="F74" i="33"/>
  <c r="F144" i="33"/>
  <c r="K72" i="33"/>
  <c r="K71" i="33"/>
  <c r="K70" i="33"/>
  <c r="K69" i="33"/>
  <c r="K74" i="33" s="1"/>
  <c r="K144" i="33" s="1"/>
  <c r="K68" i="33"/>
  <c r="J64" i="33"/>
  <c r="J143" i="33" s="1"/>
  <c r="I64" i="33"/>
  <c r="I143" i="33" s="1"/>
  <c r="H64" i="33"/>
  <c r="G64" i="33"/>
  <c r="G143" i="33" s="1"/>
  <c r="F64" i="33"/>
  <c r="F143" i="33"/>
  <c r="K62" i="33"/>
  <c r="K61" i="33"/>
  <c r="K60" i="33"/>
  <c r="K59" i="33"/>
  <c r="K58" i="33"/>
  <c r="K57" i="33"/>
  <c r="K56" i="33"/>
  <c r="K55" i="33"/>
  <c r="K54" i="33"/>
  <c r="K53" i="33"/>
  <c r="K64" i="33" s="1"/>
  <c r="K143" i="33" s="1"/>
  <c r="J49" i="33"/>
  <c r="J142" i="33" s="1"/>
  <c r="I49" i="33"/>
  <c r="I142" i="33" s="1"/>
  <c r="H49" i="33"/>
  <c r="G49" i="33"/>
  <c r="G142" i="33" s="1"/>
  <c r="F49" i="33"/>
  <c r="K47" i="33"/>
  <c r="K46" i="33"/>
  <c r="K45" i="33"/>
  <c r="K44" i="33"/>
  <c r="K43" i="33"/>
  <c r="K42" i="33"/>
  <c r="K41" i="33"/>
  <c r="K40" i="33"/>
  <c r="J36" i="33"/>
  <c r="J141" i="33" s="1"/>
  <c r="H36" i="33"/>
  <c r="H141" i="33" s="1"/>
  <c r="H152" i="33" s="1"/>
  <c r="G36" i="33"/>
  <c r="G141" i="33"/>
  <c r="G152" i="33" s="1"/>
  <c r="F36" i="33"/>
  <c r="I34" i="33"/>
  <c r="K34" i="33" s="1"/>
  <c r="I33" i="33"/>
  <c r="K33" i="33" s="1"/>
  <c r="I32" i="33"/>
  <c r="K32" i="33" s="1"/>
  <c r="K31" i="33"/>
  <c r="I31" i="33"/>
  <c r="K30" i="33"/>
  <c r="K29" i="33"/>
  <c r="K28" i="33"/>
  <c r="I28" i="33"/>
  <c r="I27" i="33"/>
  <c r="K27" i="33" s="1"/>
  <c r="I26" i="33"/>
  <c r="K26" i="33" s="1"/>
  <c r="I25" i="33"/>
  <c r="K25" i="33" s="1"/>
  <c r="K24" i="33"/>
  <c r="I23" i="33"/>
  <c r="K23" i="33"/>
  <c r="I22" i="33"/>
  <c r="K21" i="33"/>
  <c r="K18" i="33"/>
  <c r="K150" i="33" s="1"/>
  <c r="K22" i="33"/>
  <c r="K36" i="33" s="1"/>
  <c r="K141" i="33" s="1"/>
  <c r="J150" i="31"/>
  <c r="I150" i="31"/>
  <c r="H150" i="31"/>
  <c r="J149" i="31"/>
  <c r="K148" i="31"/>
  <c r="K28" i="58" s="1"/>
  <c r="F147" i="31"/>
  <c r="J145" i="31"/>
  <c r="I145" i="31"/>
  <c r="H144" i="31"/>
  <c r="F143" i="31"/>
  <c r="J137" i="31"/>
  <c r="I137" i="31"/>
  <c r="I149" i="31"/>
  <c r="H137" i="31"/>
  <c r="H149" i="31" s="1"/>
  <c r="G137" i="31"/>
  <c r="G149" i="31"/>
  <c r="F137" i="31"/>
  <c r="F149" i="31" s="1"/>
  <c r="K135" i="31"/>
  <c r="K134" i="31"/>
  <c r="K133" i="31"/>
  <c r="K137" i="31"/>
  <c r="K149" i="31" s="1"/>
  <c r="K132" i="31"/>
  <c r="K131" i="31"/>
  <c r="F119" i="31"/>
  <c r="J108" i="31"/>
  <c r="J147" i="31" s="1"/>
  <c r="H108" i="31"/>
  <c r="H147" i="31"/>
  <c r="G108" i="31"/>
  <c r="G147" i="31" s="1"/>
  <c r="F108" i="31"/>
  <c r="I106" i="31"/>
  <c r="K106" i="31"/>
  <c r="K105" i="31"/>
  <c r="I105" i="31"/>
  <c r="I104" i="31"/>
  <c r="K104" i="31"/>
  <c r="K103" i="31"/>
  <c r="I103" i="31"/>
  <c r="I102" i="31"/>
  <c r="K102" i="31" s="1"/>
  <c r="K108" i="31" s="1"/>
  <c r="K147" i="31" s="1"/>
  <c r="I108" i="31"/>
  <c r="I147" i="31" s="1"/>
  <c r="J98" i="31"/>
  <c r="J146" i="31"/>
  <c r="H98" i="31"/>
  <c r="H146" i="31" s="1"/>
  <c r="G98" i="31"/>
  <c r="G146" i="31"/>
  <c r="F98" i="31"/>
  <c r="F146" i="31" s="1"/>
  <c r="I96" i="31"/>
  <c r="K96" i="31"/>
  <c r="K95" i="31"/>
  <c r="I95" i="31"/>
  <c r="I94" i="31"/>
  <c r="K94" i="31"/>
  <c r="K93" i="31"/>
  <c r="I93" i="31"/>
  <c r="I92" i="31"/>
  <c r="K92" i="31"/>
  <c r="K91" i="31"/>
  <c r="I91" i="31"/>
  <c r="I90" i="31"/>
  <c r="K90" i="31"/>
  <c r="K89" i="31"/>
  <c r="I89" i="31"/>
  <c r="I88" i="31"/>
  <c r="K88" i="31"/>
  <c r="K87" i="31"/>
  <c r="I87" i="31"/>
  <c r="I86" i="31"/>
  <c r="I98" i="31"/>
  <c r="I146" i="31"/>
  <c r="J82" i="31"/>
  <c r="I82" i="31"/>
  <c r="H82" i="31"/>
  <c r="H145" i="31"/>
  <c r="G82" i="31"/>
  <c r="G145" i="31" s="1"/>
  <c r="F82" i="31"/>
  <c r="F145" i="31" s="1"/>
  <c r="K80" i="31"/>
  <c r="K79" i="31"/>
  <c r="K78" i="31"/>
  <c r="K77" i="31"/>
  <c r="K82" i="31" s="1"/>
  <c r="K145" i="31" s="1"/>
  <c r="J74" i="31"/>
  <c r="J144" i="31"/>
  <c r="I74" i="31"/>
  <c r="I144" i="31"/>
  <c r="H74" i="31"/>
  <c r="G74" i="31"/>
  <c r="G144" i="31" s="1"/>
  <c r="G152" i="31" s="1"/>
  <c r="F74" i="31"/>
  <c r="F144" i="31"/>
  <c r="K72" i="31"/>
  <c r="K71" i="31"/>
  <c r="K70" i="31"/>
  <c r="K69" i="31"/>
  <c r="K74" i="31" s="1"/>
  <c r="K144" i="31" s="1"/>
  <c r="K68" i="31"/>
  <c r="J64" i="31"/>
  <c r="J143" i="31" s="1"/>
  <c r="I64" i="31"/>
  <c r="I143" i="31" s="1"/>
  <c r="H64" i="31"/>
  <c r="H143" i="31" s="1"/>
  <c r="G64" i="31"/>
  <c r="G143" i="31" s="1"/>
  <c r="K62" i="31"/>
  <c r="K61" i="31"/>
  <c r="K60" i="31"/>
  <c r="K59" i="31"/>
  <c r="K58" i="31"/>
  <c r="K57" i="31"/>
  <c r="K56" i="31"/>
  <c r="K55" i="31"/>
  <c r="K54" i="31"/>
  <c r="K53" i="31"/>
  <c r="J49" i="31"/>
  <c r="J142" i="31"/>
  <c r="I49" i="31"/>
  <c r="I142" i="31"/>
  <c r="H49" i="31"/>
  <c r="H142" i="31"/>
  <c r="G49" i="31"/>
  <c r="G142" i="31"/>
  <c r="F49" i="31"/>
  <c r="F142" i="31"/>
  <c r="K47" i="31"/>
  <c r="K46" i="31"/>
  <c r="K45" i="31"/>
  <c r="K44" i="31"/>
  <c r="K43" i="31"/>
  <c r="K42" i="31"/>
  <c r="K41" i="31"/>
  <c r="K40" i="31"/>
  <c r="K49" i="31" s="1"/>
  <c r="K142" i="31" s="1"/>
  <c r="J36" i="31"/>
  <c r="J141" i="31"/>
  <c r="H36" i="31"/>
  <c r="H141" i="31" s="1"/>
  <c r="H152" i="31" s="1"/>
  <c r="G36" i="31"/>
  <c r="G141" i="31"/>
  <c r="F36" i="31"/>
  <c r="F141" i="31" s="1"/>
  <c r="F152" i="31" s="1"/>
  <c r="I34" i="31"/>
  <c r="K34" i="31" s="1"/>
  <c r="I33" i="31"/>
  <c r="K33" i="31"/>
  <c r="I32" i="31"/>
  <c r="K32" i="31" s="1"/>
  <c r="I31" i="31"/>
  <c r="K31" i="31" s="1"/>
  <c r="I30" i="31"/>
  <c r="K30" i="31" s="1"/>
  <c r="I29" i="31"/>
  <c r="K29" i="31"/>
  <c r="I28" i="31"/>
  <c r="K28" i="31" s="1"/>
  <c r="I27" i="31"/>
  <c r="K27" i="31" s="1"/>
  <c r="I26" i="31"/>
  <c r="K26" i="31" s="1"/>
  <c r="I25" i="31"/>
  <c r="K25" i="31"/>
  <c r="I24" i="31"/>
  <c r="K24" i="31" s="1"/>
  <c r="I23" i="31"/>
  <c r="K23" i="31" s="1"/>
  <c r="I22" i="31"/>
  <c r="K22" i="31" s="1"/>
  <c r="I21" i="31"/>
  <c r="K21" i="31"/>
  <c r="K18" i="31"/>
  <c r="K150" i="31" s="1"/>
  <c r="K86" i="31"/>
  <c r="I150" i="29"/>
  <c r="I149" i="29"/>
  <c r="H149" i="29"/>
  <c r="J144" i="29"/>
  <c r="J137" i="29"/>
  <c r="J149" i="29" s="1"/>
  <c r="I137" i="29"/>
  <c r="H137" i="29"/>
  <c r="G137" i="29"/>
  <c r="G149" i="29" s="1"/>
  <c r="F137" i="29"/>
  <c r="F149" i="29"/>
  <c r="K135" i="29"/>
  <c r="K134" i="29"/>
  <c r="K133" i="29"/>
  <c r="K132" i="29"/>
  <c r="K131" i="29"/>
  <c r="K137" i="29" s="1"/>
  <c r="K149" i="29" s="1"/>
  <c r="F125" i="29"/>
  <c r="F117" i="29"/>
  <c r="F119" i="29" s="1"/>
  <c r="F123" i="29" s="1"/>
  <c r="F127" i="29" s="1"/>
  <c r="F118" i="29"/>
  <c r="K80" i="29"/>
  <c r="K79" i="29"/>
  <c r="K78" i="29"/>
  <c r="J74" i="29"/>
  <c r="I74" i="29"/>
  <c r="I144" i="29" s="1"/>
  <c r="H74" i="29"/>
  <c r="H144" i="29" s="1"/>
  <c r="G74" i="29"/>
  <c r="G144" i="29" s="1"/>
  <c r="F74" i="29"/>
  <c r="F144" i="29" s="1"/>
  <c r="K72" i="29"/>
  <c r="K71" i="29"/>
  <c r="K70" i="29"/>
  <c r="K69" i="29"/>
  <c r="K68" i="29"/>
  <c r="K47" i="29"/>
  <c r="K46" i="29"/>
  <c r="K45" i="29"/>
  <c r="K40" i="29"/>
  <c r="G44" i="57"/>
  <c r="G105" i="57" s="1"/>
  <c r="C6" i="56" s="1"/>
  <c r="I150" i="23"/>
  <c r="H150" i="23"/>
  <c r="K148" i="23"/>
  <c r="K20" i="58" s="1"/>
  <c r="J147" i="23"/>
  <c r="F147" i="23"/>
  <c r="G144" i="23"/>
  <c r="J142" i="23"/>
  <c r="F142" i="23"/>
  <c r="H141" i="23"/>
  <c r="J137" i="23"/>
  <c r="J149" i="23"/>
  <c r="H137" i="23"/>
  <c r="H149" i="23" s="1"/>
  <c r="G137" i="23"/>
  <c r="G149" i="23"/>
  <c r="F137" i="23"/>
  <c r="F149" i="23" s="1"/>
  <c r="K135" i="23"/>
  <c r="K134" i="23"/>
  <c r="K133" i="23"/>
  <c r="F119" i="23"/>
  <c r="F123" i="23" s="1"/>
  <c r="F127" i="23"/>
  <c r="F114" i="23"/>
  <c r="I102" i="23" s="1"/>
  <c r="J108" i="23"/>
  <c r="H108" i="23"/>
  <c r="H147" i="23" s="1"/>
  <c r="G108" i="23"/>
  <c r="G147" i="23"/>
  <c r="F108" i="23"/>
  <c r="J98" i="23"/>
  <c r="J146" i="23" s="1"/>
  <c r="H98" i="23"/>
  <c r="H146" i="23" s="1"/>
  <c r="G98" i="23"/>
  <c r="G146" i="23" s="1"/>
  <c r="F98" i="23"/>
  <c r="F146" i="23" s="1"/>
  <c r="K89" i="23"/>
  <c r="K87" i="23"/>
  <c r="J82" i="23"/>
  <c r="J145" i="23"/>
  <c r="H82" i="23"/>
  <c r="H145" i="23" s="1"/>
  <c r="G82" i="23"/>
  <c r="G145" i="23" s="1"/>
  <c r="F82" i="23"/>
  <c r="F145" i="23" s="1"/>
  <c r="K79" i="23"/>
  <c r="K78" i="23"/>
  <c r="K77" i="23"/>
  <c r="I74" i="23"/>
  <c r="I144" i="23"/>
  <c r="H74" i="23"/>
  <c r="H144" i="23" s="1"/>
  <c r="H152" i="23" s="1"/>
  <c r="G74" i="23"/>
  <c r="F74" i="23"/>
  <c r="F144" i="23" s="1"/>
  <c r="K72" i="23"/>
  <c r="K71" i="23"/>
  <c r="K70" i="23"/>
  <c r="K69" i="23"/>
  <c r="J68" i="23"/>
  <c r="K68" i="23" s="1"/>
  <c r="J64" i="23"/>
  <c r="J143" i="23" s="1"/>
  <c r="H64" i="23"/>
  <c r="H143" i="23" s="1"/>
  <c r="G64" i="23"/>
  <c r="G143" i="23" s="1"/>
  <c r="F64" i="23"/>
  <c r="F143" i="23"/>
  <c r="K62" i="23"/>
  <c r="K61" i="23"/>
  <c r="K60" i="23"/>
  <c r="K59" i="23"/>
  <c r="K58" i="23"/>
  <c r="K57" i="23"/>
  <c r="K56" i="23"/>
  <c r="K54" i="23"/>
  <c r="K53" i="23"/>
  <c r="J49" i="23"/>
  <c r="H49" i="23"/>
  <c r="H142" i="23" s="1"/>
  <c r="G49" i="23"/>
  <c r="G142" i="23" s="1"/>
  <c r="F49" i="23"/>
  <c r="K47" i="23"/>
  <c r="I46" i="23"/>
  <c r="K46" i="23" s="1"/>
  <c r="I45" i="23"/>
  <c r="K45" i="23" s="1"/>
  <c r="I44" i="23"/>
  <c r="K43" i="23"/>
  <c r="I42" i="23"/>
  <c r="K42" i="23" s="1"/>
  <c r="I40" i="23"/>
  <c r="J36" i="23"/>
  <c r="J141" i="23"/>
  <c r="H36" i="23"/>
  <c r="G36" i="23"/>
  <c r="G141" i="23" s="1"/>
  <c r="G152" i="23" s="1"/>
  <c r="F36" i="23"/>
  <c r="F141" i="23" s="1"/>
  <c r="J18" i="23"/>
  <c r="K18" i="23" s="1"/>
  <c r="K150" i="23" s="1"/>
  <c r="J74" i="23"/>
  <c r="J144" i="23" s="1"/>
  <c r="K74" i="23"/>
  <c r="K144" i="23" s="1"/>
  <c r="J150" i="21"/>
  <c r="I150" i="21"/>
  <c r="H150" i="21"/>
  <c r="F149" i="21"/>
  <c r="H146" i="21"/>
  <c r="G146" i="21"/>
  <c r="H142" i="21"/>
  <c r="J141" i="21"/>
  <c r="J152" i="21" s="1"/>
  <c r="J137" i="21"/>
  <c r="J149" i="21" s="1"/>
  <c r="I137" i="21"/>
  <c r="I149" i="21"/>
  <c r="H137" i="21"/>
  <c r="H149" i="21"/>
  <c r="G137" i="21"/>
  <c r="G149" i="21"/>
  <c r="F137" i="21"/>
  <c r="K135" i="21"/>
  <c r="K134" i="21"/>
  <c r="K133" i="21"/>
  <c r="K132" i="21"/>
  <c r="K131" i="21"/>
  <c r="F125" i="21"/>
  <c r="F119" i="21"/>
  <c r="F111" i="21"/>
  <c r="K148" i="21"/>
  <c r="K17" i="58" s="1"/>
  <c r="J108" i="21"/>
  <c r="J147" i="21"/>
  <c r="H108" i="21"/>
  <c r="H147" i="21"/>
  <c r="G108" i="21"/>
  <c r="G147" i="21"/>
  <c r="F108" i="21"/>
  <c r="F147" i="21"/>
  <c r="I106" i="21"/>
  <c r="K106" i="21" s="1"/>
  <c r="I105" i="21"/>
  <c r="K105" i="21"/>
  <c r="I104" i="21"/>
  <c r="K104" i="21" s="1"/>
  <c r="I103" i="21"/>
  <c r="K103" i="21"/>
  <c r="I102" i="21"/>
  <c r="J98" i="21"/>
  <c r="J146" i="21"/>
  <c r="H98" i="21"/>
  <c r="G98" i="21"/>
  <c r="F98" i="21"/>
  <c r="F146" i="21"/>
  <c r="I96" i="21"/>
  <c r="K96" i="21" s="1"/>
  <c r="I95" i="21"/>
  <c r="K95" i="21"/>
  <c r="I94" i="21"/>
  <c r="K94" i="21" s="1"/>
  <c r="I93" i="21"/>
  <c r="K93" i="21"/>
  <c r="I92" i="21"/>
  <c r="K92" i="21" s="1"/>
  <c r="I91" i="21"/>
  <c r="K91" i="21"/>
  <c r="I90" i="21"/>
  <c r="K90" i="21" s="1"/>
  <c r="I89" i="21"/>
  <c r="K89" i="21"/>
  <c r="I88" i="21"/>
  <c r="K88" i="21" s="1"/>
  <c r="I87" i="21"/>
  <c r="K87" i="21"/>
  <c r="I86" i="21"/>
  <c r="I98" i="21" s="1"/>
  <c r="I146" i="21" s="1"/>
  <c r="J82" i="21"/>
  <c r="J145" i="21"/>
  <c r="I82" i="21"/>
  <c r="I145" i="21"/>
  <c r="H82" i="21"/>
  <c r="H145" i="21"/>
  <c r="G82" i="21"/>
  <c r="G145" i="21"/>
  <c r="F82" i="21"/>
  <c r="F145" i="21"/>
  <c r="K80" i="21"/>
  <c r="K79" i="21"/>
  <c r="K78" i="21"/>
  <c r="K77" i="21"/>
  <c r="K82" i="21" s="1"/>
  <c r="K145" i="21" s="1"/>
  <c r="J74" i="21"/>
  <c r="J144" i="21"/>
  <c r="I74" i="21"/>
  <c r="I144" i="21"/>
  <c r="H74" i="21"/>
  <c r="H144" i="21"/>
  <c r="G74" i="21"/>
  <c r="G144" i="21"/>
  <c r="F74" i="21"/>
  <c r="F144" i="21"/>
  <c r="K72" i="21"/>
  <c r="K71" i="21"/>
  <c r="K70" i="21"/>
  <c r="K74" i="21"/>
  <c r="K144" i="21" s="1"/>
  <c r="K69" i="21"/>
  <c r="K68" i="21"/>
  <c r="J64" i="21"/>
  <c r="J143" i="21" s="1"/>
  <c r="I64" i="21"/>
  <c r="I143" i="21" s="1"/>
  <c r="H64" i="21"/>
  <c r="H143" i="21"/>
  <c r="G64" i="21"/>
  <c r="G143" i="21"/>
  <c r="F64" i="21"/>
  <c r="F143" i="21"/>
  <c r="K62" i="21"/>
  <c r="K61" i="21"/>
  <c r="K60" i="21"/>
  <c r="K59" i="21"/>
  <c r="K58" i="21"/>
  <c r="K57" i="21"/>
  <c r="K56" i="21"/>
  <c r="K55" i="21"/>
  <c r="K54" i="21"/>
  <c r="K53" i="21"/>
  <c r="K64" i="21" s="1"/>
  <c r="K143" i="21" s="1"/>
  <c r="J49" i="21"/>
  <c r="J142" i="21"/>
  <c r="I49" i="21"/>
  <c r="I142" i="21"/>
  <c r="H49" i="21"/>
  <c r="G49" i="21"/>
  <c r="G142" i="21" s="1"/>
  <c r="F49" i="21"/>
  <c r="F142" i="21"/>
  <c r="K47" i="21"/>
  <c r="K46" i="21"/>
  <c r="K45" i="21"/>
  <c r="K44" i="21"/>
  <c r="K43" i="21"/>
  <c r="K42" i="21"/>
  <c r="K41" i="21"/>
  <c r="K40" i="21"/>
  <c r="K49" i="21" s="1"/>
  <c r="K142" i="21" s="1"/>
  <c r="J36" i="21"/>
  <c r="H36" i="21"/>
  <c r="H141" i="21" s="1"/>
  <c r="G36" i="21"/>
  <c r="G141" i="21" s="1"/>
  <c r="F36" i="21"/>
  <c r="F141" i="21" s="1"/>
  <c r="I34" i="21"/>
  <c r="K34" i="21"/>
  <c r="I33" i="21"/>
  <c r="K33" i="21"/>
  <c r="I32" i="21"/>
  <c r="K32" i="21"/>
  <c r="I31" i="21"/>
  <c r="K31" i="21"/>
  <c r="I30" i="21"/>
  <c r="K30" i="21"/>
  <c r="I29" i="21"/>
  <c r="K29" i="21"/>
  <c r="I28" i="21"/>
  <c r="K28" i="21"/>
  <c r="I27" i="21"/>
  <c r="K27" i="21"/>
  <c r="I26" i="21"/>
  <c r="K26" i="21"/>
  <c r="K25" i="21"/>
  <c r="I24" i="21"/>
  <c r="K24" i="21" s="1"/>
  <c r="K23" i="21"/>
  <c r="I23" i="21"/>
  <c r="I22" i="21"/>
  <c r="K22" i="21" s="1"/>
  <c r="I21" i="21"/>
  <c r="K18" i="21"/>
  <c r="K150" i="21" s="1"/>
  <c r="F152" i="21"/>
  <c r="I150" i="19"/>
  <c r="I149" i="19"/>
  <c r="J144" i="19"/>
  <c r="F144" i="19"/>
  <c r="J137" i="19"/>
  <c r="J149" i="19"/>
  <c r="I137" i="19"/>
  <c r="H137" i="19"/>
  <c r="H149" i="19" s="1"/>
  <c r="G137" i="19"/>
  <c r="G149" i="19" s="1"/>
  <c r="F137" i="19"/>
  <c r="F149" i="19"/>
  <c r="K135" i="19"/>
  <c r="K134" i="19"/>
  <c r="K133" i="19"/>
  <c r="K132" i="19"/>
  <c r="K131" i="19"/>
  <c r="K137" i="19"/>
  <c r="K149" i="19" s="1"/>
  <c r="F125" i="19"/>
  <c r="F117" i="19"/>
  <c r="F118" i="19"/>
  <c r="K80" i="19"/>
  <c r="K79" i="19"/>
  <c r="K78" i="19"/>
  <c r="J74" i="19"/>
  <c r="I74" i="19"/>
  <c r="I144" i="19" s="1"/>
  <c r="H74" i="19"/>
  <c r="H144" i="19" s="1"/>
  <c r="G74" i="19"/>
  <c r="G144" i="19"/>
  <c r="F74" i="19"/>
  <c r="K72" i="19"/>
  <c r="K71" i="19"/>
  <c r="K70" i="19"/>
  <c r="K69" i="19"/>
  <c r="K68" i="19"/>
  <c r="K74" i="19" s="1"/>
  <c r="K144" i="19" s="1"/>
  <c r="K62" i="19"/>
  <c r="K61" i="19"/>
  <c r="K60" i="19"/>
  <c r="K59" i="19"/>
  <c r="K47" i="19"/>
  <c r="K46" i="19"/>
  <c r="K45" i="19"/>
  <c r="K44" i="19"/>
  <c r="K43" i="19"/>
  <c r="K40" i="19"/>
  <c r="K25" i="19"/>
  <c r="K21" i="19"/>
  <c r="J150" i="16"/>
  <c r="I150" i="16"/>
  <c r="H150" i="16"/>
  <c r="F149" i="16"/>
  <c r="K148" i="16"/>
  <c r="K7" i="58" s="1"/>
  <c r="J147" i="16"/>
  <c r="H146" i="16"/>
  <c r="G144" i="16"/>
  <c r="J143" i="16"/>
  <c r="F143" i="16"/>
  <c r="J137" i="16"/>
  <c r="J149" i="16" s="1"/>
  <c r="I137" i="16"/>
  <c r="I149" i="16" s="1"/>
  <c r="H137" i="16"/>
  <c r="H149" i="16" s="1"/>
  <c r="G137" i="16"/>
  <c r="G149" i="16" s="1"/>
  <c r="F137" i="16"/>
  <c r="K135" i="16"/>
  <c r="K134" i="16"/>
  <c r="K133" i="16"/>
  <c r="K132" i="16"/>
  <c r="K137" i="16" s="1"/>
  <c r="K149" i="16" s="1"/>
  <c r="K131" i="16"/>
  <c r="F119" i="16"/>
  <c r="J108" i="16"/>
  <c r="H108" i="16"/>
  <c r="H147" i="16" s="1"/>
  <c r="G108" i="16"/>
  <c r="G147" i="16" s="1"/>
  <c r="F108" i="16"/>
  <c r="F147" i="16" s="1"/>
  <c r="I106" i="16"/>
  <c r="K106" i="16"/>
  <c r="I105" i="16"/>
  <c r="I104" i="16"/>
  <c r="K103" i="16"/>
  <c r="I103" i="16"/>
  <c r="K102" i="16"/>
  <c r="J98" i="16"/>
  <c r="J146" i="16"/>
  <c r="H98" i="16"/>
  <c r="G98" i="16"/>
  <c r="G146" i="16" s="1"/>
  <c r="F98" i="16"/>
  <c r="F146" i="16"/>
  <c r="I96" i="16"/>
  <c r="K96" i="16"/>
  <c r="I95" i="16"/>
  <c r="K95" i="16"/>
  <c r="I94" i="16"/>
  <c r="I98" i="16"/>
  <c r="I146" i="16" s="1"/>
  <c r="K93" i="16"/>
  <c r="K92" i="16"/>
  <c r="K91" i="16"/>
  <c r="K90" i="16"/>
  <c r="K89" i="16"/>
  <c r="K98" i="16" s="1"/>
  <c r="K146" i="16" s="1"/>
  <c r="K88" i="16"/>
  <c r="K87" i="16"/>
  <c r="K86" i="16"/>
  <c r="J82" i="16"/>
  <c r="J145" i="16" s="1"/>
  <c r="I82" i="16"/>
  <c r="I145" i="16" s="1"/>
  <c r="H82" i="16"/>
  <c r="H145" i="16"/>
  <c r="H152" i="16" s="1"/>
  <c r="G82" i="16"/>
  <c r="G145" i="16"/>
  <c r="F82" i="16"/>
  <c r="F145" i="16"/>
  <c r="K80" i="16"/>
  <c r="K79" i="16"/>
  <c r="K78" i="16"/>
  <c r="K77" i="16"/>
  <c r="K82" i="16" s="1"/>
  <c r="K145" i="16" s="1"/>
  <c r="J74" i="16"/>
  <c r="J144" i="16"/>
  <c r="I74" i="16"/>
  <c r="I144" i="16"/>
  <c r="H74" i="16"/>
  <c r="H144" i="16"/>
  <c r="G74" i="16"/>
  <c r="F74" i="16"/>
  <c r="F144" i="16" s="1"/>
  <c r="K72" i="16"/>
  <c r="K71" i="16"/>
  <c r="K70" i="16"/>
  <c r="K69" i="16"/>
  <c r="K68" i="16"/>
  <c r="K74" i="16" s="1"/>
  <c r="K144" i="16" s="1"/>
  <c r="J64" i="16"/>
  <c r="I64" i="16"/>
  <c r="I143" i="16" s="1"/>
  <c r="H64" i="16"/>
  <c r="H143" i="16"/>
  <c r="G64" i="16"/>
  <c r="G143" i="16"/>
  <c r="F64" i="16"/>
  <c r="K62" i="16"/>
  <c r="K61" i="16"/>
  <c r="K60" i="16"/>
  <c r="K59" i="16"/>
  <c r="K58" i="16"/>
  <c r="K57" i="16"/>
  <c r="K56" i="16"/>
  <c r="K55" i="16"/>
  <c r="K54" i="16"/>
  <c r="K53" i="16"/>
  <c r="J49" i="16"/>
  <c r="J142" i="16" s="1"/>
  <c r="I49" i="16"/>
  <c r="I142" i="16" s="1"/>
  <c r="H49" i="16"/>
  <c r="H142" i="16" s="1"/>
  <c r="G49" i="16"/>
  <c r="G142" i="16" s="1"/>
  <c r="F49" i="16"/>
  <c r="F142" i="16" s="1"/>
  <c r="K47" i="16"/>
  <c r="K46" i="16"/>
  <c r="K45" i="16"/>
  <c r="K44" i="16"/>
  <c r="K43" i="16"/>
  <c r="K42" i="16"/>
  <c r="K41" i="16"/>
  <c r="K40" i="16"/>
  <c r="J36" i="16"/>
  <c r="J141" i="16" s="1"/>
  <c r="J152" i="16" s="1"/>
  <c r="I36" i="16"/>
  <c r="I141" i="16"/>
  <c r="H36" i="16"/>
  <c r="H141" i="16"/>
  <c r="G36" i="16"/>
  <c r="G141" i="16"/>
  <c r="G152" i="16" s="1"/>
  <c r="F36" i="16"/>
  <c r="F141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36" i="16" s="1"/>
  <c r="K141" i="16"/>
  <c r="K21" i="16"/>
  <c r="K18" i="16"/>
  <c r="K150" i="16" s="1"/>
  <c r="K104" i="16"/>
  <c r="K94" i="16"/>
  <c r="J150" i="14"/>
  <c r="I150" i="14"/>
  <c r="H150" i="14"/>
  <c r="F149" i="14"/>
  <c r="K148" i="14"/>
  <c r="K47" i="58" s="1"/>
  <c r="J147" i="14"/>
  <c r="F147" i="14"/>
  <c r="G145" i="14"/>
  <c r="F145" i="14"/>
  <c r="G144" i="14"/>
  <c r="J137" i="14"/>
  <c r="J149" i="14" s="1"/>
  <c r="I137" i="14"/>
  <c r="I149" i="14"/>
  <c r="H137" i="14"/>
  <c r="H149" i="14"/>
  <c r="G137" i="14"/>
  <c r="G149" i="14"/>
  <c r="F137" i="14"/>
  <c r="K135" i="14"/>
  <c r="K134" i="14"/>
  <c r="K133" i="14"/>
  <c r="K132" i="14"/>
  <c r="K131" i="14"/>
  <c r="K137" i="14" s="1"/>
  <c r="K149" i="14" s="1"/>
  <c r="F127" i="14"/>
  <c r="F119" i="14"/>
  <c r="J108" i="14"/>
  <c r="H108" i="14"/>
  <c r="H147" i="14" s="1"/>
  <c r="G108" i="14"/>
  <c r="G147" i="14" s="1"/>
  <c r="F108" i="14"/>
  <c r="I106" i="14"/>
  <c r="K106" i="14" s="1"/>
  <c r="I105" i="14"/>
  <c r="K105" i="14" s="1"/>
  <c r="I104" i="14"/>
  <c r="K104" i="14" s="1"/>
  <c r="I103" i="14"/>
  <c r="K103" i="14" s="1"/>
  <c r="I102" i="14"/>
  <c r="K102" i="14" s="1"/>
  <c r="J98" i="14"/>
  <c r="J146" i="14" s="1"/>
  <c r="H98" i="14"/>
  <c r="H146" i="14" s="1"/>
  <c r="G98" i="14"/>
  <c r="G146" i="14" s="1"/>
  <c r="F98" i="14"/>
  <c r="F146" i="14"/>
  <c r="I96" i="14"/>
  <c r="K96" i="14"/>
  <c r="I95" i="14"/>
  <c r="K95" i="14"/>
  <c r="I94" i="14"/>
  <c r="K94" i="14"/>
  <c r="I93" i="14"/>
  <c r="K93" i="14"/>
  <c r="I92" i="14"/>
  <c r="K92" i="14"/>
  <c r="I91" i="14"/>
  <c r="K91" i="14"/>
  <c r="I90" i="14"/>
  <c r="K90" i="14"/>
  <c r="I89" i="14"/>
  <c r="K89" i="14"/>
  <c r="I88" i="14"/>
  <c r="K88" i="14"/>
  <c r="I87" i="14"/>
  <c r="K87" i="14"/>
  <c r="I86" i="14"/>
  <c r="I98" i="14"/>
  <c r="I146" i="14" s="1"/>
  <c r="J82" i="14"/>
  <c r="J145" i="14" s="1"/>
  <c r="H82" i="14"/>
  <c r="H145" i="14"/>
  <c r="G82" i="14"/>
  <c r="F82" i="14"/>
  <c r="I80" i="14"/>
  <c r="K80" i="14"/>
  <c r="I79" i="14"/>
  <c r="K79" i="14"/>
  <c r="I78" i="14"/>
  <c r="K78" i="14" s="1"/>
  <c r="I82" i="14"/>
  <c r="I145" i="14" s="1"/>
  <c r="I77" i="14"/>
  <c r="J74" i="14"/>
  <c r="J144" i="14" s="1"/>
  <c r="H74" i="14"/>
  <c r="H144" i="14" s="1"/>
  <c r="G74" i="14"/>
  <c r="F74" i="14"/>
  <c r="F144" i="14" s="1"/>
  <c r="I72" i="14"/>
  <c r="K72" i="14" s="1"/>
  <c r="I71" i="14"/>
  <c r="K71" i="14" s="1"/>
  <c r="I70" i="14"/>
  <c r="K70" i="14" s="1"/>
  <c r="I69" i="14"/>
  <c r="K69" i="14" s="1"/>
  <c r="I68" i="14"/>
  <c r="J64" i="14"/>
  <c r="J143" i="14"/>
  <c r="H64" i="14"/>
  <c r="H143" i="14"/>
  <c r="G64" i="14"/>
  <c r="G143" i="14"/>
  <c r="F64" i="14"/>
  <c r="F143" i="14"/>
  <c r="I62" i="14"/>
  <c r="K62" i="14"/>
  <c r="I61" i="14"/>
  <c r="K61" i="14"/>
  <c r="I60" i="14"/>
  <c r="K60" i="14"/>
  <c r="I59" i="14"/>
  <c r="K59" i="14"/>
  <c r="I58" i="14"/>
  <c r="K58" i="14"/>
  <c r="I57" i="14"/>
  <c r="K57" i="14"/>
  <c r="I56" i="14"/>
  <c r="K56" i="14"/>
  <c r="I55" i="14"/>
  <c r="K55" i="14"/>
  <c r="I54" i="14"/>
  <c r="K54" i="14"/>
  <c r="I53" i="14"/>
  <c r="K53" i="14" s="1"/>
  <c r="I64" i="14"/>
  <c r="I143" i="14" s="1"/>
  <c r="J49" i="14"/>
  <c r="J142" i="14" s="1"/>
  <c r="H49" i="14"/>
  <c r="H142" i="14" s="1"/>
  <c r="G49" i="14"/>
  <c r="G142" i="14" s="1"/>
  <c r="F49" i="14"/>
  <c r="F142" i="14"/>
  <c r="I47" i="14"/>
  <c r="K47" i="14"/>
  <c r="I46" i="14"/>
  <c r="K46" i="14"/>
  <c r="I45" i="14"/>
  <c r="K45" i="14"/>
  <c r="I44" i="14"/>
  <c r="K44" i="14"/>
  <c r="I43" i="14"/>
  <c r="K43" i="14"/>
  <c r="I42" i="14"/>
  <c r="K42" i="14"/>
  <c r="I41" i="14"/>
  <c r="I40" i="14"/>
  <c r="J36" i="14"/>
  <c r="J141" i="14" s="1"/>
  <c r="J152" i="14" s="1"/>
  <c r="H36" i="14"/>
  <c r="H141" i="14" s="1"/>
  <c r="H152" i="14" s="1"/>
  <c r="G36" i="14"/>
  <c r="G141" i="14" s="1"/>
  <c r="G152" i="14" s="1"/>
  <c r="F36" i="14"/>
  <c r="F141" i="14"/>
  <c r="F152" i="14" s="1"/>
  <c r="I34" i="14"/>
  <c r="K34" i="14"/>
  <c r="I33" i="14"/>
  <c r="K33" i="14"/>
  <c r="I32" i="14"/>
  <c r="K32" i="14"/>
  <c r="I31" i="14"/>
  <c r="K31" i="14"/>
  <c r="I30" i="14"/>
  <c r="K30" i="14"/>
  <c r="I29" i="14"/>
  <c r="K29" i="14"/>
  <c r="I28" i="14"/>
  <c r="K28" i="14"/>
  <c r="I27" i="14"/>
  <c r="K27" i="14"/>
  <c r="I26" i="14"/>
  <c r="K26" i="14"/>
  <c r="I25" i="14"/>
  <c r="K25" i="14"/>
  <c r="I24" i="14"/>
  <c r="K24" i="14"/>
  <c r="I23" i="14"/>
  <c r="K23" i="14"/>
  <c r="I22" i="14"/>
  <c r="K22" i="14"/>
  <c r="I21" i="14"/>
  <c r="I36" i="14"/>
  <c r="I141" i="14" s="1"/>
  <c r="K18" i="14"/>
  <c r="K150" i="14" s="1"/>
  <c r="K21" i="14"/>
  <c r="K36" i="14" s="1"/>
  <c r="K141" i="14"/>
  <c r="K86" i="14"/>
  <c r="K98" i="14" s="1"/>
  <c r="K146" i="14" s="1"/>
  <c r="K41" i="14"/>
  <c r="K68" i="14"/>
  <c r="J150" i="12"/>
  <c r="I150" i="12"/>
  <c r="H150" i="12"/>
  <c r="K148" i="12"/>
  <c r="K4" i="58" s="1"/>
  <c r="I145" i="12"/>
  <c r="J144" i="12"/>
  <c r="F144" i="12"/>
  <c r="F143" i="12"/>
  <c r="J142" i="12"/>
  <c r="F142" i="12"/>
  <c r="J137" i="12"/>
  <c r="J149" i="12"/>
  <c r="I137" i="12"/>
  <c r="I149" i="12" s="1"/>
  <c r="H137" i="12"/>
  <c r="H149" i="12" s="1"/>
  <c r="G137" i="12"/>
  <c r="G149" i="12" s="1"/>
  <c r="F137" i="12"/>
  <c r="F149" i="12" s="1"/>
  <c r="K135" i="12"/>
  <c r="K134" i="12"/>
  <c r="K133" i="12"/>
  <c r="K132" i="12"/>
  <c r="K137" i="12"/>
  <c r="K149" i="12" s="1"/>
  <c r="K131" i="12"/>
  <c r="F119" i="12"/>
  <c r="J108" i="12"/>
  <c r="J147" i="12" s="1"/>
  <c r="H108" i="12"/>
  <c r="H147" i="12" s="1"/>
  <c r="G108" i="12"/>
  <c r="G147" i="12"/>
  <c r="F108" i="12"/>
  <c r="F147" i="12"/>
  <c r="I106" i="12"/>
  <c r="K106" i="12"/>
  <c r="I105" i="12"/>
  <c r="K105" i="12"/>
  <c r="I104" i="12"/>
  <c r="K104" i="12"/>
  <c r="K108" i="12" s="1"/>
  <c r="K147" i="12" s="1"/>
  <c r="I103" i="12"/>
  <c r="K103" i="12"/>
  <c r="I102" i="12"/>
  <c r="I108" i="12"/>
  <c r="I147" i="12" s="1"/>
  <c r="J98" i="12"/>
  <c r="J146" i="12" s="1"/>
  <c r="H98" i="12"/>
  <c r="H146" i="12" s="1"/>
  <c r="G98" i="12"/>
  <c r="G146" i="12" s="1"/>
  <c r="F98" i="12"/>
  <c r="F146" i="12" s="1"/>
  <c r="I96" i="12"/>
  <c r="K96" i="12" s="1"/>
  <c r="I95" i="12"/>
  <c r="K95" i="12" s="1"/>
  <c r="I94" i="12"/>
  <c r="K94" i="12" s="1"/>
  <c r="I93" i="12"/>
  <c r="K93" i="12" s="1"/>
  <c r="I92" i="12"/>
  <c r="K92" i="12" s="1"/>
  <c r="I91" i="12"/>
  <c r="K91" i="12" s="1"/>
  <c r="I90" i="12"/>
  <c r="K90" i="12" s="1"/>
  <c r="I89" i="12"/>
  <c r="K89" i="12" s="1"/>
  <c r="I88" i="12"/>
  <c r="K88" i="12" s="1"/>
  <c r="I87" i="12"/>
  <c r="K87" i="12" s="1"/>
  <c r="I86" i="12"/>
  <c r="I98" i="12" s="1"/>
  <c r="I146" i="12" s="1"/>
  <c r="J82" i="12"/>
  <c r="J145" i="12"/>
  <c r="I82" i="12"/>
  <c r="H82" i="12"/>
  <c r="H145" i="12" s="1"/>
  <c r="G82" i="12"/>
  <c r="G145" i="12"/>
  <c r="F82" i="12"/>
  <c r="F145" i="12"/>
  <c r="K80" i="12"/>
  <c r="K79" i="12"/>
  <c r="K78" i="12"/>
  <c r="K77" i="12"/>
  <c r="K82" i="12" s="1"/>
  <c r="K145" i="12" s="1"/>
  <c r="J74" i="12"/>
  <c r="I74" i="12"/>
  <c r="I144" i="12" s="1"/>
  <c r="H74" i="12"/>
  <c r="H144" i="12" s="1"/>
  <c r="G74" i="12"/>
  <c r="G144" i="12" s="1"/>
  <c r="F74" i="12"/>
  <c r="K72" i="12"/>
  <c r="K71" i="12"/>
  <c r="K70" i="12"/>
  <c r="K69" i="12"/>
  <c r="K68" i="12"/>
  <c r="K74" i="12" s="1"/>
  <c r="K144" i="12"/>
  <c r="J64" i="12"/>
  <c r="J143" i="12" s="1"/>
  <c r="H64" i="12"/>
  <c r="H143" i="12" s="1"/>
  <c r="G64" i="12"/>
  <c r="G143" i="12"/>
  <c r="F64" i="12"/>
  <c r="K62" i="12"/>
  <c r="K61" i="12"/>
  <c r="K60" i="12"/>
  <c r="K59" i="12"/>
  <c r="K58" i="12"/>
  <c r="K57" i="12"/>
  <c r="K56" i="12"/>
  <c r="K55" i="12"/>
  <c r="K54" i="12"/>
  <c r="I53" i="12"/>
  <c r="K53" i="12"/>
  <c r="K64" i="12" s="1"/>
  <c r="K143" i="12" s="1"/>
  <c r="J49" i="12"/>
  <c r="H49" i="12"/>
  <c r="H142" i="12" s="1"/>
  <c r="G49" i="12"/>
  <c r="G142" i="12" s="1"/>
  <c r="F49" i="12"/>
  <c r="K47" i="12"/>
  <c r="K46" i="12"/>
  <c r="K45" i="12"/>
  <c r="K44" i="12"/>
  <c r="K43" i="12"/>
  <c r="I42" i="12"/>
  <c r="I49" i="12" s="1"/>
  <c r="I41" i="12"/>
  <c r="K41" i="12"/>
  <c r="K40" i="12"/>
  <c r="J36" i="12"/>
  <c r="J141" i="12" s="1"/>
  <c r="H36" i="12"/>
  <c r="H141" i="12" s="1"/>
  <c r="G36" i="12"/>
  <c r="G141" i="12"/>
  <c r="F36" i="12"/>
  <c r="F141" i="12" s="1"/>
  <c r="I34" i="12"/>
  <c r="K34" i="12" s="1"/>
  <c r="I33" i="12"/>
  <c r="K33" i="12" s="1"/>
  <c r="I32" i="12"/>
  <c r="K32" i="12" s="1"/>
  <c r="I31" i="12"/>
  <c r="K31" i="12" s="1"/>
  <c r="I30" i="12"/>
  <c r="K30" i="12" s="1"/>
  <c r="I29" i="12"/>
  <c r="K29" i="12" s="1"/>
  <c r="I28" i="12"/>
  <c r="K28" i="12" s="1"/>
  <c r="I27" i="12"/>
  <c r="K27" i="12" s="1"/>
  <c r="I26" i="12"/>
  <c r="K26" i="12" s="1"/>
  <c r="I25" i="12"/>
  <c r="K25" i="12" s="1"/>
  <c r="I24" i="12"/>
  <c r="K24" i="12" s="1"/>
  <c r="I23" i="12"/>
  <c r="K23" i="12" s="1"/>
  <c r="I22" i="12"/>
  <c r="K22" i="12" s="1"/>
  <c r="K36" i="12" s="1"/>
  <c r="K141" i="12" s="1"/>
  <c r="I21" i="12"/>
  <c r="I36" i="12" s="1"/>
  <c r="I141" i="12" s="1"/>
  <c r="K21" i="12"/>
  <c r="K18" i="12"/>
  <c r="K150" i="12"/>
  <c r="F152" i="12"/>
  <c r="I142" i="12"/>
  <c r="I64" i="12"/>
  <c r="I143" i="12" s="1"/>
  <c r="K86" i="12"/>
  <c r="K98" i="12" s="1"/>
  <c r="K146" i="12" s="1"/>
  <c r="K102" i="12"/>
  <c r="J150" i="11"/>
  <c r="I150" i="11"/>
  <c r="H150" i="11"/>
  <c r="H149" i="11"/>
  <c r="K148" i="11"/>
  <c r="K3" i="58" s="1"/>
  <c r="G145" i="11"/>
  <c r="G141" i="11"/>
  <c r="J137" i="11"/>
  <c r="J149" i="11"/>
  <c r="H137" i="11"/>
  <c r="G137" i="11"/>
  <c r="G149" i="11" s="1"/>
  <c r="F137" i="11"/>
  <c r="F149" i="11" s="1"/>
  <c r="K135" i="11"/>
  <c r="I135" i="11"/>
  <c r="I134" i="11"/>
  <c r="K134" i="11" s="1"/>
  <c r="K133" i="11"/>
  <c r="I133" i="11"/>
  <c r="I132" i="11"/>
  <c r="K131" i="11"/>
  <c r="F119" i="11"/>
  <c r="J108" i="11"/>
  <c r="J147" i="11" s="1"/>
  <c r="H108" i="11"/>
  <c r="H147" i="11" s="1"/>
  <c r="G108" i="11"/>
  <c r="G147" i="11" s="1"/>
  <c r="F108" i="11"/>
  <c r="F147" i="11"/>
  <c r="I106" i="11"/>
  <c r="K106" i="11" s="1"/>
  <c r="I105" i="11"/>
  <c r="K105" i="11"/>
  <c r="I104" i="11"/>
  <c r="K104" i="11" s="1"/>
  <c r="I103" i="11"/>
  <c r="K103" i="11"/>
  <c r="I102" i="11"/>
  <c r="K102" i="11" s="1"/>
  <c r="J98" i="11"/>
  <c r="J146" i="11"/>
  <c r="H98" i="11"/>
  <c r="H146" i="11"/>
  <c r="G98" i="11"/>
  <c r="G146" i="11"/>
  <c r="F98" i="11"/>
  <c r="F146" i="11"/>
  <c r="I96" i="11"/>
  <c r="K96" i="11" s="1"/>
  <c r="I95" i="11"/>
  <c r="K95" i="11"/>
  <c r="I94" i="11"/>
  <c r="K94" i="11" s="1"/>
  <c r="I93" i="11"/>
  <c r="K93" i="11"/>
  <c r="I92" i="11"/>
  <c r="K92" i="11" s="1"/>
  <c r="I91" i="11"/>
  <c r="K91" i="11"/>
  <c r="I90" i="11"/>
  <c r="K90" i="11" s="1"/>
  <c r="I89" i="11"/>
  <c r="K89" i="11"/>
  <c r="I88" i="11"/>
  <c r="K88" i="11" s="1"/>
  <c r="I87" i="11"/>
  <c r="K87" i="11"/>
  <c r="I86" i="11"/>
  <c r="I98" i="11" s="1"/>
  <c r="I146" i="11" s="1"/>
  <c r="J82" i="11"/>
  <c r="J145" i="11"/>
  <c r="H82" i="11"/>
  <c r="H145" i="11"/>
  <c r="G82" i="11"/>
  <c r="F82" i="11"/>
  <c r="F145" i="11" s="1"/>
  <c r="K80" i="11"/>
  <c r="I80" i="11"/>
  <c r="I79" i="11"/>
  <c r="K78" i="11"/>
  <c r="I78" i="11"/>
  <c r="K77" i="11"/>
  <c r="J74" i="11"/>
  <c r="J144" i="11"/>
  <c r="H74" i="11"/>
  <c r="H144" i="11"/>
  <c r="G74" i="11"/>
  <c r="G144" i="11"/>
  <c r="F74" i="11"/>
  <c r="F144" i="11"/>
  <c r="I72" i="11"/>
  <c r="K72" i="11" s="1"/>
  <c r="I71" i="11"/>
  <c r="K71" i="11"/>
  <c r="I70" i="11"/>
  <c r="I69" i="11"/>
  <c r="I74" i="11"/>
  <c r="I144" i="11" s="1"/>
  <c r="K68" i="11"/>
  <c r="I68" i="11"/>
  <c r="J64" i="11"/>
  <c r="J143" i="11" s="1"/>
  <c r="H64" i="11"/>
  <c r="H143" i="11" s="1"/>
  <c r="G64" i="11"/>
  <c r="G143" i="11" s="1"/>
  <c r="F64" i="11"/>
  <c r="F143" i="11"/>
  <c r="I62" i="11"/>
  <c r="K62" i="11" s="1"/>
  <c r="I61" i="11"/>
  <c r="K61" i="11"/>
  <c r="I60" i="11"/>
  <c r="K60" i="11" s="1"/>
  <c r="I59" i="11"/>
  <c r="K59" i="11"/>
  <c r="I58" i="11"/>
  <c r="K58" i="11" s="1"/>
  <c r="I57" i="11"/>
  <c r="K57" i="11"/>
  <c r="I56" i="11"/>
  <c r="K56" i="11" s="1"/>
  <c r="I55" i="11"/>
  <c r="K55" i="11"/>
  <c r="I54" i="11"/>
  <c r="I53" i="11"/>
  <c r="J49" i="11"/>
  <c r="J142" i="11" s="1"/>
  <c r="H49" i="11"/>
  <c r="H142" i="11" s="1"/>
  <c r="G49" i="11"/>
  <c r="G142" i="11" s="1"/>
  <c r="F49" i="11"/>
  <c r="F142" i="11" s="1"/>
  <c r="F152" i="11" s="1"/>
  <c r="I47" i="11"/>
  <c r="K47" i="11" s="1"/>
  <c r="K46" i="11"/>
  <c r="I46" i="11"/>
  <c r="I45" i="11"/>
  <c r="K45" i="11" s="1"/>
  <c r="K44" i="11"/>
  <c r="I44" i="11"/>
  <c r="I43" i="11"/>
  <c r="K42" i="11"/>
  <c r="I42" i="11"/>
  <c r="I41" i="11"/>
  <c r="K40" i="11"/>
  <c r="I40" i="11"/>
  <c r="I49" i="11"/>
  <c r="I142" i="11" s="1"/>
  <c r="J36" i="11"/>
  <c r="J141" i="11" s="1"/>
  <c r="J152" i="11" s="1"/>
  <c r="H36" i="11"/>
  <c r="H141" i="11"/>
  <c r="H152" i="11" s="1"/>
  <c r="G36" i="11"/>
  <c r="F36" i="11"/>
  <c r="F141" i="11" s="1"/>
  <c r="K34" i="11"/>
  <c r="I34" i="11"/>
  <c r="I33" i="11"/>
  <c r="K33" i="11" s="1"/>
  <c r="K32" i="11"/>
  <c r="I32" i="11"/>
  <c r="I31" i="11"/>
  <c r="K31" i="11" s="1"/>
  <c r="K30" i="11"/>
  <c r="I30" i="11"/>
  <c r="I29" i="11"/>
  <c r="K29" i="11" s="1"/>
  <c r="K28" i="11"/>
  <c r="I28" i="11"/>
  <c r="I27" i="11"/>
  <c r="K27" i="11" s="1"/>
  <c r="K26" i="11"/>
  <c r="I26" i="11"/>
  <c r="I25" i="11"/>
  <c r="K25" i="11" s="1"/>
  <c r="K24" i="11"/>
  <c r="I24" i="11"/>
  <c r="I23" i="11"/>
  <c r="K23" i="11" s="1"/>
  <c r="K22" i="11"/>
  <c r="I22" i="11"/>
  <c r="I21" i="11"/>
  <c r="K18" i="11"/>
  <c r="K150" i="11" s="1"/>
  <c r="G152" i="11"/>
  <c r="K53" i="11"/>
  <c r="K69" i="11"/>
  <c r="J150" i="9"/>
  <c r="I150" i="9"/>
  <c r="H150" i="9"/>
  <c r="J149" i="9"/>
  <c r="K148" i="9"/>
  <c r="K12" i="58" s="1"/>
  <c r="J147" i="9"/>
  <c r="J145" i="9"/>
  <c r="F145" i="9"/>
  <c r="G144" i="9"/>
  <c r="G142" i="9"/>
  <c r="F141" i="9"/>
  <c r="J137" i="9"/>
  <c r="I137" i="9"/>
  <c r="I149" i="9" s="1"/>
  <c r="H137" i="9"/>
  <c r="H149" i="9" s="1"/>
  <c r="G137" i="9"/>
  <c r="G149" i="9" s="1"/>
  <c r="F137" i="9"/>
  <c r="F149" i="9" s="1"/>
  <c r="K135" i="9"/>
  <c r="K134" i="9"/>
  <c r="K133" i="9"/>
  <c r="K137" i="9"/>
  <c r="K149" i="9" s="1"/>
  <c r="K132" i="9"/>
  <c r="K131" i="9"/>
  <c r="F119" i="9"/>
  <c r="J108" i="9"/>
  <c r="H108" i="9"/>
  <c r="H147" i="9" s="1"/>
  <c r="G108" i="9"/>
  <c r="G147" i="9" s="1"/>
  <c r="F108" i="9"/>
  <c r="F147" i="9" s="1"/>
  <c r="I106" i="9"/>
  <c r="K106" i="9"/>
  <c r="I105" i="9"/>
  <c r="K105" i="9" s="1"/>
  <c r="I104" i="9"/>
  <c r="K104" i="9"/>
  <c r="I103" i="9"/>
  <c r="K103" i="9" s="1"/>
  <c r="I102" i="9"/>
  <c r="I108" i="9"/>
  <c r="I147" i="9" s="1"/>
  <c r="J98" i="9"/>
  <c r="J146" i="9" s="1"/>
  <c r="H98" i="9"/>
  <c r="H146" i="9" s="1"/>
  <c r="G98" i="9"/>
  <c r="G146" i="9" s="1"/>
  <c r="F98" i="9"/>
  <c r="F146" i="9" s="1"/>
  <c r="I96" i="9"/>
  <c r="K96" i="9" s="1"/>
  <c r="K95" i="9"/>
  <c r="I95" i="9"/>
  <c r="I94" i="9"/>
  <c r="K94" i="9" s="1"/>
  <c r="K93" i="9"/>
  <c r="I93" i="9"/>
  <c r="I92" i="9"/>
  <c r="K92" i="9" s="1"/>
  <c r="K91" i="9"/>
  <c r="I91" i="9"/>
  <c r="I90" i="9"/>
  <c r="K90" i="9" s="1"/>
  <c r="K89" i="9"/>
  <c r="I89" i="9"/>
  <c r="I88" i="9"/>
  <c r="K88" i="9" s="1"/>
  <c r="K87" i="9"/>
  <c r="I87" i="9"/>
  <c r="I86" i="9"/>
  <c r="I98" i="9" s="1"/>
  <c r="I146" i="9"/>
  <c r="J82" i="9"/>
  <c r="I82" i="9"/>
  <c r="I145" i="9" s="1"/>
  <c r="H82" i="9"/>
  <c r="H145" i="9"/>
  <c r="G82" i="9"/>
  <c r="G145" i="9"/>
  <c r="F82" i="9"/>
  <c r="K80" i="9"/>
  <c r="K79" i="9"/>
  <c r="K78" i="9"/>
  <c r="K77" i="9"/>
  <c r="J74" i="9"/>
  <c r="J144" i="9" s="1"/>
  <c r="I74" i="9"/>
  <c r="I144" i="9" s="1"/>
  <c r="H74" i="9"/>
  <c r="H144" i="9" s="1"/>
  <c r="G74" i="9"/>
  <c r="F74" i="9"/>
  <c r="F144" i="9" s="1"/>
  <c r="F152" i="9" s="1"/>
  <c r="K72" i="9"/>
  <c r="K71" i="9"/>
  <c r="K70" i="9"/>
  <c r="K69" i="9"/>
  <c r="K68" i="9"/>
  <c r="I68" i="9"/>
  <c r="J64" i="9"/>
  <c r="J143" i="9" s="1"/>
  <c r="H64" i="9"/>
  <c r="H143" i="9" s="1"/>
  <c r="G64" i="9"/>
  <c r="G143" i="9" s="1"/>
  <c r="F64" i="9"/>
  <c r="F143" i="9" s="1"/>
  <c r="K62" i="9"/>
  <c r="K61" i="9"/>
  <c r="K60" i="9"/>
  <c r="K59" i="9"/>
  <c r="K58" i="9"/>
  <c r="I57" i="9"/>
  <c r="K57" i="9"/>
  <c r="I56" i="9"/>
  <c r="K56" i="9"/>
  <c r="I55" i="9"/>
  <c r="I64" i="9" s="1"/>
  <c r="K55" i="9"/>
  <c r="I54" i="9"/>
  <c r="K54" i="9"/>
  <c r="K64" i="9" s="1"/>
  <c r="K143" i="9" s="1"/>
  <c r="K53" i="9"/>
  <c r="J49" i="9"/>
  <c r="J142" i="9" s="1"/>
  <c r="I49" i="9"/>
  <c r="I142" i="9" s="1"/>
  <c r="H49" i="9"/>
  <c r="H142" i="9" s="1"/>
  <c r="G49" i="9"/>
  <c r="F49" i="9"/>
  <c r="F142" i="9" s="1"/>
  <c r="K47" i="9"/>
  <c r="K46" i="9"/>
  <c r="K45" i="9"/>
  <c r="K44" i="9"/>
  <c r="K43" i="9"/>
  <c r="K42" i="9"/>
  <c r="K41" i="9"/>
  <c r="K49" i="9" s="1"/>
  <c r="K142" i="9" s="1"/>
  <c r="K40" i="9"/>
  <c r="J36" i="9"/>
  <c r="J141" i="9" s="1"/>
  <c r="J152" i="9" s="1"/>
  <c r="H36" i="9"/>
  <c r="H141" i="9"/>
  <c r="G36" i="9"/>
  <c r="G141" i="9" s="1"/>
  <c r="F36" i="9"/>
  <c r="I34" i="9"/>
  <c r="K34" i="9"/>
  <c r="I33" i="9"/>
  <c r="K33" i="9" s="1"/>
  <c r="I32" i="9"/>
  <c r="K32" i="9"/>
  <c r="I31" i="9"/>
  <c r="K31" i="9" s="1"/>
  <c r="I30" i="9"/>
  <c r="K30" i="9"/>
  <c r="I29" i="9"/>
  <c r="K29" i="9" s="1"/>
  <c r="I28" i="9"/>
  <c r="K28" i="9"/>
  <c r="I27" i="9"/>
  <c r="K27" i="9" s="1"/>
  <c r="I26" i="9"/>
  <c r="K26" i="9"/>
  <c r="I25" i="9"/>
  <c r="K25" i="9" s="1"/>
  <c r="K36" i="9" s="1"/>
  <c r="K141" i="9" s="1"/>
  <c r="I24" i="9"/>
  <c r="K24" i="9"/>
  <c r="I23" i="9"/>
  <c r="K23" i="9" s="1"/>
  <c r="I22" i="9"/>
  <c r="I36" i="9"/>
  <c r="I141" i="9" s="1"/>
  <c r="I152" i="9" s="1"/>
  <c r="K21" i="9"/>
  <c r="I21" i="9"/>
  <c r="K18" i="9"/>
  <c r="K150" i="9" s="1"/>
  <c r="J150" i="8"/>
  <c r="I150" i="8"/>
  <c r="H150" i="8"/>
  <c r="I149" i="8"/>
  <c r="K148" i="8"/>
  <c r="H147" i="8"/>
  <c r="J146" i="8"/>
  <c r="F146" i="8"/>
  <c r="F144" i="8"/>
  <c r="J141" i="8"/>
  <c r="F141" i="8"/>
  <c r="J137" i="8"/>
  <c r="J149" i="8"/>
  <c r="I137" i="8"/>
  <c r="H137" i="8"/>
  <c r="H149" i="8" s="1"/>
  <c r="G137" i="8"/>
  <c r="G149" i="8" s="1"/>
  <c r="F137" i="8"/>
  <c r="F149" i="8"/>
  <c r="K135" i="8"/>
  <c r="K134" i="8"/>
  <c r="K133" i="8"/>
  <c r="K132" i="8"/>
  <c r="K131" i="8"/>
  <c r="F125" i="8"/>
  <c r="F121" i="8"/>
  <c r="F119" i="8"/>
  <c r="F123" i="8" s="1"/>
  <c r="F127" i="8" s="1"/>
  <c r="F118" i="8"/>
  <c r="J108" i="8"/>
  <c r="J147" i="8" s="1"/>
  <c r="H108" i="8"/>
  <c r="G108" i="8"/>
  <c r="G147" i="8" s="1"/>
  <c r="F108" i="8"/>
  <c r="F147" i="8" s="1"/>
  <c r="I106" i="8"/>
  <c r="I105" i="8"/>
  <c r="I104" i="8"/>
  <c r="I103" i="8"/>
  <c r="I102" i="8"/>
  <c r="J98" i="8"/>
  <c r="I98" i="8"/>
  <c r="I146" i="8" s="1"/>
  <c r="H98" i="8"/>
  <c r="H146" i="8" s="1"/>
  <c r="G98" i="8"/>
  <c r="G146" i="8"/>
  <c r="F98" i="8"/>
  <c r="K96" i="8"/>
  <c r="I96" i="8"/>
  <c r="K95" i="8"/>
  <c r="I95" i="8"/>
  <c r="K94" i="8"/>
  <c r="I94" i="8"/>
  <c r="K93" i="8"/>
  <c r="I93" i="8"/>
  <c r="K92" i="8"/>
  <c r="I92" i="8"/>
  <c r="K91" i="8"/>
  <c r="I91" i="8"/>
  <c r="K90" i="8"/>
  <c r="I90" i="8"/>
  <c r="K89" i="8"/>
  <c r="I89" i="8"/>
  <c r="K88" i="8"/>
  <c r="I88" i="8"/>
  <c r="K87" i="8"/>
  <c r="I87" i="8"/>
  <c r="K86" i="8"/>
  <c r="I86" i="8"/>
  <c r="I82" i="8"/>
  <c r="I145" i="8" s="1"/>
  <c r="G82" i="8"/>
  <c r="G145" i="8" s="1"/>
  <c r="F82" i="8"/>
  <c r="F145" i="8" s="1"/>
  <c r="K80" i="8"/>
  <c r="K79" i="8"/>
  <c r="J78" i="8"/>
  <c r="J82" i="8"/>
  <c r="J145" i="8" s="1"/>
  <c r="H78" i="8"/>
  <c r="K77" i="8"/>
  <c r="J74" i="8"/>
  <c r="J144" i="8" s="1"/>
  <c r="I74" i="8"/>
  <c r="I144" i="8"/>
  <c r="H74" i="8"/>
  <c r="H144" i="8" s="1"/>
  <c r="G74" i="8"/>
  <c r="G144" i="8" s="1"/>
  <c r="F74" i="8"/>
  <c r="K72" i="8"/>
  <c r="K71" i="8"/>
  <c r="K70" i="8"/>
  <c r="K69" i="8"/>
  <c r="K68" i="8"/>
  <c r="K74" i="8"/>
  <c r="K144" i="8" s="1"/>
  <c r="J64" i="8"/>
  <c r="K62" i="8"/>
  <c r="K61" i="8"/>
  <c r="K60" i="8"/>
  <c r="K59" i="8"/>
  <c r="K58" i="8"/>
  <c r="K57" i="8"/>
  <c r="I56" i="8"/>
  <c r="K56" i="8" s="1"/>
  <c r="K55" i="8"/>
  <c r="I54" i="8"/>
  <c r="K54" i="8" s="1"/>
  <c r="J53" i="8"/>
  <c r="I53" i="8"/>
  <c r="H53" i="8"/>
  <c r="G53" i="8"/>
  <c r="G64" i="8"/>
  <c r="F53" i="8"/>
  <c r="F64" i="8" s="1"/>
  <c r="J49" i="8"/>
  <c r="J142" i="8" s="1"/>
  <c r="I49" i="8"/>
  <c r="I142" i="8" s="1"/>
  <c r="H49" i="8"/>
  <c r="H142" i="8" s="1"/>
  <c r="G49" i="8"/>
  <c r="G142" i="8"/>
  <c r="F49" i="8"/>
  <c r="F142" i="8" s="1"/>
  <c r="K47" i="8"/>
  <c r="K46" i="8"/>
  <c r="K45" i="8"/>
  <c r="K44" i="8"/>
  <c r="K43" i="8"/>
  <c r="K42" i="8"/>
  <c r="K41" i="8"/>
  <c r="K40" i="8"/>
  <c r="J36" i="8"/>
  <c r="H36" i="8"/>
  <c r="H141" i="8" s="1"/>
  <c r="G36" i="8"/>
  <c r="G141" i="8" s="1"/>
  <c r="F36" i="8"/>
  <c r="K34" i="8"/>
  <c r="I34" i="8"/>
  <c r="K33" i="8"/>
  <c r="I33" i="8"/>
  <c r="K32" i="8"/>
  <c r="I32" i="8"/>
  <c r="K31" i="8"/>
  <c r="I31" i="8"/>
  <c r="K30" i="8"/>
  <c r="I30" i="8"/>
  <c r="K29" i="8"/>
  <c r="I29" i="8"/>
  <c r="K28" i="8"/>
  <c r="I28" i="8"/>
  <c r="K27" i="8"/>
  <c r="I27" i="8"/>
  <c r="K26" i="8"/>
  <c r="I26" i="8"/>
  <c r="K25" i="8"/>
  <c r="I25" i="8"/>
  <c r="K24" i="8"/>
  <c r="I24" i="8"/>
  <c r="K23" i="8"/>
  <c r="I23" i="8"/>
  <c r="K22" i="8"/>
  <c r="I22" i="8"/>
  <c r="K21" i="8"/>
  <c r="I21" i="8"/>
  <c r="K18" i="8"/>
  <c r="I143" i="9"/>
  <c r="K22" i="9"/>
  <c r="K102" i="9"/>
  <c r="I64" i="8"/>
  <c r="F3" i="5"/>
  <c r="F4" i="5"/>
  <c r="I4" i="5" s="1"/>
  <c r="F5" i="5"/>
  <c r="I5" i="5" s="1"/>
  <c r="F6" i="5"/>
  <c r="I6" i="5" s="1"/>
  <c r="F7" i="5"/>
  <c r="I7" i="5" s="1"/>
  <c r="F8" i="5"/>
  <c r="I8" i="5" s="1"/>
  <c r="F9" i="5"/>
  <c r="I9" i="5" s="1"/>
  <c r="F10" i="5"/>
  <c r="I10" i="5" s="1"/>
  <c r="F11" i="5"/>
  <c r="I11" i="5" s="1"/>
  <c r="F12" i="5"/>
  <c r="I12" i="5" s="1"/>
  <c r="F13" i="5"/>
  <c r="I13" i="5" s="1"/>
  <c r="F14" i="5"/>
  <c r="I14" i="5" s="1"/>
  <c r="F15" i="5"/>
  <c r="I15" i="5" s="1"/>
  <c r="F16" i="5"/>
  <c r="I16" i="5" s="1"/>
  <c r="F17" i="5"/>
  <c r="I17" i="5" s="1"/>
  <c r="F18" i="5"/>
  <c r="I18" i="5" s="1"/>
  <c r="F19" i="5"/>
  <c r="I19" i="5" s="1"/>
  <c r="F20" i="5"/>
  <c r="I20" i="5" s="1"/>
  <c r="F21" i="5"/>
  <c r="I21" i="5" s="1"/>
  <c r="F22" i="5"/>
  <c r="I22" i="5" s="1"/>
  <c r="F23" i="5"/>
  <c r="I23" i="5" s="1"/>
  <c r="F24" i="5"/>
  <c r="I24" i="5" s="1"/>
  <c r="F25" i="5"/>
  <c r="I25" i="5" s="1"/>
  <c r="F26" i="5"/>
  <c r="I26" i="5" s="1"/>
  <c r="F27" i="5"/>
  <c r="I27" i="5" s="1"/>
  <c r="F28" i="5"/>
  <c r="I28" i="5" s="1"/>
  <c r="F29" i="5"/>
  <c r="I29" i="5" s="1"/>
  <c r="F30" i="5"/>
  <c r="I30" i="5" s="1"/>
  <c r="F31" i="5"/>
  <c r="I31" i="5" s="1"/>
  <c r="F32" i="5"/>
  <c r="I32" i="5" s="1"/>
  <c r="F33" i="5"/>
  <c r="I33" i="5" s="1"/>
  <c r="F34" i="5"/>
  <c r="I34" i="5" s="1"/>
  <c r="F35" i="5"/>
  <c r="I35" i="5" s="1"/>
  <c r="F36" i="5"/>
  <c r="I36" i="5" s="1"/>
  <c r="F37" i="5"/>
  <c r="I37" i="5" s="1"/>
  <c r="F38" i="5"/>
  <c r="I38" i="5" s="1"/>
  <c r="F39" i="5"/>
  <c r="I39" i="5" s="1"/>
  <c r="F40" i="5"/>
  <c r="I40" i="5" s="1"/>
  <c r="F41" i="5"/>
  <c r="I41" i="5" s="1"/>
  <c r="F42" i="5"/>
  <c r="I42" i="5" s="1"/>
  <c r="F43" i="5"/>
  <c r="I43" i="5" s="1"/>
  <c r="F44" i="5"/>
  <c r="I44" i="5" s="1"/>
  <c r="F45" i="5"/>
  <c r="I45" i="5" s="1"/>
  <c r="F46" i="5"/>
  <c r="I46" i="5" s="1"/>
  <c r="F47" i="5"/>
  <c r="I47" i="5" s="1"/>
  <c r="F48" i="5"/>
  <c r="I48" i="5" s="1"/>
  <c r="F49" i="5"/>
  <c r="I49" i="5" s="1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C50" i="2"/>
  <c r="O50" i="2" s="1"/>
  <c r="D50" i="2"/>
  <c r="N50" i="2"/>
  <c r="G2" i="60" l="1"/>
  <c r="L21" i="58"/>
  <c r="M21" i="58" s="1"/>
  <c r="G37" i="58"/>
  <c r="H49" i="29"/>
  <c r="H142" i="29" s="1"/>
  <c r="I95" i="23"/>
  <c r="K95" i="23" s="1"/>
  <c r="I55" i="23"/>
  <c r="I105" i="19"/>
  <c r="K105" i="19" s="1"/>
  <c r="I95" i="19"/>
  <c r="I90" i="19"/>
  <c r="I87" i="19"/>
  <c r="I98" i="19" s="1"/>
  <c r="I146" i="19" s="1"/>
  <c r="I27" i="19"/>
  <c r="K27" i="19" s="1"/>
  <c r="I30" i="23"/>
  <c r="K30" i="23" s="1"/>
  <c r="I25" i="23"/>
  <c r="K25" i="23" s="1"/>
  <c r="I104" i="23"/>
  <c r="K104" i="23" s="1"/>
  <c r="F11" i="57"/>
  <c r="I64" i="50"/>
  <c r="I143" i="50" s="1"/>
  <c r="J64" i="50"/>
  <c r="J143" i="50" s="1"/>
  <c r="F147" i="50"/>
  <c r="D16" i="58"/>
  <c r="G66" i="57"/>
  <c r="K92" i="29"/>
  <c r="K22" i="29"/>
  <c r="J76" i="57"/>
  <c r="I94" i="19"/>
  <c r="K94" i="19" s="1"/>
  <c r="I92" i="19"/>
  <c r="I89" i="19"/>
  <c r="I62" i="57" s="1"/>
  <c r="H64" i="19"/>
  <c r="I32" i="19"/>
  <c r="K32" i="19" s="1"/>
  <c r="I24" i="19"/>
  <c r="K24" i="19" s="1"/>
  <c r="G61" i="57"/>
  <c r="K91" i="29"/>
  <c r="K88" i="29"/>
  <c r="H27" i="57"/>
  <c r="H108" i="50"/>
  <c r="H147" i="50" s="1"/>
  <c r="F12" i="57"/>
  <c r="F18" i="57"/>
  <c r="K55" i="50"/>
  <c r="I98" i="50"/>
  <c r="I146" i="50" s="1"/>
  <c r="G27" i="57"/>
  <c r="J36" i="19"/>
  <c r="J141" i="19" s="1"/>
  <c r="F77" i="57"/>
  <c r="F108" i="29"/>
  <c r="F36" i="29"/>
  <c r="F141" i="29" s="1"/>
  <c r="K102" i="29"/>
  <c r="K93" i="29"/>
  <c r="K61" i="29"/>
  <c r="K54" i="29"/>
  <c r="K43" i="29"/>
  <c r="I49" i="29"/>
  <c r="I142" i="29" s="1"/>
  <c r="J36" i="29"/>
  <c r="J141" i="29" s="1"/>
  <c r="I104" i="19"/>
  <c r="K104" i="19" s="1"/>
  <c r="I102" i="19"/>
  <c r="I86" i="19"/>
  <c r="K86" i="19" s="1"/>
  <c r="H26" i="57"/>
  <c r="L26" i="57" s="1"/>
  <c r="I30" i="19"/>
  <c r="K30" i="19" s="1"/>
  <c r="I28" i="19"/>
  <c r="K28" i="19" s="1"/>
  <c r="I23" i="19"/>
  <c r="K23" i="19" s="1"/>
  <c r="G25" i="58"/>
  <c r="G48" i="58"/>
  <c r="H37" i="58"/>
  <c r="I37" i="58" s="1"/>
  <c r="H35" i="58"/>
  <c r="H33" i="58"/>
  <c r="H21" i="58"/>
  <c r="H17" i="58"/>
  <c r="H15" i="58"/>
  <c r="H13" i="58"/>
  <c r="H11" i="58"/>
  <c r="H9" i="58"/>
  <c r="H7" i="58"/>
  <c r="H5" i="58"/>
  <c r="G14" i="58"/>
  <c r="G31" i="58"/>
  <c r="C52" i="58"/>
  <c r="C50" i="58"/>
  <c r="G38" i="58"/>
  <c r="H143" i="19"/>
  <c r="H152" i="19" s="1"/>
  <c r="I76" i="57"/>
  <c r="I49" i="50"/>
  <c r="I142" i="50" s="1"/>
  <c r="I25" i="57"/>
  <c r="J41" i="57"/>
  <c r="J44" i="57" s="1"/>
  <c r="K78" i="50"/>
  <c r="H49" i="57"/>
  <c r="G49" i="19"/>
  <c r="G142" i="19" s="1"/>
  <c r="G26" i="57"/>
  <c r="G76" i="57"/>
  <c r="H77" i="57"/>
  <c r="K96" i="19"/>
  <c r="I27" i="57"/>
  <c r="H14" i="57"/>
  <c r="K26" i="50"/>
  <c r="H18" i="57"/>
  <c r="K30" i="50"/>
  <c r="F119" i="50"/>
  <c r="F123" i="50" s="1"/>
  <c r="F127" i="50" s="1"/>
  <c r="G48" i="57"/>
  <c r="G53" i="57" s="1"/>
  <c r="G106" i="57" s="1"/>
  <c r="C7" i="56" s="1"/>
  <c r="G36" i="29"/>
  <c r="G141" i="29" s="1"/>
  <c r="H64" i="29"/>
  <c r="H143" i="29" s="1"/>
  <c r="G108" i="19"/>
  <c r="G147" i="19" s="1"/>
  <c r="I49" i="19"/>
  <c r="I142" i="19" s="1"/>
  <c r="F27" i="57"/>
  <c r="K95" i="19"/>
  <c r="I68" i="57"/>
  <c r="K68" i="57" s="1"/>
  <c r="I105" i="23"/>
  <c r="K105" i="23" s="1"/>
  <c r="I41" i="23"/>
  <c r="K41" i="23" s="1"/>
  <c r="F9" i="57"/>
  <c r="G12" i="57"/>
  <c r="K40" i="50"/>
  <c r="H25" i="57"/>
  <c r="G64" i="50"/>
  <c r="G143" i="50" s="1"/>
  <c r="K56" i="50"/>
  <c r="H74" i="50"/>
  <c r="H144" i="50" s="1"/>
  <c r="K68" i="50"/>
  <c r="H40" i="57"/>
  <c r="K69" i="50"/>
  <c r="H41" i="57"/>
  <c r="G82" i="50"/>
  <c r="G145" i="50" s="1"/>
  <c r="K80" i="50"/>
  <c r="H51" i="57"/>
  <c r="I108" i="50"/>
  <c r="I147" i="50" s="1"/>
  <c r="G64" i="19"/>
  <c r="J98" i="29"/>
  <c r="J146" i="29" s="1"/>
  <c r="H108" i="29"/>
  <c r="H147" i="29" s="1"/>
  <c r="F66" i="57"/>
  <c r="F48" i="57"/>
  <c r="F53" i="57" s="1"/>
  <c r="F106" i="57" s="1"/>
  <c r="B7" i="56" s="1"/>
  <c r="F26" i="57"/>
  <c r="I105" i="29"/>
  <c r="K105" i="29" s="1"/>
  <c r="K108" i="29" s="1"/>
  <c r="K147" i="29" s="1"/>
  <c r="I96" i="29"/>
  <c r="K96" i="29" s="1"/>
  <c r="I94" i="29"/>
  <c r="K94" i="29" s="1"/>
  <c r="I89" i="29"/>
  <c r="K89" i="29" s="1"/>
  <c r="K98" i="29" s="1"/>
  <c r="K146" i="29" s="1"/>
  <c r="I62" i="29"/>
  <c r="K62" i="29" s="1"/>
  <c r="K60" i="29"/>
  <c r="J64" i="29"/>
  <c r="J143" i="29" s="1"/>
  <c r="I32" i="29"/>
  <c r="K32" i="29" s="1"/>
  <c r="I28" i="29"/>
  <c r="K28" i="29" s="1"/>
  <c r="K106" i="19"/>
  <c r="J77" i="57"/>
  <c r="J82" i="57" s="1"/>
  <c r="H66" i="57"/>
  <c r="I91" i="19"/>
  <c r="H64" i="57"/>
  <c r="K42" i="19"/>
  <c r="K41" i="19"/>
  <c r="I34" i="19"/>
  <c r="K34" i="19" s="1"/>
  <c r="I31" i="19"/>
  <c r="K31" i="19" s="1"/>
  <c r="I26" i="19"/>
  <c r="I36" i="19" s="1"/>
  <c r="I141" i="19" s="1"/>
  <c r="K21" i="50"/>
  <c r="H13" i="57"/>
  <c r="K25" i="50"/>
  <c r="H17" i="57"/>
  <c r="K29" i="50"/>
  <c r="K54" i="50"/>
  <c r="G108" i="50"/>
  <c r="G147" i="50" s="1"/>
  <c r="G77" i="57"/>
  <c r="L29" i="57"/>
  <c r="J66" i="57"/>
  <c r="K89" i="19"/>
  <c r="I77" i="19"/>
  <c r="H48" i="57"/>
  <c r="J143" i="19"/>
  <c r="F119" i="19"/>
  <c r="F123" i="19" s="1"/>
  <c r="F127" i="19" s="1"/>
  <c r="I132" i="23"/>
  <c r="I86" i="23"/>
  <c r="K86" i="23" s="1"/>
  <c r="I26" i="23"/>
  <c r="K26" i="23" s="1"/>
  <c r="K44" i="23"/>
  <c r="I29" i="57"/>
  <c r="K29" i="57" s="1"/>
  <c r="I106" i="23"/>
  <c r="K106" i="23" s="1"/>
  <c r="H6" i="57"/>
  <c r="H111" i="57" s="1"/>
  <c r="K18" i="50"/>
  <c r="K150" i="50" s="1"/>
  <c r="H10" i="57"/>
  <c r="K22" i="50"/>
  <c r="H82" i="50"/>
  <c r="H145" i="50" s="1"/>
  <c r="K77" i="50"/>
  <c r="F61" i="57"/>
  <c r="I108" i="29"/>
  <c r="I147" i="29" s="1"/>
  <c r="G64" i="57"/>
  <c r="F108" i="19"/>
  <c r="F76" i="57"/>
  <c r="F82" i="57" s="1"/>
  <c r="F108" i="57" s="1"/>
  <c r="B9" i="56" s="1"/>
  <c r="K77" i="29"/>
  <c r="I56" i="29"/>
  <c r="K56" i="29" s="1"/>
  <c r="I55" i="29"/>
  <c r="K55" i="29" s="1"/>
  <c r="K44" i="29"/>
  <c r="K41" i="29"/>
  <c r="I29" i="29"/>
  <c r="K29" i="29" s="1"/>
  <c r="I23" i="29"/>
  <c r="K18" i="19"/>
  <c r="K150" i="19" s="1"/>
  <c r="J64" i="57"/>
  <c r="I17" i="57"/>
  <c r="I34" i="23"/>
  <c r="K34" i="23" s="1"/>
  <c r="I22" i="23"/>
  <c r="K22" i="23" s="1"/>
  <c r="I29" i="23"/>
  <c r="K29" i="23" s="1"/>
  <c r="I90" i="23"/>
  <c r="K90" i="23" s="1"/>
  <c r="J9" i="57"/>
  <c r="H11" i="57"/>
  <c r="K23" i="50"/>
  <c r="F13" i="57"/>
  <c r="H15" i="57"/>
  <c r="K27" i="50"/>
  <c r="I103" i="23"/>
  <c r="K103" i="23" s="1"/>
  <c r="I88" i="23"/>
  <c r="K88" i="23" s="1"/>
  <c r="I33" i="23"/>
  <c r="K33" i="23" s="1"/>
  <c r="I94" i="23"/>
  <c r="K94" i="23" s="1"/>
  <c r="I131" i="23"/>
  <c r="F36" i="50"/>
  <c r="F141" i="50" s="1"/>
  <c r="F10" i="57"/>
  <c r="K24" i="50"/>
  <c r="H16" i="57"/>
  <c r="K28" i="50"/>
  <c r="K41" i="50"/>
  <c r="K42" i="50"/>
  <c r="K43" i="50"/>
  <c r="H28" i="57"/>
  <c r="K53" i="50"/>
  <c r="K57" i="50"/>
  <c r="K79" i="50"/>
  <c r="H50" i="57"/>
  <c r="K86" i="50"/>
  <c r="H59" i="57"/>
  <c r="K87" i="50"/>
  <c r="H60" i="57"/>
  <c r="K88" i="50"/>
  <c r="H61" i="57"/>
  <c r="K89" i="50"/>
  <c r="H62" i="57"/>
  <c r="K90" i="50"/>
  <c r="H63" i="57"/>
  <c r="K91" i="50"/>
  <c r="K92" i="50"/>
  <c r="H65" i="57"/>
  <c r="K93" i="50"/>
  <c r="K94" i="50"/>
  <c r="H67" i="57"/>
  <c r="K104" i="50"/>
  <c r="H78" i="57"/>
  <c r="G98" i="19"/>
  <c r="G146" i="19" s="1"/>
  <c r="J98" i="19"/>
  <c r="J146" i="19" s="1"/>
  <c r="G98" i="29"/>
  <c r="G146" i="29" s="1"/>
  <c r="H36" i="29"/>
  <c r="H141" i="29" s="1"/>
  <c r="F98" i="19"/>
  <c r="F146" i="19" s="1"/>
  <c r="F64" i="57"/>
  <c r="F143" i="19"/>
  <c r="F115" i="57"/>
  <c r="I57" i="29"/>
  <c r="K57" i="29" s="1"/>
  <c r="I34" i="29"/>
  <c r="K34" i="29" s="1"/>
  <c r="I31" i="29"/>
  <c r="K31" i="29" s="1"/>
  <c r="K25" i="29"/>
  <c r="K21" i="29"/>
  <c r="I103" i="19"/>
  <c r="H76" i="57"/>
  <c r="K92" i="19"/>
  <c r="K90" i="19"/>
  <c r="K87" i="19"/>
  <c r="I60" i="57"/>
  <c r="J48" i="57"/>
  <c r="J53" i="57" s="1"/>
  <c r="J27" i="57"/>
  <c r="L27" i="57" s="1"/>
  <c r="H109" i="57"/>
  <c r="K109" i="57" s="1"/>
  <c r="J20" i="57"/>
  <c r="J102" i="57" s="1"/>
  <c r="I3" i="5"/>
  <c r="H23" i="58"/>
  <c r="H27" i="58"/>
  <c r="H25" i="58"/>
  <c r="I25" i="58" s="1"/>
  <c r="J25" i="58" s="1"/>
  <c r="P50" i="2"/>
  <c r="H44" i="58"/>
  <c r="H40" i="58"/>
  <c r="H6" i="58"/>
  <c r="H42" i="58"/>
  <c r="H38" i="58"/>
  <c r="I38" i="58" s="1"/>
  <c r="J38" i="58" s="1"/>
  <c r="H4" i="58"/>
  <c r="H48" i="58"/>
  <c r="I48" i="58" s="1"/>
  <c r="J48" i="58" s="1"/>
  <c r="H31" i="58"/>
  <c r="I31" i="58" s="1"/>
  <c r="J31" i="58" s="1"/>
  <c r="H19" i="58"/>
  <c r="H46" i="58"/>
  <c r="H39" i="58"/>
  <c r="E50" i="2"/>
  <c r="H36" i="58"/>
  <c r="H34" i="58"/>
  <c r="H32" i="58"/>
  <c r="H30" i="58"/>
  <c r="H28" i="58"/>
  <c r="H26" i="58"/>
  <c r="H24" i="58"/>
  <c r="H22" i="58"/>
  <c r="H20" i="58"/>
  <c r="H18" i="58"/>
  <c r="H16" i="58"/>
  <c r="H14" i="58"/>
  <c r="I14" i="58" s="1"/>
  <c r="J14" i="58" s="1"/>
  <c r="H12" i="58"/>
  <c r="H10" i="58"/>
  <c r="H45" i="58"/>
  <c r="H43" i="58"/>
  <c r="H41" i="58"/>
  <c r="H29" i="58"/>
  <c r="M48" i="58"/>
  <c r="M5" i="58"/>
  <c r="G36" i="60"/>
  <c r="M29" i="58"/>
  <c r="G33" i="60"/>
  <c r="M30" i="58"/>
  <c r="M22" i="58"/>
  <c r="I143" i="8"/>
  <c r="F143" i="8"/>
  <c r="K106" i="8"/>
  <c r="K64" i="11"/>
  <c r="K143" i="11" s="1"/>
  <c r="K36" i="8"/>
  <c r="K141" i="8" s="1"/>
  <c r="K105" i="16"/>
  <c r="K108" i="16" s="1"/>
  <c r="K147" i="16" s="1"/>
  <c r="I108" i="16"/>
  <c r="I147" i="16" s="1"/>
  <c r="K21" i="21"/>
  <c r="K36" i="21" s="1"/>
  <c r="K141" i="21" s="1"/>
  <c r="I36" i="21"/>
  <c r="I141" i="21" s="1"/>
  <c r="I64" i="23"/>
  <c r="I143" i="23" s="1"/>
  <c r="K55" i="23"/>
  <c r="K64" i="23" s="1"/>
  <c r="K143" i="23" s="1"/>
  <c r="K102" i="23"/>
  <c r="K152" i="33"/>
  <c r="K150" i="8"/>
  <c r="G152" i="9"/>
  <c r="I36" i="11"/>
  <c r="I141" i="11" s="1"/>
  <c r="K21" i="11"/>
  <c r="K36" i="11" s="1"/>
  <c r="K141" i="11" s="1"/>
  <c r="K108" i="11"/>
  <c r="K147" i="11" s="1"/>
  <c r="H152" i="12"/>
  <c r="G152" i="21"/>
  <c r="J150" i="23"/>
  <c r="I36" i="31"/>
  <c r="I141" i="31" s="1"/>
  <c r="I152" i="31" s="1"/>
  <c r="J152" i="36"/>
  <c r="K49" i="47"/>
  <c r="K142" i="47" s="1"/>
  <c r="H8" i="58"/>
  <c r="K78" i="8"/>
  <c r="H82" i="8"/>
  <c r="H145" i="8" s="1"/>
  <c r="K104" i="8"/>
  <c r="H152" i="9"/>
  <c r="K43" i="11"/>
  <c r="K49" i="11" s="1"/>
  <c r="K142" i="11" s="1"/>
  <c r="K54" i="11"/>
  <c r="I64" i="11"/>
  <c r="I143" i="11" s="1"/>
  <c r="J152" i="12"/>
  <c r="K40" i="14"/>
  <c r="K49" i="14" s="1"/>
  <c r="K142" i="14" s="1"/>
  <c r="K152" i="14" s="1"/>
  <c r="I49" i="14"/>
  <c r="I142" i="14" s="1"/>
  <c r="I152" i="14" s="1"/>
  <c r="K64" i="14"/>
  <c r="K143" i="14" s="1"/>
  <c r="I74" i="14"/>
  <c r="I144" i="14" s="1"/>
  <c r="K108" i="14"/>
  <c r="K147" i="14" s="1"/>
  <c r="F152" i="16"/>
  <c r="K49" i="16"/>
  <c r="K142" i="16" s="1"/>
  <c r="K152" i="16" s="1"/>
  <c r="K64" i="16"/>
  <c r="K143" i="16" s="1"/>
  <c r="H152" i="21"/>
  <c r="J152" i="23"/>
  <c r="J152" i="31"/>
  <c r="K98" i="35"/>
  <c r="K146" i="35" s="1"/>
  <c r="K152" i="35" s="1"/>
  <c r="G152" i="36"/>
  <c r="G152" i="40"/>
  <c r="K108" i="44"/>
  <c r="K147" i="44" s="1"/>
  <c r="K64" i="49"/>
  <c r="K143" i="49" s="1"/>
  <c r="I152" i="12"/>
  <c r="I152" i="16"/>
  <c r="K40" i="23"/>
  <c r="I49" i="23"/>
  <c r="I142" i="23" s="1"/>
  <c r="K108" i="9"/>
  <c r="K147" i="9" s="1"/>
  <c r="K53" i="8"/>
  <c r="K64" i="8" s="1"/>
  <c r="H64" i="8"/>
  <c r="J152" i="8"/>
  <c r="K74" i="9"/>
  <c r="K144" i="9" s="1"/>
  <c r="K152" i="9" s="1"/>
  <c r="K82" i="9"/>
  <c r="K145" i="9" s="1"/>
  <c r="K41" i="11"/>
  <c r="I137" i="11"/>
  <c r="I149" i="11" s="1"/>
  <c r="K132" i="11"/>
  <c r="K137" i="11" s="1"/>
  <c r="K149" i="11" s="1"/>
  <c r="G152" i="12"/>
  <c r="K74" i="14"/>
  <c r="K144" i="14" s="1"/>
  <c r="I108" i="21"/>
  <c r="I147" i="21" s="1"/>
  <c r="K102" i="21"/>
  <c r="K108" i="21" s="1"/>
  <c r="K147" i="21" s="1"/>
  <c r="K137" i="21"/>
  <c r="K149" i="21" s="1"/>
  <c r="F152" i="23"/>
  <c r="K36" i="31"/>
  <c r="K141" i="31" s="1"/>
  <c r="K64" i="31"/>
  <c r="K143" i="31" s="1"/>
  <c r="H152" i="39"/>
  <c r="J152" i="40"/>
  <c r="K2" i="58"/>
  <c r="I108" i="11"/>
  <c r="I147" i="11" s="1"/>
  <c r="K98" i="31"/>
  <c r="K146" i="31" s="1"/>
  <c r="I36" i="33"/>
  <c r="I141" i="33" s="1"/>
  <c r="K137" i="33"/>
  <c r="K149" i="33" s="1"/>
  <c r="K108" i="35"/>
  <c r="K147" i="35" s="1"/>
  <c r="I98" i="36"/>
  <c r="I146" i="36" s="1"/>
  <c r="K22" i="36"/>
  <c r="K36" i="36" s="1"/>
  <c r="K141" i="36" s="1"/>
  <c r="K152" i="36" s="1"/>
  <c r="I36" i="36"/>
  <c r="I141" i="36" s="1"/>
  <c r="I49" i="36"/>
  <c r="I142" i="36" s="1"/>
  <c r="K40" i="36"/>
  <c r="K49" i="36" s="1"/>
  <c r="K142" i="36" s="1"/>
  <c r="K49" i="39"/>
  <c r="K142" i="39" s="1"/>
  <c r="I98" i="39"/>
  <c r="I146" i="39" s="1"/>
  <c r="I152" i="39" s="1"/>
  <c r="K64" i="40"/>
  <c r="K143" i="40" s="1"/>
  <c r="I105" i="40"/>
  <c r="K105" i="40" s="1"/>
  <c r="I104" i="40"/>
  <c r="K104" i="40" s="1"/>
  <c r="I92" i="40"/>
  <c r="K92" i="40" s="1"/>
  <c r="I29" i="40"/>
  <c r="K29" i="40" s="1"/>
  <c r="I22" i="40"/>
  <c r="I32" i="40"/>
  <c r="K32" i="40" s="1"/>
  <c r="I89" i="40"/>
  <c r="K89" i="40" s="1"/>
  <c r="I93" i="40"/>
  <c r="K93" i="40" s="1"/>
  <c r="I103" i="40"/>
  <c r="K103" i="40" s="1"/>
  <c r="K108" i="40" s="1"/>
  <c r="K147" i="40" s="1"/>
  <c r="F152" i="41"/>
  <c r="K86" i="42"/>
  <c r="K98" i="42" s="1"/>
  <c r="K146" i="42" s="1"/>
  <c r="I98" i="44"/>
  <c r="I146" i="44" s="1"/>
  <c r="I49" i="47"/>
  <c r="I142" i="47" s="1"/>
  <c r="K21" i="47"/>
  <c r="K64" i="47"/>
  <c r="K143" i="47" s="1"/>
  <c r="I36" i="49"/>
  <c r="I141" i="49" s="1"/>
  <c r="I64" i="49"/>
  <c r="I143" i="49" s="1"/>
  <c r="F152" i="48"/>
  <c r="F152" i="49"/>
  <c r="J152" i="49"/>
  <c r="I108" i="49"/>
  <c r="I147" i="49" s="1"/>
  <c r="F152" i="54"/>
  <c r="F6" i="58"/>
  <c r="F154" i="15"/>
  <c r="F155" i="15"/>
  <c r="F41" i="58"/>
  <c r="F155" i="43"/>
  <c r="F154" i="43"/>
  <c r="F152" i="8"/>
  <c r="I13" i="57"/>
  <c r="K103" i="8"/>
  <c r="K105" i="8"/>
  <c r="I108" i="8"/>
  <c r="I147" i="8" s="1"/>
  <c r="K70" i="11"/>
  <c r="K74" i="11" s="1"/>
  <c r="K144" i="11" s="1"/>
  <c r="I82" i="11"/>
  <c r="I145" i="11" s="1"/>
  <c r="K86" i="11"/>
  <c r="K98" i="11" s="1"/>
  <c r="K146" i="11" s="1"/>
  <c r="K42" i="12"/>
  <c r="K49" i="12" s="1"/>
  <c r="K142" i="12" s="1"/>
  <c r="K152" i="12" s="1"/>
  <c r="K86" i="21"/>
  <c r="K98" i="21" s="1"/>
  <c r="K146" i="21" s="1"/>
  <c r="I91" i="23"/>
  <c r="K91" i="23" s="1"/>
  <c r="I21" i="23"/>
  <c r="I9" i="57" s="1"/>
  <c r="K74" i="29"/>
  <c r="K144" i="29" s="1"/>
  <c r="K49" i="33"/>
  <c r="K142" i="33" s="1"/>
  <c r="K98" i="36"/>
  <c r="K146" i="36" s="1"/>
  <c r="K98" i="39"/>
  <c r="K146" i="39" s="1"/>
  <c r="I87" i="40"/>
  <c r="K87" i="40" s="1"/>
  <c r="I34" i="40"/>
  <c r="K34" i="40" s="1"/>
  <c r="I26" i="40"/>
  <c r="K26" i="40" s="1"/>
  <c r="I23" i="40"/>
  <c r="K23" i="40" s="1"/>
  <c r="I31" i="40"/>
  <c r="K31" i="40" s="1"/>
  <c r="I86" i="40"/>
  <c r="I94" i="40"/>
  <c r="K94" i="40" s="1"/>
  <c r="K53" i="41"/>
  <c r="K64" i="41" s="1"/>
  <c r="K143" i="41" s="1"/>
  <c r="I108" i="41"/>
  <c r="I147" i="41" s="1"/>
  <c r="K74" i="42"/>
  <c r="K144" i="42" s="1"/>
  <c r="I74" i="44"/>
  <c r="I144" i="44" s="1"/>
  <c r="K68" i="44"/>
  <c r="K74" i="44" s="1"/>
  <c r="K144" i="44" s="1"/>
  <c r="I98" i="48"/>
  <c r="I146" i="48" s="1"/>
  <c r="K49" i="49"/>
  <c r="K142" i="49" s="1"/>
  <c r="I36" i="48"/>
  <c r="I141" i="48" s="1"/>
  <c r="K22" i="48"/>
  <c r="K36" i="48" s="1"/>
  <c r="K141" i="48" s="1"/>
  <c r="K152" i="48" s="1"/>
  <c r="K137" i="48"/>
  <c r="K149" i="48" s="1"/>
  <c r="G152" i="49"/>
  <c r="K77" i="49"/>
  <c r="K82" i="49" s="1"/>
  <c r="K145" i="49" s="1"/>
  <c r="G9" i="57"/>
  <c r="G20" i="57" s="1"/>
  <c r="G102" i="57" s="1"/>
  <c r="C3" i="56" s="1"/>
  <c r="G36" i="50"/>
  <c r="G141" i="50" s="1"/>
  <c r="I36" i="50"/>
  <c r="I141" i="50" s="1"/>
  <c r="F49" i="50"/>
  <c r="F142" i="50" s="1"/>
  <c r="H152" i="51"/>
  <c r="K82" i="53"/>
  <c r="K145" i="53" s="1"/>
  <c r="H152" i="54"/>
  <c r="F22" i="58"/>
  <c r="F154" i="25"/>
  <c r="F155" i="25"/>
  <c r="G49" i="29"/>
  <c r="G142" i="29" s="1"/>
  <c r="G152" i="29" s="1"/>
  <c r="F152" i="33"/>
  <c r="J152" i="35"/>
  <c r="G152" i="39"/>
  <c r="H152" i="40"/>
  <c r="F152" i="44"/>
  <c r="H152" i="44"/>
  <c r="I64" i="44"/>
  <c r="I143" i="44" s="1"/>
  <c r="K54" i="44"/>
  <c r="K64" i="44" s="1"/>
  <c r="K143" i="44" s="1"/>
  <c r="K98" i="44"/>
  <c r="K146" i="44" s="1"/>
  <c r="H12" i="57"/>
  <c r="H36" i="47"/>
  <c r="H141" i="47" s="1"/>
  <c r="I24" i="47"/>
  <c r="K24" i="47" s="1"/>
  <c r="G152" i="47"/>
  <c r="F49" i="47"/>
  <c r="F142" i="47" s="1"/>
  <c r="H36" i="50"/>
  <c r="H141" i="50" s="1"/>
  <c r="J31" i="57"/>
  <c r="J103" i="57" s="1"/>
  <c r="J49" i="50"/>
  <c r="J142" i="50" s="1"/>
  <c r="H98" i="50"/>
  <c r="H146" i="50" s="1"/>
  <c r="F19" i="58"/>
  <c r="F154" i="22"/>
  <c r="F155" i="22"/>
  <c r="F15" i="58"/>
  <c r="F154" i="7"/>
  <c r="F155" i="7"/>
  <c r="K25" i="24"/>
  <c r="K36" i="24" s="1"/>
  <c r="K141" i="24" s="1"/>
  <c r="K152" i="24" s="1"/>
  <c r="I36" i="24"/>
  <c r="I141" i="24" s="1"/>
  <c r="K102" i="24"/>
  <c r="K108" i="24" s="1"/>
  <c r="K147" i="24" s="1"/>
  <c r="I108" i="24"/>
  <c r="I147" i="24" s="1"/>
  <c r="F23" i="58"/>
  <c r="F154" i="26"/>
  <c r="F155" i="26"/>
  <c r="K86" i="9"/>
  <c r="K98" i="9" s="1"/>
  <c r="K146" i="9" s="1"/>
  <c r="I36" i="8"/>
  <c r="I141" i="8" s="1"/>
  <c r="K49" i="8"/>
  <c r="K142" i="8" s="1"/>
  <c r="G143" i="8"/>
  <c r="J143" i="8"/>
  <c r="K98" i="8"/>
  <c r="K146" i="8" s="1"/>
  <c r="K102" i="8"/>
  <c r="E2" i="58"/>
  <c r="E50" i="58" s="1"/>
  <c r="D132" i="62" s="1"/>
  <c r="E132" i="62" s="1"/>
  <c r="K137" i="8"/>
  <c r="K149" i="8" s="1"/>
  <c r="K79" i="11"/>
  <c r="K82" i="11" s="1"/>
  <c r="K145" i="11" s="1"/>
  <c r="I108" i="14"/>
  <c r="I147" i="14" s="1"/>
  <c r="K77" i="14"/>
  <c r="K82" i="14" s="1"/>
  <c r="K145" i="14" s="1"/>
  <c r="I96" i="23"/>
  <c r="K96" i="23" s="1"/>
  <c r="I92" i="23"/>
  <c r="K92" i="23" s="1"/>
  <c r="I31" i="23"/>
  <c r="K31" i="23" s="1"/>
  <c r="I27" i="23"/>
  <c r="K27" i="23" s="1"/>
  <c r="I23" i="23"/>
  <c r="K23" i="23" s="1"/>
  <c r="I24" i="23"/>
  <c r="K24" i="23" s="1"/>
  <c r="I28" i="23"/>
  <c r="K28" i="23" s="1"/>
  <c r="I32" i="23"/>
  <c r="K32" i="23" s="1"/>
  <c r="I80" i="23"/>
  <c r="I93" i="23"/>
  <c r="K93" i="23" s="1"/>
  <c r="J152" i="33"/>
  <c r="I98" i="33"/>
  <c r="I146" i="33" s="1"/>
  <c r="I98" i="35"/>
  <c r="I146" i="35" s="1"/>
  <c r="I152" i="35" s="1"/>
  <c r="I108" i="35"/>
  <c r="I147" i="35" s="1"/>
  <c r="I108" i="36"/>
  <c r="I147" i="36" s="1"/>
  <c r="K31" i="39"/>
  <c r="K36" i="39" s="1"/>
  <c r="K141" i="39" s="1"/>
  <c r="K64" i="39"/>
  <c r="K143" i="39" s="1"/>
  <c r="K82" i="39"/>
  <c r="K145" i="39" s="1"/>
  <c r="I108" i="39"/>
  <c r="I147" i="39" s="1"/>
  <c r="I95" i="40"/>
  <c r="K95" i="40" s="1"/>
  <c r="I30" i="40"/>
  <c r="K30" i="40" s="1"/>
  <c r="I27" i="40"/>
  <c r="K27" i="40" s="1"/>
  <c r="I33" i="40"/>
  <c r="K33" i="40" s="1"/>
  <c r="I90" i="40"/>
  <c r="K90" i="40" s="1"/>
  <c r="I96" i="40"/>
  <c r="K96" i="40" s="1"/>
  <c r="I36" i="41"/>
  <c r="I141" i="41" s="1"/>
  <c r="K21" i="41"/>
  <c r="K36" i="41" s="1"/>
  <c r="K141" i="41" s="1"/>
  <c r="K49" i="41"/>
  <c r="K142" i="41" s="1"/>
  <c r="I98" i="41"/>
  <c r="I146" i="41" s="1"/>
  <c r="K102" i="41"/>
  <c r="K108" i="41" s="1"/>
  <c r="K147" i="41" s="1"/>
  <c r="K22" i="42"/>
  <c r="K36" i="42" s="1"/>
  <c r="K141" i="42" s="1"/>
  <c r="K152" i="42" s="1"/>
  <c r="I36" i="42"/>
  <c r="I141" i="42" s="1"/>
  <c r="I152" i="42" s="1"/>
  <c r="K49" i="42"/>
  <c r="K142" i="42" s="1"/>
  <c r="I108" i="42"/>
  <c r="I147" i="42" s="1"/>
  <c r="F36" i="47"/>
  <c r="F141" i="47" s="1"/>
  <c r="F152" i="47" s="1"/>
  <c r="K103" i="48"/>
  <c r="K108" i="48" s="1"/>
  <c r="K147" i="48" s="1"/>
  <c r="H152" i="49"/>
  <c r="H49" i="50"/>
  <c r="H142" i="50" s="1"/>
  <c r="F44" i="57"/>
  <c r="F105" i="57" s="1"/>
  <c r="B6" i="56" s="1"/>
  <c r="F74" i="50"/>
  <c r="F144" i="50" s="1"/>
  <c r="F45" i="58"/>
  <c r="F154" i="54"/>
  <c r="F155" i="54"/>
  <c r="I152" i="54"/>
  <c r="G152" i="15"/>
  <c r="I98" i="49"/>
  <c r="I146" i="49" s="1"/>
  <c r="J6" i="57"/>
  <c r="J74" i="50"/>
  <c r="G98" i="50"/>
  <c r="G146" i="50" s="1"/>
  <c r="I98" i="51"/>
  <c r="I146" i="51" s="1"/>
  <c r="K86" i="51"/>
  <c r="K98" i="51" s="1"/>
  <c r="K146" i="51" s="1"/>
  <c r="I64" i="52"/>
  <c r="I143" i="52" s="1"/>
  <c r="K53" i="52"/>
  <c r="K64" i="52" s="1"/>
  <c r="K143" i="52" s="1"/>
  <c r="I74" i="52"/>
  <c r="I144" i="52" s="1"/>
  <c r="K70" i="52"/>
  <c r="K74" i="52" s="1"/>
  <c r="K144" i="52" s="1"/>
  <c r="I152" i="22"/>
  <c r="I152" i="25"/>
  <c r="I152" i="27"/>
  <c r="I152" i="30"/>
  <c r="K152" i="30"/>
  <c r="K152" i="32"/>
  <c r="K49" i="40"/>
  <c r="K142" i="40" s="1"/>
  <c r="K74" i="41"/>
  <c r="K144" i="41" s="1"/>
  <c r="I36" i="44"/>
  <c r="I141" i="44" s="1"/>
  <c r="K21" i="44"/>
  <c r="K36" i="44" s="1"/>
  <c r="K141" i="44" s="1"/>
  <c r="K137" i="44"/>
  <c r="K149" i="44" s="1"/>
  <c r="I98" i="47"/>
  <c r="I146" i="47" s="1"/>
  <c r="K91" i="47"/>
  <c r="H98" i="47"/>
  <c r="H146" i="47" s="1"/>
  <c r="J152" i="48"/>
  <c r="K36" i="49"/>
  <c r="K141" i="49" s="1"/>
  <c r="K86" i="49"/>
  <c r="K98" i="49" s="1"/>
  <c r="K146" i="49" s="1"/>
  <c r="F64" i="50"/>
  <c r="F143" i="50" s="1"/>
  <c r="F152" i="51"/>
  <c r="J152" i="51"/>
  <c r="I21" i="52"/>
  <c r="I36" i="52" s="1"/>
  <c r="I141" i="52" s="1"/>
  <c r="K21" i="52"/>
  <c r="K36" i="52" s="1"/>
  <c r="K141" i="52" s="1"/>
  <c r="H36" i="52"/>
  <c r="H141" i="52" s="1"/>
  <c r="H152" i="52" s="1"/>
  <c r="K82" i="52"/>
  <c r="K145" i="52" s="1"/>
  <c r="I36" i="53"/>
  <c r="I141" i="53" s="1"/>
  <c r="I152" i="53" s="1"/>
  <c r="J152" i="53"/>
  <c r="K64" i="53"/>
  <c r="K143" i="53" s="1"/>
  <c r="J152" i="54"/>
  <c r="J152" i="15"/>
  <c r="I152" i="15"/>
  <c r="G152" i="22"/>
  <c r="J152" i="24"/>
  <c r="F152" i="24"/>
  <c r="H152" i="26"/>
  <c r="H74" i="47"/>
  <c r="H144" i="47" s="1"/>
  <c r="G49" i="50"/>
  <c r="G142" i="50" s="1"/>
  <c r="F82" i="50"/>
  <c r="F145" i="50" s="1"/>
  <c r="K108" i="50"/>
  <c r="K147" i="50" s="1"/>
  <c r="I36" i="51"/>
  <c r="I141" i="51" s="1"/>
  <c r="K102" i="53"/>
  <c r="K108" i="53" s="1"/>
  <c r="K147" i="53" s="1"/>
  <c r="H152" i="24"/>
  <c r="K74" i="24"/>
  <c r="K144" i="24" s="1"/>
  <c r="F152" i="25"/>
  <c r="J152" i="27"/>
  <c r="G152" i="27"/>
  <c r="H152" i="30"/>
  <c r="F155" i="18"/>
  <c r="H152" i="37"/>
  <c r="K22" i="19"/>
  <c r="K36" i="51"/>
  <c r="K141" i="51" s="1"/>
  <c r="K64" i="51"/>
  <c r="K143" i="51" s="1"/>
  <c r="K82" i="51"/>
  <c r="K145" i="51" s="1"/>
  <c r="F152" i="53"/>
  <c r="K137" i="53"/>
  <c r="K149" i="53" s="1"/>
  <c r="H152" i="15"/>
  <c r="H152" i="13"/>
  <c r="H152" i="22"/>
  <c r="K82" i="24"/>
  <c r="K145" i="24" s="1"/>
  <c r="I98" i="24"/>
  <c r="I146" i="24" s="1"/>
  <c r="K86" i="24"/>
  <c r="K98" i="24" s="1"/>
  <c r="K146" i="24" s="1"/>
  <c r="G152" i="25"/>
  <c r="K152" i="27"/>
  <c r="I152" i="45"/>
  <c r="F98" i="50"/>
  <c r="F146" i="50" s="1"/>
  <c r="K148" i="50"/>
  <c r="K16" i="58" s="1"/>
  <c r="K49" i="51"/>
  <c r="K142" i="51" s="1"/>
  <c r="K137" i="51"/>
  <c r="K149" i="51" s="1"/>
  <c r="K98" i="52"/>
  <c r="K146" i="52" s="1"/>
  <c r="K25" i="52"/>
  <c r="K137" i="52"/>
  <c r="K149" i="52" s="1"/>
  <c r="K22" i="53"/>
  <c r="K36" i="53" s="1"/>
  <c r="K141" i="53" s="1"/>
  <c r="I152" i="7"/>
  <c r="K152" i="13"/>
  <c r="I64" i="24"/>
  <c r="I143" i="24" s="1"/>
  <c r="H152" i="25"/>
  <c r="F152" i="26"/>
  <c r="I152" i="26"/>
  <c r="G152" i="26"/>
  <c r="J152" i="30"/>
  <c r="H152" i="32"/>
  <c r="J152" i="32"/>
  <c r="G152" i="37"/>
  <c r="G152" i="43"/>
  <c r="K152" i="45"/>
  <c r="F10" i="58"/>
  <c r="F154" i="18"/>
  <c r="K152" i="37"/>
  <c r="G152" i="45"/>
  <c r="F98" i="29"/>
  <c r="F146" i="29" s="1"/>
  <c r="M24" i="58"/>
  <c r="M37" i="58"/>
  <c r="K82" i="29"/>
  <c r="K145" i="29" s="1"/>
  <c r="I56" i="19"/>
  <c r="I64" i="19" s="1"/>
  <c r="K59" i="29"/>
  <c r="K102" i="19"/>
  <c r="K53" i="29"/>
  <c r="K93" i="19"/>
  <c r="K57" i="19"/>
  <c r="K58" i="29"/>
  <c r="K58" i="19"/>
  <c r="K53" i="19"/>
  <c r="K29" i="19"/>
  <c r="F154" i="28"/>
  <c r="D96" i="61"/>
  <c r="M8" i="58"/>
  <c r="M25" i="58"/>
  <c r="M18" i="58"/>
  <c r="M4" i="58"/>
  <c r="G18" i="60"/>
  <c r="M11" i="58"/>
  <c r="M17" i="58"/>
  <c r="G4" i="60"/>
  <c r="G17" i="60"/>
  <c r="M34" i="58"/>
  <c r="M42" i="58"/>
  <c r="M45" i="58"/>
  <c r="M38" i="58"/>
  <c r="M32" i="58"/>
  <c r="M23" i="58"/>
  <c r="M19" i="58"/>
  <c r="M12" i="58"/>
  <c r="M35" i="58"/>
  <c r="G29" i="60"/>
  <c r="M39" i="58"/>
  <c r="M41" i="58"/>
  <c r="M44" i="58"/>
  <c r="M40" i="58"/>
  <c r="M20" i="58"/>
  <c r="M13" i="58"/>
  <c r="M3" i="58"/>
  <c r="M16" i="58"/>
  <c r="M7" i="58"/>
  <c r="G43" i="60"/>
  <c r="G31" i="60"/>
  <c r="M31" i="58"/>
  <c r="G27" i="60"/>
  <c r="M2" i="58"/>
  <c r="M9" i="58"/>
  <c r="G21" i="60"/>
  <c r="G20" i="60"/>
  <c r="G14" i="60"/>
  <c r="G8" i="60"/>
  <c r="G41" i="60"/>
  <c r="G3" i="60"/>
  <c r="M46" i="58"/>
  <c r="G37" i="60"/>
  <c r="G12" i="60"/>
  <c r="F49" i="60"/>
  <c r="I59" i="57" l="1"/>
  <c r="F147" i="19"/>
  <c r="F152" i="19" s="1"/>
  <c r="D11" i="58"/>
  <c r="G31" i="57"/>
  <c r="G103" i="57" s="1"/>
  <c r="C4" i="56" s="1"/>
  <c r="F147" i="29"/>
  <c r="D26" i="58"/>
  <c r="F152" i="29"/>
  <c r="I16" i="57"/>
  <c r="I77" i="57"/>
  <c r="K64" i="50"/>
  <c r="K143" i="50" s="1"/>
  <c r="K36" i="50"/>
  <c r="K141" i="50" s="1"/>
  <c r="K98" i="50"/>
  <c r="K146" i="50" s="1"/>
  <c r="H152" i="29"/>
  <c r="I80" i="57"/>
  <c r="K80" i="57" s="1"/>
  <c r="J152" i="29"/>
  <c r="I12" i="57"/>
  <c r="I65" i="57"/>
  <c r="I78" i="57"/>
  <c r="K49" i="29"/>
  <c r="K142" i="29" s="1"/>
  <c r="I98" i="29"/>
  <c r="I146" i="29" s="1"/>
  <c r="G82" i="57"/>
  <c r="G108" i="57" s="1"/>
  <c r="C9" i="56" s="1"/>
  <c r="K49" i="19"/>
  <c r="K142" i="19" s="1"/>
  <c r="F36" i="57"/>
  <c r="F104" i="57" s="1"/>
  <c r="B5" i="56" s="1"/>
  <c r="I50" i="5"/>
  <c r="I52" i="5" s="1"/>
  <c r="I54" i="5" s="1"/>
  <c r="J71" i="57"/>
  <c r="K27" i="57"/>
  <c r="K50" i="58"/>
  <c r="I51" i="57"/>
  <c r="K51" i="57" s="1"/>
  <c r="L16" i="57"/>
  <c r="K16" i="57"/>
  <c r="L64" i="57"/>
  <c r="L25" i="57"/>
  <c r="K25" i="57"/>
  <c r="L14" i="57"/>
  <c r="K36" i="19"/>
  <c r="K141" i="19" s="1"/>
  <c r="H31" i="57"/>
  <c r="H103" i="57" s="1"/>
  <c r="D11" i="56"/>
  <c r="L109" i="57"/>
  <c r="L78" i="57"/>
  <c r="K78" i="57"/>
  <c r="L59" i="57"/>
  <c r="K59" i="57"/>
  <c r="I92" i="57"/>
  <c r="K131" i="23"/>
  <c r="K137" i="23" s="1"/>
  <c r="K149" i="23" s="1"/>
  <c r="L48" i="57"/>
  <c r="K17" i="57"/>
  <c r="L17" i="57"/>
  <c r="L41" i="57"/>
  <c r="K41" i="57"/>
  <c r="F152" i="50"/>
  <c r="I137" i="23"/>
  <c r="I149" i="23" s="1"/>
  <c r="I108" i="23"/>
  <c r="I147" i="23" s="1"/>
  <c r="I26" i="57"/>
  <c r="I79" i="57"/>
  <c r="K79" i="57" s="1"/>
  <c r="L65" i="57"/>
  <c r="K65" i="57"/>
  <c r="L11" i="57"/>
  <c r="K23" i="29"/>
  <c r="K36" i="29" s="1"/>
  <c r="K141" i="29" s="1"/>
  <c r="I36" i="29"/>
  <c r="I141" i="29" s="1"/>
  <c r="F71" i="57"/>
  <c r="F107" i="57" s="1"/>
  <c r="B8" i="56" s="1"/>
  <c r="L10" i="57"/>
  <c r="K132" i="23"/>
  <c r="I93" i="57"/>
  <c r="K93" i="57" s="1"/>
  <c r="I48" i="57"/>
  <c r="I53" i="57" s="1"/>
  <c r="I106" i="57" s="1"/>
  <c r="I82" i="19"/>
  <c r="I145" i="19" s="1"/>
  <c r="K26" i="19"/>
  <c r="I14" i="57"/>
  <c r="K14" i="57" s="1"/>
  <c r="L66" i="57"/>
  <c r="L51" i="57"/>
  <c r="L18" i="57"/>
  <c r="I69" i="57"/>
  <c r="K69" i="57" s="1"/>
  <c r="H20" i="57"/>
  <c r="H102" i="57" s="1"/>
  <c r="L12" i="57"/>
  <c r="K12" i="57"/>
  <c r="G152" i="50"/>
  <c r="K76" i="57"/>
  <c r="L76" i="57"/>
  <c r="L111" i="57"/>
  <c r="K111" i="57"/>
  <c r="D2" i="56" s="1"/>
  <c r="G143" i="19"/>
  <c r="G152" i="19" s="1"/>
  <c r="G36" i="57"/>
  <c r="G104" i="57" s="1"/>
  <c r="C5" i="56" s="1"/>
  <c r="L77" i="57"/>
  <c r="K77" i="57"/>
  <c r="I64" i="29"/>
  <c r="I143" i="29" s="1"/>
  <c r="K49" i="23"/>
  <c r="K142" i="23" s="1"/>
  <c r="L63" i="57"/>
  <c r="L61" i="57"/>
  <c r="K9" i="57"/>
  <c r="L9" i="57"/>
  <c r="I64" i="57"/>
  <c r="K64" i="57" s="1"/>
  <c r="K91" i="19"/>
  <c r="K98" i="19" s="1"/>
  <c r="K146" i="19" s="1"/>
  <c r="K49" i="57"/>
  <c r="L49" i="57"/>
  <c r="I108" i="19"/>
  <c r="I147" i="19" s="1"/>
  <c r="K103" i="19"/>
  <c r="K108" i="19" s="1"/>
  <c r="K147" i="19" s="1"/>
  <c r="I143" i="19"/>
  <c r="I36" i="57"/>
  <c r="I104" i="57" s="1"/>
  <c r="H82" i="57"/>
  <c r="H108" i="57" s="1"/>
  <c r="H152" i="50"/>
  <c r="I152" i="50"/>
  <c r="K6" i="57"/>
  <c r="L6" i="57" s="1"/>
  <c r="K108" i="23"/>
  <c r="K147" i="23" s="1"/>
  <c r="I63" i="57"/>
  <c r="K63" i="57" s="1"/>
  <c r="I67" i="57"/>
  <c r="K67" i="57" s="1"/>
  <c r="L67" i="57"/>
  <c r="L62" i="57"/>
  <c r="K62" i="57"/>
  <c r="L60" i="57"/>
  <c r="K60" i="57"/>
  <c r="L50" i="57"/>
  <c r="K50" i="57"/>
  <c r="L28" i="57"/>
  <c r="K28" i="57"/>
  <c r="L15" i="57"/>
  <c r="I66" i="57"/>
  <c r="K66" i="57" s="1"/>
  <c r="K82" i="50"/>
  <c r="K145" i="50" s="1"/>
  <c r="J152" i="19"/>
  <c r="J36" i="57"/>
  <c r="L13" i="57"/>
  <c r="K13" i="57"/>
  <c r="I61" i="57"/>
  <c r="K61" i="57" s="1"/>
  <c r="L40" i="57"/>
  <c r="K40" i="57"/>
  <c r="H44" i="57"/>
  <c r="H105" i="57" s="1"/>
  <c r="K77" i="19"/>
  <c r="K82" i="19" s="1"/>
  <c r="K145" i="19" s="1"/>
  <c r="J144" i="50"/>
  <c r="K74" i="50"/>
  <c r="K144" i="50" s="1"/>
  <c r="K49" i="50"/>
  <c r="K142" i="50" s="1"/>
  <c r="H2" i="58"/>
  <c r="H3" i="58"/>
  <c r="F43" i="58"/>
  <c r="F155" i="42"/>
  <c r="F154" i="42"/>
  <c r="F21" i="58"/>
  <c r="F154" i="24"/>
  <c r="F155" i="24"/>
  <c r="F7" i="58"/>
  <c r="F155" i="16"/>
  <c r="F154" i="16"/>
  <c r="F4" i="58"/>
  <c r="F155" i="12"/>
  <c r="F154" i="12"/>
  <c r="F35" i="58"/>
  <c r="F154" i="36"/>
  <c r="F155" i="36"/>
  <c r="F32" i="58"/>
  <c r="F155" i="35"/>
  <c r="F154" i="35"/>
  <c r="F47" i="58"/>
  <c r="I47" i="58" s="1"/>
  <c r="F154" i="14"/>
  <c r="F155" i="14"/>
  <c r="F12" i="58"/>
  <c r="F155" i="9"/>
  <c r="F154" i="9"/>
  <c r="K22" i="40"/>
  <c r="K36" i="40" s="1"/>
  <c r="K141" i="40" s="1"/>
  <c r="I36" i="40"/>
  <c r="I141" i="40" s="1"/>
  <c r="I152" i="40" s="1"/>
  <c r="H143" i="8"/>
  <c r="K98" i="23"/>
  <c r="K146" i="23" s="1"/>
  <c r="I152" i="11"/>
  <c r="I152" i="51"/>
  <c r="I152" i="52"/>
  <c r="F20" i="57"/>
  <c r="F102" i="57" s="1"/>
  <c r="B3" i="56" s="1"/>
  <c r="K152" i="39"/>
  <c r="I44" i="57"/>
  <c r="I105" i="57" s="1"/>
  <c r="K108" i="8"/>
  <c r="K147" i="8" s="1"/>
  <c r="H71" i="57"/>
  <c r="H107" i="57" s="1"/>
  <c r="L97" i="57"/>
  <c r="I11" i="57"/>
  <c r="K11" i="57" s="1"/>
  <c r="I41" i="58"/>
  <c r="J41" i="58" s="1"/>
  <c r="G41" i="58"/>
  <c r="K36" i="47"/>
  <c r="K141" i="47" s="1"/>
  <c r="K143" i="8"/>
  <c r="I98" i="23"/>
  <c r="I146" i="23" s="1"/>
  <c r="I152" i="21"/>
  <c r="K152" i="52"/>
  <c r="I23" i="58"/>
  <c r="J23" i="58" s="1"/>
  <c r="G23" i="58"/>
  <c r="F30" i="58"/>
  <c r="F154" i="33"/>
  <c r="F155" i="33"/>
  <c r="I10" i="58"/>
  <c r="J10" i="58" s="1"/>
  <c r="G10" i="58"/>
  <c r="F46" i="58"/>
  <c r="F155" i="45"/>
  <c r="F154" i="45"/>
  <c r="I152" i="44"/>
  <c r="F27" i="58"/>
  <c r="F154" i="30"/>
  <c r="F155" i="30"/>
  <c r="K152" i="41"/>
  <c r="I152" i="8"/>
  <c r="I19" i="58"/>
  <c r="J19" i="58" s="1"/>
  <c r="G19" i="58"/>
  <c r="F31" i="57"/>
  <c r="F103" i="57" s="1"/>
  <c r="B4" i="56" s="1"/>
  <c r="F5" i="58"/>
  <c r="F154" i="48"/>
  <c r="F155" i="48"/>
  <c r="I108" i="40"/>
  <c r="I147" i="40" s="1"/>
  <c r="I36" i="47"/>
  <c r="I141" i="47" s="1"/>
  <c r="I152" i="47" s="1"/>
  <c r="I152" i="36"/>
  <c r="K152" i="31"/>
  <c r="K152" i="21"/>
  <c r="I82" i="23"/>
  <c r="I145" i="23" s="1"/>
  <c r="K80" i="23"/>
  <c r="K86" i="40"/>
  <c r="K98" i="40" s="1"/>
  <c r="K146" i="40" s="1"/>
  <c r="I98" i="40"/>
  <c r="I146" i="40" s="1"/>
  <c r="I6" i="58"/>
  <c r="J6" i="58" s="1"/>
  <c r="G6" i="58"/>
  <c r="F18" i="58"/>
  <c r="F154" i="13"/>
  <c r="F155" i="13"/>
  <c r="K152" i="44"/>
  <c r="F29" i="58"/>
  <c r="F154" i="32"/>
  <c r="F155" i="32"/>
  <c r="K152" i="49"/>
  <c r="G71" i="57"/>
  <c r="G107" i="57" s="1"/>
  <c r="C8" i="56" s="1"/>
  <c r="K98" i="47"/>
  <c r="K146" i="47" s="1"/>
  <c r="K64" i="29"/>
  <c r="K143" i="29" s="1"/>
  <c r="K56" i="19"/>
  <c r="K64" i="19" s="1"/>
  <c r="F36" i="58"/>
  <c r="F155" i="37"/>
  <c r="F154" i="37"/>
  <c r="K152" i="53"/>
  <c r="F24" i="58"/>
  <c r="F154" i="27"/>
  <c r="F155" i="27"/>
  <c r="K152" i="51"/>
  <c r="I45" i="58"/>
  <c r="J45" i="58" s="1"/>
  <c r="G45" i="58"/>
  <c r="I152" i="41"/>
  <c r="G152" i="8"/>
  <c r="I18" i="57"/>
  <c r="K18" i="57" s="1"/>
  <c r="I10" i="57"/>
  <c r="I20" i="57" s="1"/>
  <c r="I102" i="57" s="1"/>
  <c r="I152" i="24"/>
  <c r="G15" i="58"/>
  <c r="I15" i="58"/>
  <c r="J15" i="58" s="1"/>
  <c r="H152" i="47"/>
  <c r="G22" i="58"/>
  <c r="I22" i="58"/>
  <c r="J22" i="58" s="1"/>
  <c r="H53" i="57"/>
  <c r="H106" i="57" s="1"/>
  <c r="L106" i="57" s="1"/>
  <c r="I152" i="48"/>
  <c r="K21" i="23"/>
  <c r="K36" i="23" s="1"/>
  <c r="K141" i="23" s="1"/>
  <c r="I36" i="23"/>
  <c r="I141" i="23" s="1"/>
  <c r="I15" i="57"/>
  <c r="K15" i="57" s="1"/>
  <c r="I152" i="49"/>
  <c r="I152" i="33"/>
  <c r="K82" i="8"/>
  <c r="K145" i="8" s="1"/>
  <c r="K152" i="11"/>
  <c r="L51" i="58"/>
  <c r="G49" i="60"/>
  <c r="L52" i="58"/>
  <c r="M51" i="58"/>
  <c r="M52" i="58"/>
  <c r="D50" i="58" l="1"/>
  <c r="I152" i="19"/>
  <c r="C12" i="56"/>
  <c r="K152" i="29"/>
  <c r="F155" i="29" s="1"/>
  <c r="D52" i="58"/>
  <c r="B12" i="56"/>
  <c r="K106" i="57"/>
  <c r="D7" i="56" s="1"/>
  <c r="F7" i="56" s="1"/>
  <c r="H50" i="58"/>
  <c r="L102" i="57"/>
  <c r="K102" i="57"/>
  <c r="D3" i="56" s="1"/>
  <c r="K10" i="57"/>
  <c r="K26" i="57"/>
  <c r="I31" i="57"/>
  <c r="I103" i="57" s="1"/>
  <c r="K48" i="57"/>
  <c r="L107" i="57"/>
  <c r="L103" i="57"/>
  <c r="F2" i="56"/>
  <c r="K92" i="57"/>
  <c r="K97" i="57" s="1"/>
  <c r="I97" i="57"/>
  <c r="I110" i="57" s="1"/>
  <c r="K110" i="57" s="1"/>
  <c r="D10" i="56" s="1"/>
  <c r="I82" i="57"/>
  <c r="I108" i="57" s="1"/>
  <c r="K105" i="57"/>
  <c r="D6" i="56" s="1"/>
  <c r="L105" i="57"/>
  <c r="L108" i="57"/>
  <c r="K108" i="57"/>
  <c r="D9" i="56" s="1"/>
  <c r="L36" i="57"/>
  <c r="K36" i="57"/>
  <c r="H104" i="57"/>
  <c r="I152" i="29"/>
  <c r="F11" i="56"/>
  <c r="J152" i="50"/>
  <c r="J113" i="57"/>
  <c r="K152" i="50"/>
  <c r="F155" i="50" s="1"/>
  <c r="K143" i="19"/>
  <c r="K152" i="19" s="1"/>
  <c r="F113" i="57"/>
  <c r="K152" i="47"/>
  <c r="I71" i="57"/>
  <c r="I107" i="57" s="1"/>
  <c r="K107" i="57" s="1"/>
  <c r="D8" i="56" s="1"/>
  <c r="I29" i="58"/>
  <c r="J29" i="58" s="1"/>
  <c r="G29" i="58"/>
  <c r="I18" i="58"/>
  <c r="J18" i="58" s="1"/>
  <c r="G18" i="58"/>
  <c r="F154" i="41"/>
  <c r="F155" i="41"/>
  <c r="F39" i="58"/>
  <c r="F155" i="39"/>
  <c r="F154" i="39"/>
  <c r="K152" i="40"/>
  <c r="L31" i="57"/>
  <c r="K31" i="57"/>
  <c r="I12" i="58"/>
  <c r="J12" i="58" s="1"/>
  <c r="G12" i="58"/>
  <c r="I152" i="23"/>
  <c r="I24" i="58"/>
  <c r="J24" i="58" s="1"/>
  <c r="G24" i="58"/>
  <c r="I36" i="58"/>
  <c r="J36" i="58" s="1"/>
  <c r="G36" i="58"/>
  <c r="F9" i="58"/>
  <c r="F155" i="49"/>
  <c r="F154" i="49"/>
  <c r="F8" i="58"/>
  <c r="F154" i="44"/>
  <c r="F155" i="44"/>
  <c r="L53" i="57"/>
  <c r="F28" i="58"/>
  <c r="F155" i="31"/>
  <c r="F154" i="31"/>
  <c r="G5" i="58"/>
  <c r="I5" i="58"/>
  <c r="J5" i="58" s="1"/>
  <c r="H113" i="57"/>
  <c r="H152" i="8"/>
  <c r="G35" i="58"/>
  <c r="I35" i="58"/>
  <c r="J35" i="58" s="1"/>
  <c r="G43" i="58"/>
  <c r="I43" i="58"/>
  <c r="J43" i="58" s="1"/>
  <c r="F17" i="58"/>
  <c r="F154" i="21"/>
  <c r="F155" i="21"/>
  <c r="G27" i="58"/>
  <c r="I27" i="58"/>
  <c r="J27" i="58" s="1"/>
  <c r="I46" i="58"/>
  <c r="J46" i="58" s="1"/>
  <c r="G46" i="58"/>
  <c r="G113" i="57"/>
  <c r="L44" i="57"/>
  <c r="K44" i="57"/>
  <c r="J47" i="58"/>
  <c r="G47" i="58"/>
  <c r="F3" i="58"/>
  <c r="F155" i="11"/>
  <c r="F154" i="11"/>
  <c r="F33" i="58"/>
  <c r="F154" i="51"/>
  <c r="F155" i="51"/>
  <c r="F44" i="58"/>
  <c r="F154" i="53"/>
  <c r="F155" i="53"/>
  <c r="F26" i="58"/>
  <c r="F154" i="29"/>
  <c r="K82" i="23"/>
  <c r="K145" i="23" s="1"/>
  <c r="K152" i="8"/>
  <c r="G30" i="58"/>
  <c r="I30" i="58"/>
  <c r="J30" i="58" s="1"/>
  <c r="F34" i="58"/>
  <c r="F155" i="52"/>
  <c r="F154" i="52"/>
  <c r="K82" i="57"/>
  <c r="G32" i="58"/>
  <c r="I32" i="58"/>
  <c r="J32" i="58" s="1"/>
  <c r="I4" i="58"/>
  <c r="J4" i="58" s="1"/>
  <c r="G4" i="58"/>
  <c r="I7" i="58"/>
  <c r="J7" i="58" s="1"/>
  <c r="G7" i="58"/>
  <c r="I21" i="58"/>
  <c r="J21" i="58" s="1"/>
  <c r="G21" i="58"/>
  <c r="I113" i="57" l="1"/>
  <c r="F8" i="56"/>
  <c r="F9" i="56"/>
  <c r="F3" i="56"/>
  <c r="F6" i="56"/>
  <c r="K103" i="57"/>
  <c r="D4" i="56" s="1"/>
  <c r="K104" i="57"/>
  <c r="D5" i="56" s="1"/>
  <c r="L104" i="57"/>
  <c r="F10" i="56"/>
  <c r="F16" i="58"/>
  <c r="I16" i="58" s="1"/>
  <c r="J16" i="58" s="1"/>
  <c r="F154" i="50"/>
  <c r="L82" i="57"/>
  <c r="G33" i="58"/>
  <c r="I33" i="58"/>
  <c r="J33" i="58" s="1"/>
  <c r="L71" i="57"/>
  <c r="K71" i="57"/>
  <c r="F2" i="58"/>
  <c r="F154" i="8"/>
  <c r="F155" i="8"/>
  <c r="G44" i="58"/>
  <c r="I44" i="58"/>
  <c r="J44" i="58" s="1"/>
  <c r="K152" i="23"/>
  <c r="K20" i="57"/>
  <c r="I9" i="58"/>
  <c r="J9" i="58" s="1"/>
  <c r="G9" i="58"/>
  <c r="I39" i="58"/>
  <c r="J39" i="58" s="1"/>
  <c r="G39" i="58"/>
  <c r="F13" i="58"/>
  <c r="F154" i="47"/>
  <c r="F155" i="47"/>
  <c r="F11" i="58"/>
  <c r="F155" i="19"/>
  <c r="F154" i="19"/>
  <c r="I26" i="58"/>
  <c r="J26" i="58" s="1"/>
  <c r="G26" i="58"/>
  <c r="I3" i="58"/>
  <c r="J3" i="58" s="1"/>
  <c r="G3" i="58"/>
  <c r="I28" i="58"/>
  <c r="J28" i="58" s="1"/>
  <c r="G28" i="58"/>
  <c r="G8" i="58"/>
  <c r="I8" i="58"/>
  <c r="J8" i="58" s="1"/>
  <c r="F40" i="58"/>
  <c r="F155" i="40"/>
  <c r="F154" i="40"/>
  <c r="K53" i="57"/>
  <c r="I34" i="58"/>
  <c r="J34" i="58" s="1"/>
  <c r="G34" i="58"/>
  <c r="G17" i="58"/>
  <c r="I17" i="58"/>
  <c r="J17" i="58" s="1"/>
  <c r="I42" i="58"/>
  <c r="J42" i="58" s="1"/>
  <c r="G42" i="58"/>
  <c r="F4" i="56" l="1"/>
  <c r="F5" i="56"/>
  <c r="K113" i="57"/>
  <c r="D12" i="56"/>
  <c r="E4" i="56" s="1"/>
  <c r="G16" i="58"/>
  <c r="L20" i="57"/>
  <c r="I40" i="58"/>
  <c r="J40" i="58" s="1"/>
  <c r="G40" i="58"/>
  <c r="G11" i="58"/>
  <c r="I11" i="58"/>
  <c r="J11" i="58" s="1"/>
  <c r="L113" i="57"/>
  <c r="F20" i="58"/>
  <c r="F50" i="58" s="1"/>
  <c r="E128" i="62" s="1"/>
  <c r="F154" i="23"/>
  <c r="F155" i="23"/>
  <c r="I2" i="58"/>
  <c r="G2" i="58"/>
  <c r="I13" i="58"/>
  <c r="J13" i="58" s="1"/>
  <c r="G13" i="58"/>
  <c r="D128" i="62" l="1"/>
  <c r="D130" i="62" s="1"/>
  <c r="D134" i="62" s="1"/>
  <c r="E130" i="62"/>
  <c r="E134" i="62" s="1"/>
  <c r="F117" i="57"/>
  <c r="E5" i="56"/>
  <c r="G50" i="58"/>
  <c r="F12" i="56"/>
  <c r="G4" i="56" s="1"/>
  <c r="D117" i="57"/>
  <c r="E2" i="56"/>
  <c r="E7" i="56"/>
  <c r="E11" i="56"/>
  <c r="E9" i="56"/>
  <c r="E3" i="56"/>
  <c r="E10" i="56"/>
  <c r="E8" i="56"/>
  <c r="E6" i="56"/>
  <c r="I20" i="58"/>
  <c r="J20" i="58" s="1"/>
  <c r="G20" i="58"/>
  <c r="G52" i="58" s="1"/>
  <c r="J2" i="58"/>
  <c r="F119" i="57"/>
  <c r="D119" i="57"/>
  <c r="E12" i="56" l="1"/>
  <c r="G12" i="56"/>
  <c r="G2" i="56"/>
  <c r="G11" i="56"/>
  <c r="G7" i="56"/>
  <c r="G9" i="56"/>
  <c r="G3" i="56"/>
  <c r="G8" i="56"/>
  <c r="G10" i="56"/>
  <c r="G6" i="56"/>
  <c r="G5" i="56"/>
  <c r="I50" i="58"/>
  <c r="J50" i="58" s="1"/>
</calcChain>
</file>

<file path=xl/sharedStrings.xml><?xml version="1.0" encoding="utf-8"?>
<sst xmlns="http://schemas.openxmlformats.org/spreadsheetml/2006/main" count="14213" uniqueCount="1091">
  <si>
    <t>Hospital Name</t>
  </si>
  <si>
    <t>Employees</t>
  </si>
  <si>
    <t xml:space="preserve">Total Staff Hours CB Operations </t>
  </si>
  <si>
    <t>Total Hospital Operating Expense</t>
  </si>
  <si>
    <t>Total Community Benefit</t>
  </si>
  <si>
    <t>Total CB as % of Total Operating Expense</t>
  </si>
  <si>
    <t>Total Net CB(minus charity Care, DME, NSPI in Rates) as % of Operating Expense</t>
  </si>
  <si>
    <t>CB Reported Charity Care</t>
  </si>
  <si>
    <t>Anne Arundel</t>
  </si>
  <si>
    <t>Atlantic General</t>
  </si>
  <si>
    <t>Baltimore Washington</t>
  </si>
  <si>
    <t>Bon Secours</t>
  </si>
  <si>
    <t>Calvert Memorial</t>
  </si>
  <si>
    <t>Carroll Hospital</t>
  </si>
  <si>
    <t>Chester River</t>
  </si>
  <si>
    <t>Civista</t>
  </si>
  <si>
    <t>Doctors</t>
  </si>
  <si>
    <t>Fort Washington</t>
  </si>
  <si>
    <t>Franklin Square</t>
  </si>
  <si>
    <t>Frederick Memorial</t>
  </si>
  <si>
    <t>Garrett County</t>
  </si>
  <si>
    <t>GBMC</t>
  </si>
  <si>
    <t>Good Samaritan</t>
  </si>
  <si>
    <t>Harbor Hospital</t>
  </si>
  <si>
    <t>Holy Cross</t>
  </si>
  <si>
    <t xml:space="preserve">Howard County </t>
  </si>
  <si>
    <t>JH Bayview</t>
  </si>
  <si>
    <t>Johns Hopkins</t>
  </si>
  <si>
    <t>Kernan</t>
  </si>
  <si>
    <t>Laurel Regional</t>
  </si>
  <si>
    <t>Maryland General</t>
  </si>
  <si>
    <t>McCready</t>
  </si>
  <si>
    <t>Mercy</t>
  </si>
  <si>
    <t>Montgomery General</t>
  </si>
  <si>
    <t>Northwest</t>
  </si>
  <si>
    <t>Peninsula</t>
  </si>
  <si>
    <t>Prince George's</t>
  </si>
  <si>
    <t>Shady Grove</t>
  </si>
  <si>
    <t>Shore Health - Easton</t>
  </si>
  <si>
    <t>Shore Health -Dorchester</t>
  </si>
  <si>
    <t>Sinai</t>
  </si>
  <si>
    <t>Southern Maryland</t>
  </si>
  <si>
    <t>St. Agnes</t>
  </si>
  <si>
    <t>St. Joseph</t>
  </si>
  <si>
    <t>St. Mary's</t>
  </si>
  <si>
    <t>Suburban</t>
  </si>
  <si>
    <t>UCH-Harford</t>
  </si>
  <si>
    <t>UCH-Upper Chesapeake</t>
  </si>
  <si>
    <t>Union Cecil County</t>
  </si>
  <si>
    <t>Union Memorial</t>
  </si>
  <si>
    <t>University of Maryland</t>
  </si>
  <si>
    <t>Washington Adventist</t>
  </si>
  <si>
    <t xml:space="preserve">Western MD Regional </t>
  </si>
  <si>
    <t>Totals</t>
  </si>
  <si>
    <t>Averages</t>
  </si>
  <si>
    <t>Meritus Medical Center</t>
  </si>
  <si>
    <t>Western Maryland Regional Medical Center</t>
  </si>
  <si>
    <t>Total</t>
  </si>
  <si>
    <t>Final DME</t>
  </si>
  <si>
    <t>NSPI</t>
  </si>
  <si>
    <t>DME</t>
  </si>
  <si>
    <t>CHARITY CARE IN RATES</t>
  </si>
  <si>
    <t>Total Rate support</t>
  </si>
  <si>
    <t>NSP1</t>
  </si>
  <si>
    <t>Total Education</t>
  </si>
  <si>
    <t>Education Rate Support</t>
  </si>
  <si>
    <t>Point Totals for Sufficiency of Narrative Answers</t>
  </si>
  <si>
    <t>median</t>
  </si>
  <si>
    <t>average</t>
  </si>
  <si>
    <t>FY12 - Rates</t>
  </si>
  <si>
    <t>HOSPID_R</t>
  </si>
  <si>
    <t>HOSPITAL NAME</t>
  </si>
  <si>
    <t>UCC IN RATES</t>
  </si>
  <si>
    <t>UCC PROVIDED IN RATES</t>
  </si>
  <si>
    <t>% CHARITY CARE IN RATES</t>
  </si>
  <si>
    <t>Meritus</t>
  </si>
  <si>
    <t xml:space="preserve">Univ. of Maryland Medical System             </t>
  </si>
  <si>
    <t xml:space="preserve">Prince Georges Hospital                      </t>
  </si>
  <si>
    <t xml:space="preserve">Holy Cross Hospital of Silver Spring         </t>
  </si>
  <si>
    <t xml:space="preserve">Frederick Memorial Hospital                  </t>
  </si>
  <si>
    <t xml:space="preserve">Harford Memorial Hospital                    </t>
  </si>
  <si>
    <t xml:space="preserve">St. Josephs Hospital                         </t>
  </si>
  <si>
    <t xml:space="preserve">Mercy Medical Center, Inc.                   </t>
  </si>
  <si>
    <t xml:space="preserve">Johns Hopkins Hospital                       </t>
  </si>
  <si>
    <t xml:space="preserve">Dorchester General Hospital                  </t>
  </si>
  <si>
    <t xml:space="preserve">St. Agnes Hospital                           </t>
  </si>
  <si>
    <t xml:space="preserve">Sinai Hospital                               </t>
  </si>
  <si>
    <t xml:space="preserve">Bon Secours Hospital                         </t>
  </si>
  <si>
    <t xml:space="preserve">Franklin Square Hospital                     </t>
  </si>
  <si>
    <t xml:space="preserve">Washington Adventist Hospital                </t>
  </si>
  <si>
    <t xml:space="preserve">Garrett County Memorial Hospital             </t>
  </si>
  <si>
    <t xml:space="preserve">Montgomery General Hospital                  </t>
  </si>
  <si>
    <t xml:space="preserve">Peninsula Regional Medical Center            </t>
  </si>
  <si>
    <t xml:space="preserve">Suburban Hospital Association,Inc            </t>
  </si>
  <si>
    <t xml:space="preserve">Anne Arundel General Hospital                </t>
  </si>
  <si>
    <t xml:space="preserve">Union Memorial Hospital                      </t>
  </si>
  <si>
    <t xml:space="preserve">Braddock Hospital                            </t>
  </si>
  <si>
    <t xml:space="preserve">St. Marys Hospital                           </t>
  </si>
  <si>
    <t xml:space="preserve">Johns Hopkins Bayview Med. Center            </t>
  </si>
  <si>
    <t xml:space="preserve">Chester River Hospital Center                </t>
  </si>
  <si>
    <t xml:space="preserve">Union Hospital of Cecil County               </t>
  </si>
  <si>
    <t xml:space="preserve">Carroll County General Hospital              </t>
  </si>
  <si>
    <t xml:space="preserve">Harbor Hospital Center                       </t>
  </si>
  <si>
    <t xml:space="preserve">Civista Medical Center                       </t>
  </si>
  <si>
    <t xml:space="preserve">Memorial Hospital at Easton                  </t>
  </si>
  <si>
    <t xml:space="preserve">Maryland General Hospital                    </t>
  </si>
  <si>
    <t xml:space="preserve">Calvert Memorial Hospital                    </t>
  </si>
  <si>
    <t xml:space="preserve">Northwest Hospital Center, Inc.              </t>
  </si>
  <si>
    <t xml:space="preserve">Greater Baltimore Medical Center             </t>
  </si>
  <si>
    <t xml:space="preserve">McCready Foundation, Inc.                    </t>
  </si>
  <si>
    <t xml:space="preserve">Howard County General Hospital               </t>
  </si>
  <si>
    <t xml:space="preserve">Upper Chesepeake Medical Center              </t>
  </si>
  <si>
    <t xml:space="preserve">Doctors Community Hospital                   </t>
  </si>
  <si>
    <t xml:space="preserve">Laurel Regional Hospital                     </t>
  </si>
  <si>
    <t>ATLANTIC GENERAL</t>
  </si>
  <si>
    <t>KERNAN</t>
  </si>
  <si>
    <t>GOOD SAMARITAN</t>
  </si>
  <si>
    <t>SHADY GROVE</t>
  </si>
  <si>
    <t>UNIVERSITY OF MD MEIMS</t>
  </si>
  <si>
    <t xml:space="preserve">Southern Maryland Hospital**                   </t>
  </si>
  <si>
    <t>FT. WASHINGTON**</t>
  </si>
  <si>
    <t>** These numbers came from Monthly FS due to extention of annual filing.</t>
  </si>
  <si>
    <t>N/A</t>
  </si>
  <si>
    <t>% Totals for Sufficiency of Narrative Answers</t>
  </si>
  <si>
    <t>FY 2013 Amount in Rates for Charity Care, DME, and NSPI</t>
  </si>
  <si>
    <t>Health Professions Education</t>
  </si>
  <si>
    <t>Mission Driven Health Services</t>
  </si>
  <si>
    <t>Research</t>
  </si>
  <si>
    <t>Community Building</t>
  </si>
  <si>
    <t>Community Benefit Operations</t>
  </si>
  <si>
    <t>Foundation</t>
  </si>
  <si>
    <t>Charity Care</t>
  </si>
  <si>
    <t>Number of Encounters</t>
  </si>
  <si>
    <t>FY 2013 COMMUNITY BENEFIT INVENTORY SPREADSHEET</t>
  </si>
  <si>
    <t>GENERAL INFORMATION</t>
  </si>
  <si>
    <t>Hospital Name:</t>
  </si>
  <si>
    <t>HSCRC Hospital ID #:</t>
  </si>
  <si>
    <t># of Employees:</t>
  </si>
  <si>
    <t>Contact Person:</t>
  </si>
  <si>
    <t>Lauren Rose</t>
  </si>
  <si>
    <t>Contact Number:</t>
  </si>
  <si>
    <t>410-933-2313</t>
  </si>
  <si>
    <t>Contact Email:</t>
  </si>
  <si>
    <t>Lauren.Rose@medstar.net</t>
  </si>
  <si>
    <t>UNREIMBURSED MEDICAID COST</t>
  </si>
  <si>
    <t># OF STAFF HOURS</t>
  </si>
  <si>
    <t># OF ENCOUNTERS</t>
  </si>
  <si>
    <t>DIRECT COST($)</t>
  </si>
  <si>
    <t>INDIRECT COST($)</t>
  </si>
  <si>
    <t>OFFSETTING REVENUE($)</t>
  </si>
  <si>
    <t>NET COMMUNITY BENEFIT</t>
  </si>
  <si>
    <t>T00</t>
  </si>
  <si>
    <t>Medicaid Costs</t>
  </si>
  <si>
    <t>Medicaid Assessments</t>
  </si>
  <si>
    <t>COMMUNITY BENEFIT ACTIVITES</t>
  </si>
  <si>
    <t>COMMUNITY HEALTH SERVICES</t>
  </si>
  <si>
    <t>Community Health Education</t>
  </si>
  <si>
    <t>Support Groups</t>
  </si>
  <si>
    <t>Self-Help</t>
  </si>
  <si>
    <t>Community-Based Clinical Services</t>
  </si>
  <si>
    <t>Screenings</t>
  </si>
  <si>
    <t>One-Time/Occasionally Held Clinics</t>
  </si>
  <si>
    <t>Free Clinics</t>
  </si>
  <si>
    <t>Mobile Units</t>
  </si>
  <si>
    <t>A10</t>
  </si>
  <si>
    <t>Health Care Support Services</t>
  </si>
  <si>
    <t>Total Community Health Services</t>
  </si>
  <si>
    <t>B00</t>
  </si>
  <si>
    <t>HEALTH PROFESSIONS EDUCATION</t>
  </si>
  <si>
    <t>B1</t>
  </si>
  <si>
    <t>Physicians/Medical Students</t>
  </si>
  <si>
    <t>B2</t>
  </si>
  <si>
    <t>Nurses/Nursing Students</t>
  </si>
  <si>
    <t>B3</t>
  </si>
  <si>
    <t>Other Health Professionals</t>
  </si>
  <si>
    <t>B4</t>
  </si>
  <si>
    <t>Scholarships/Funding for Professional Education</t>
  </si>
  <si>
    <t>Total Health Professions Education</t>
  </si>
  <si>
    <t>C00</t>
  </si>
  <si>
    <t>MISSION DRIVEN HEALTH SERVICES (please list)</t>
  </si>
  <si>
    <t>Emergency and Trauma Services</t>
  </si>
  <si>
    <t>Other</t>
  </si>
  <si>
    <t>Hospital Outpatient Services</t>
  </si>
  <si>
    <t>Women's and Children's Services</t>
  </si>
  <si>
    <t>Total Mission Driven Health Services</t>
  </si>
  <si>
    <t>D00</t>
  </si>
  <si>
    <t>RESEARCH</t>
  </si>
  <si>
    <t>D1</t>
  </si>
  <si>
    <t>Clinical Research</t>
  </si>
  <si>
    <t>D2</t>
  </si>
  <si>
    <t>Community Health Research</t>
  </si>
  <si>
    <t>Total Research</t>
  </si>
  <si>
    <t>E00</t>
  </si>
  <si>
    <t>Cash and In-Kind Contributions</t>
  </si>
  <si>
    <t>E1</t>
  </si>
  <si>
    <t>Cash Donations</t>
  </si>
  <si>
    <t>E2</t>
  </si>
  <si>
    <t>Grants</t>
  </si>
  <si>
    <t>E3</t>
  </si>
  <si>
    <t>In-Kind Donations</t>
  </si>
  <si>
    <t>E4</t>
  </si>
  <si>
    <t>F00</t>
  </si>
  <si>
    <t>COMMUNITY BUILDING ACTIVITIES</t>
  </si>
  <si>
    <t>F1</t>
  </si>
  <si>
    <t>Physical Improvements and Housing</t>
  </si>
  <si>
    <t>F2</t>
  </si>
  <si>
    <t>Economic Development</t>
  </si>
  <si>
    <t>F3</t>
  </si>
  <si>
    <t>Community Support</t>
  </si>
  <si>
    <t>F4</t>
  </si>
  <si>
    <t>Environmental Improvements</t>
  </si>
  <si>
    <t>F5</t>
  </si>
  <si>
    <t>Leadership Development/Training for Community Members</t>
  </si>
  <si>
    <t>F6</t>
  </si>
  <si>
    <t>Coalition Building</t>
  </si>
  <si>
    <t>F7</t>
  </si>
  <si>
    <t>Advocacy for Community Health Improvements</t>
  </si>
  <si>
    <t>F8</t>
  </si>
  <si>
    <t>Workforce Development</t>
  </si>
  <si>
    <t>F9</t>
  </si>
  <si>
    <t>Total Community Building Activities</t>
  </si>
  <si>
    <t>G00</t>
  </si>
  <si>
    <t>COMMUNITY BENEFIT OPERATIONS</t>
  </si>
  <si>
    <t>G1</t>
  </si>
  <si>
    <t>Assigned Staff</t>
  </si>
  <si>
    <t>G2</t>
  </si>
  <si>
    <t>Community health/health assets assessments</t>
  </si>
  <si>
    <t>G3</t>
  </si>
  <si>
    <t>Other Resources</t>
  </si>
  <si>
    <t>Total Community Benefit Operations</t>
  </si>
  <si>
    <t>H00</t>
  </si>
  <si>
    <t>CHARITY CARE (report total only)</t>
  </si>
  <si>
    <t>Total Charity Care</t>
  </si>
  <si>
    <t>FINANCIAL DATA</t>
  </si>
  <si>
    <t>I00</t>
  </si>
  <si>
    <t>OPERATING REVENUE</t>
  </si>
  <si>
    <t>Net Patient Service Revenue</t>
  </si>
  <si>
    <t>Other Revenue</t>
  </si>
  <si>
    <t>Total Revenue</t>
  </si>
  <si>
    <t>J00</t>
  </si>
  <si>
    <t>FOUNDATION COMMUNITY BENEFIT</t>
  </si>
  <si>
    <t>J1</t>
  </si>
  <si>
    <t>Community Services</t>
  </si>
  <si>
    <t>J2</t>
  </si>
  <si>
    <t>K00</t>
  </si>
  <si>
    <t>TOTAL HOSPITAL COMMUNITY BENEFIT</t>
  </si>
  <si>
    <t>Community Health Services</t>
  </si>
  <si>
    <t>Mission Driven Health Care Services</t>
  </si>
  <si>
    <t>Financial Contributions</t>
  </si>
  <si>
    <t>Community Building Activities</t>
  </si>
  <si>
    <t>Foundation Funded Community Benefit</t>
  </si>
  <si>
    <t>Medicaid Assesments</t>
  </si>
  <si>
    <t>% OF OPERATING EXPENSES</t>
  </si>
  <si>
    <t>% of NET REVENUE</t>
  </si>
  <si>
    <t>DRAFT</t>
  </si>
  <si>
    <t>21-0001</t>
  </si>
  <si>
    <t>Dianna V. Rounds, Budget Director</t>
  </si>
  <si>
    <t>301-790-8882</t>
  </si>
  <si>
    <t>Dianna.Rounds@meritushealth.com</t>
  </si>
  <si>
    <t>T99</t>
  </si>
  <si>
    <t>A00.</t>
  </si>
  <si>
    <t>A11</t>
  </si>
  <si>
    <t>A12</t>
  </si>
  <si>
    <t>A20</t>
  </si>
  <si>
    <t>A21</t>
  </si>
  <si>
    <t>A22</t>
  </si>
  <si>
    <t>A23</t>
  </si>
  <si>
    <t>A24</t>
  </si>
  <si>
    <t>A30</t>
  </si>
  <si>
    <t>A40</t>
  </si>
  <si>
    <t>A41</t>
  </si>
  <si>
    <t>A42</t>
  </si>
  <si>
    <t xml:space="preserve"> </t>
  </si>
  <si>
    <t>A43</t>
  </si>
  <si>
    <t>A44</t>
  </si>
  <si>
    <t>A99</t>
  </si>
  <si>
    <t>TOTAL</t>
  </si>
  <si>
    <t>B10</t>
  </si>
  <si>
    <t>B20</t>
  </si>
  <si>
    <t>B30</t>
  </si>
  <si>
    <t>B40</t>
  </si>
  <si>
    <t>B50</t>
  </si>
  <si>
    <t>Undergraduate training for pharmacists and other health professionals</t>
  </si>
  <si>
    <t>B51</t>
  </si>
  <si>
    <t>B52</t>
  </si>
  <si>
    <t>B53</t>
  </si>
  <si>
    <t>B99</t>
  </si>
  <si>
    <t>C10</t>
  </si>
  <si>
    <t>Meritus Endocrine, Nurtrition &amp; Diabetes Education Center</t>
  </si>
  <si>
    <t>C20</t>
  </si>
  <si>
    <t>The Medication Assistance Center</t>
  </si>
  <si>
    <t>C30</t>
  </si>
  <si>
    <t>Level III Trauma Program</t>
  </si>
  <si>
    <t>C40</t>
  </si>
  <si>
    <t>Hospital Owned Psychiatric Practice</t>
  </si>
  <si>
    <t>C50</t>
  </si>
  <si>
    <t>Hospice Voluntary Write-offs (Hospice of Washington County)</t>
  </si>
  <si>
    <t>n/a</t>
  </si>
  <si>
    <t>C60</t>
  </si>
  <si>
    <t>On-Call Fees - Emergency Specialist Call</t>
  </si>
  <si>
    <t>C70</t>
  </si>
  <si>
    <t>Hospitalist Subsidy</t>
  </si>
  <si>
    <t>C80</t>
  </si>
  <si>
    <t>C90</t>
  </si>
  <si>
    <t>C91</t>
  </si>
  <si>
    <t>C99</t>
  </si>
  <si>
    <t>D10</t>
  </si>
  <si>
    <t>D20</t>
  </si>
  <si>
    <t>D30</t>
  </si>
  <si>
    <t>D31</t>
  </si>
  <si>
    <t>D32</t>
  </si>
  <si>
    <t>D99</t>
  </si>
  <si>
    <t>E10</t>
  </si>
  <si>
    <t>E20</t>
  </si>
  <si>
    <t>E30</t>
  </si>
  <si>
    <t>E40</t>
  </si>
  <si>
    <t>Cost of Fund Raising for Community Programs</t>
  </si>
  <si>
    <t>E99</t>
  </si>
  <si>
    <t>Total Cash and In-Kind Contributions</t>
  </si>
  <si>
    <t>F10</t>
  </si>
  <si>
    <t>F20</t>
  </si>
  <si>
    <t>F30</t>
  </si>
  <si>
    <t>F40</t>
  </si>
  <si>
    <t>F50</t>
  </si>
  <si>
    <t>F60</t>
  </si>
  <si>
    <t>F70</t>
  </si>
  <si>
    <t>F80</t>
  </si>
  <si>
    <t>F90</t>
  </si>
  <si>
    <t>Farmer's Market</t>
  </si>
  <si>
    <t>F91</t>
  </si>
  <si>
    <t>F92</t>
  </si>
  <si>
    <t>F99</t>
  </si>
  <si>
    <t>G10</t>
  </si>
  <si>
    <t>G20</t>
  </si>
  <si>
    <t>G30</t>
  </si>
  <si>
    <t>Leadership Development</t>
  </si>
  <si>
    <t>G31</t>
  </si>
  <si>
    <t>G32</t>
  </si>
  <si>
    <t>G99</t>
  </si>
  <si>
    <t>H99</t>
  </si>
  <si>
    <t>I10</t>
  </si>
  <si>
    <t>INDIRECT COST RATIO</t>
  </si>
  <si>
    <t>I20</t>
  </si>
  <si>
    <t>I30</t>
  </si>
  <si>
    <t>I40</t>
  </si>
  <si>
    <t>S99</t>
  </si>
  <si>
    <t>TOTAL OPERATING EXPENSES</t>
  </si>
  <si>
    <t>I50</t>
  </si>
  <si>
    <t>NET REVENUE (LOSS) FROM OPERATIONS</t>
  </si>
  <si>
    <t>I60</t>
  </si>
  <si>
    <t>NON-OPERATING GAINS (LOSSES)</t>
  </si>
  <si>
    <t>I70</t>
  </si>
  <si>
    <t>NET REVENUE (LOSS)</t>
  </si>
  <si>
    <t>J10</t>
  </si>
  <si>
    <t>J20</t>
  </si>
  <si>
    <t>J30</t>
  </si>
  <si>
    <t>J31</t>
  </si>
  <si>
    <t>J32</t>
  </si>
  <si>
    <t>J99</t>
  </si>
  <si>
    <t>TOTAL FOUNDATION COMMUNITY BENEFIT</t>
  </si>
  <si>
    <t>K99</t>
  </si>
  <si>
    <t>U99</t>
  </si>
  <si>
    <t>V99</t>
  </si>
  <si>
    <t>Saint Agnes Hospital</t>
  </si>
  <si>
    <t>21-0011</t>
  </si>
  <si>
    <t>Mitch Lomax</t>
  </si>
  <si>
    <t>410-368-2926</t>
  </si>
  <si>
    <t>mlomax@stagnes.org</t>
  </si>
  <si>
    <t>Sarah's Hope</t>
  </si>
  <si>
    <t>My Brother's Keeper</t>
  </si>
  <si>
    <t>Mission of Mercy</t>
  </si>
  <si>
    <t>Morrell Park</t>
  </si>
  <si>
    <t>Community Care Center</t>
  </si>
  <si>
    <t>Physician ED Indigent Care Subsidies</t>
  </si>
  <si>
    <t>Perinatology Physician Subsidy</t>
  </si>
  <si>
    <t>UNIVERSITY OF MARYLAND MEDICAL CENTER</t>
  </si>
  <si>
    <t>0002, 8992, 8994</t>
  </si>
  <si>
    <t>ALICIA CUNNINGHAM</t>
  </si>
  <si>
    <t>410-328-1380</t>
  </si>
  <si>
    <t>ACUNNINGHAM@UMM.EDU</t>
  </si>
  <si>
    <t>UNIVERSITY CARE COMMUNITY CLINICS/UCARE</t>
  </si>
  <si>
    <t>COMMUNITY OUTPATIENT PSYCHIATRIC CLINICS</t>
  </si>
  <si>
    <t>Offsetting Revenue</t>
  </si>
  <si>
    <t>Net Community Benefit W/Indirect Cost</t>
  </si>
  <si>
    <t>Net Community Benefit W/O Indirect Cost</t>
  </si>
  <si>
    <t>Direct Cost ($)</t>
  </si>
  <si>
    <t>Indirect Cost ($)</t>
  </si>
  <si>
    <t>B.</t>
  </si>
  <si>
    <t>B5</t>
  </si>
  <si>
    <t>C.</t>
  </si>
  <si>
    <t>MISSION DRIVEN HEALTH SERVICES</t>
  </si>
  <si>
    <t>D.</t>
  </si>
  <si>
    <t>D3</t>
  </si>
  <si>
    <t>E.</t>
  </si>
  <si>
    <t>F.</t>
  </si>
  <si>
    <t>Physical Improvements/Housing</t>
  </si>
  <si>
    <t>Support System Enhancements</t>
  </si>
  <si>
    <t>Community Health Improvement Advocacy</t>
  </si>
  <si>
    <t>Workforce Enhancement</t>
  </si>
  <si>
    <t>F11</t>
  </si>
  <si>
    <t>G.</t>
  </si>
  <si>
    <t>Dedicated Staff</t>
  </si>
  <si>
    <t>G4</t>
  </si>
  <si>
    <t>G5</t>
  </si>
  <si>
    <t>H.</t>
  </si>
  <si>
    <t>J.</t>
  </si>
  <si>
    <t>K</t>
  </si>
  <si>
    <t>A</t>
  </si>
  <si>
    <t>B</t>
  </si>
  <si>
    <t>C</t>
  </si>
  <si>
    <t>D</t>
  </si>
  <si>
    <t>E</t>
  </si>
  <si>
    <t>F</t>
  </si>
  <si>
    <t>G</t>
  </si>
  <si>
    <t>H</t>
  </si>
  <si>
    <t>J</t>
  </si>
  <si>
    <t>TOTAL OPERATING EXPENSE</t>
  </si>
  <si>
    <t>% OF OPERATING EXPENSES W/IC</t>
  </si>
  <si>
    <t>% OF OPERATING EXPENSES W/O IC</t>
  </si>
  <si>
    <t>Prince George's Hospital Center</t>
  </si>
  <si>
    <t>21-0003</t>
  </si>
  <si>
    <t>Shervon Yancey</t>
  </si>
  <si>
    <t>240-604-5309</t>
  </si>
  <si>
    <t>Shervon.Yancey@dimensionshealth.org</t>
  </si>
  <si>
    <t>Physician Subsidies</t>
  </si>
  <si>
    <t>Hospice</t>
  </si>
  <si>
    <t>MedStar Montgomery Medical Cen</t>
  </si>
  <si>
    <t>Behavioral Health Services</t>
  </si>
  <si>
    <t>Cancer Registry</t>
  </si>
  <si>
    <t>Mt. Washington Pediatric Hospital</t>
  </si>
  <si>
    <t>WeighSmart Program</t>
  </si>
  <si>
    <t xml:space="preserve">FREDERICK MEMORIAL            </t>
  </si>
  <si>
    <t>Hannah Jacobs</t>
  </si>
  <si>
    <t>240-566-3320</t>
  </si>
  <si>
    <t>hjacobs@fmh.org</t>
  </si>
  <si>
    <t>Physician Hospitalist</t>
  </si>
  <si>
    <t>Physician OB Call</t>
  </si>
  <si>
    <t>Physician ED/Surgeon Call</t>
  </si>
  <si>
    <t>Physician Anesthesia Call</t>
  </si>
  <si>
    <t>Physician Intensivist</t>
  </si>
  <si>
    <t>Physician Recruitment</t>
  </si>
  <si>
    <t>Physician Interventional Cardiology</t>
  </si>
  <si>
    <t>Physician Debt Forgiveness</t>
  </si>
  <si>
    <t>Prenatal OB Center</t>
  </si>
  <si>
    <t>Peds Hospitalist</t>
  </si>
  <si>
    <t>Case Management</t>
  </si>
  <si>
    <t>HARFORD MEMORIAL HOSPITAL</t>
  </si>
  <si>
    <t>21-0006</t>
  </si>
  <si>
    <t>CHARLES ELLY</t>
  </si>
  <si>
    <t>443-843-5736</t>
  </si>
  <si>
    <t>CELLY@UCHS.ORG</t>
  </si>
  <si>
    <t>SAFETY CHECKS</t>
  </si>
  <si>
    <t>HMH ED/BHU PHYSICIAN SUBSIDIES</t>
  </si>
  <si>
    <t>HMH ANESTHESIOLOGISTS SUBSIDIES</t>
  </si>
  <si>
    <t>Dorchester General Hospital</t>
  </si>
  <si>
    <t>0010</t>
  </si>
  <si>
    <t>Kathleen McGrath / Frank Fields</t>
  </si>
  <si>
    <t xml:space="preserve">410 822 1000 </t>
  </si>
  <si>
    <t>kfmcgrath@shorehealth.org, ffields@shorehealth.org</t>
  </si>
  <si>
    <t>DGH Anesthesia Subsidy</t>
  </si>
  <si>
    <t>DGH Emergency Room Subsidy</t>
  </si>
  <si>
    <t>SCF: SHORE SURGICAL PRACTICE SUBSIDIES</t>
  </si>
  <si>
    <t>Physician On Call Coverage</t>
  </si>
  <si>
    <t>SCF: INPATIENT PHYSICIANS DGH CONT: HOSPITALIST</t>
  </si>
  <si>
    <t>SCF: INPATIENT PSYCH PHYSICIANS DGH CONT</t>
  </si>
  <si>
    <t xml:space="preserve">BON SECOURS BALTIMORE HEALTH SYSTEM         </t>
  </si>
  <si>
    <t>Katie Eckert</t>
  </si>
  <si>
    <t>410-362-4473</t>
  </si>
  <si>
    <t>Katie_Eckert@bshsi.org</t>
  </si>
  <si>
    <t>Transportation</t>
  </si>
  <si>
    <t>Garrett County Memorial Hospital</t>
  </si>
  <si>
    <t>Sarah Trottier</t>
  </si>
  <si>
    <t>301-533-4257</t>
  </si>
  <si>
    <t>strottier@gcmh.com</t>
  </si>
  <si>
    <t>Indigent Drug Program</t>
  </si>
  <si>
    <t>Wellness Center</t>
  </si>
  <si>
    <t xml:space="preserve">PENINSULA GENERAL             </t>
  </si>
  <si>
    <t>Rita Mecca</t>
  </si>
  <si>
    <t>410-546-6400 x 4894</t>
  </si>
  <si>
    <t>rita.mecca@peninsula.org</t>
  </si>
  <si>
    <t>Pediatric Specialties</t>
  </si>
  <si>
    <t>Peninsula Partners</t>
  </si>
  <si>
    <t>Trauma On-Call</t>
  </si>
  <si>
    <t>Physician Subsidies - Hospitalists</t>
  </si>
  <si>
    <t xml:space="preserve">Physician subsidies - </t>
  </si>
  <si>
    <t>Suburban Hospital</t>
  </si>
  <si>
    <t>21-0022</t>
  </si>
  <si>
    <t>Monique Sanfuentes</t>
  </si>
  <si>
    <t>301-896-3572</t>
  </si>
  <si>
    <t>msanfuentes@suburbanhospital.org</t>
  </si>
  <si>
    <t>Medication and Treatment Support</t>
  </si>
  <si>
    <t>Technicians</t>
  </si>
  <si>
    <t>Pharmacists</t>
  </si>
  <si>
    <t>Adminstrative Residents</t>
  </si>
  <si>
    <t>Trauma On Call Coverage</t>
  </si>
  <si>
    <t>Readmissions Prevention Program</t>
  </si>
  <si>
    <t>Heartwell Program</t>
  </si>
  <si>
    <t>ENT On Call (ER)</t>
  </si>
  <si>
    <t>OB/GYN On Call (ER)</t>
  </si>
  <si>
    <t>Behav. Health On Call (ER)</t>
  </si>
  <si>
    <t>Urology On Call (ER)</t>
  </si>
  <si>
    <t>Cardiology On Call (ER)</t>
  </si>
  <si>
    <t>Anesthesiology On Call (ER)</t>
  </si>
  <si>
    <t>Hospital Intensivists</t>
  </si>
  <si>
    <t>Community Health/Health Assets Assessments</t>
  </si>
  <si>
    <t>Community Benefits Office Expenses</t>
  </si>
  <si>
    <t>Anne Arundel Medical Center</t>
  </si>
  <si>
    <t>Bob Reilly</t>
  </si>
  <si>
    <t>443-481-1308</t>
  </si>
  <si>
    <t>breilly@aahs.org</t>
  </si>
  <si>
    <t>Pharmacy Assistance Program</t>
  </si>
  <si>
    <t>AACo Fire Department EMT Supply</t>
  </si>
  <si>
    <t>Stanton Center (Prescription Assistance)</t>
  </si>
  <si>
    <t xml:space="preserve">EKG monitoring fee- EMS- AA. Co, &amp; QA Co. </t>
  </si>
  <si>
    <t>Medicaid Eligibility Support Services</t>
  </si>
  <si>
    <t>Pre-Natal Care @ Health Dept.</t>
  </si>
  <si>
    <t>Annapolis Outreach Center</t>
  </si>
  <si>
    <t>Community Health Clinic</t>
  </si>
  <si>
    <t>KI Urgent Care Facility</t>
  </si>
  <si>
    <t>Physician Recruting</t>
  </si>
  <si>
    <t>Pathways</t>
  </si>
  <si>
    <t>Anne Arundel Diagnostics</t>
  </si>
  <si>
    <t xml:space="preserve">ED Physician Uncompensated Care </t>
  </si>
  <si>
    <t>ED Call Coverage</t>
  </si>
  <si>
    <t>C92</t>
  </si>
  <si>
    <t>My Chart Electronic Records</t>
  </si>
  <si>
    <t>Patient Family Centered Care Initiative</t>
  </si>
  <si>
    <t xml:space="preserve">CBISA Software Licencing </t>
  </si>
  <si>
    <t>MedStar Union Memorial Hospita</t>
  </si>
  <si>
    <t>Hospitalists</t>
  </si>
  <si>
    <t>Renal Dialysis Services</t>
  </si>
  <si>
    <t>Western Maryland Regional Medi</t>
  </si>
  <si>
    <t>Scott Lutton</t>
  </si>
  <si>
    <t>240-964-8032</t>
  </si>
  <si>
    <t>slutton@wmhs.com</t>
  </si>
  <si>
    <t>Prescription Medications</t>
  </si>
  <si>
    <t>Other Education Support</t>
  </si>
  <si>
    <t>Organizationally Owned Urgent Care Centers Frostburg and Hunt Club</t>
  </si>
  <si>
    <t>Psychiatric Physician Practice</t>
  </si>
  <si>
    <t>Obstetric Physician Practice</t>
  </si>
  <si>
    <t>Primary Care Physician Practices</t>
  </si>
  <si>
    <t>Outpatient Dialysis and Peritoneal Dialysis</t>
  </si>
  <si>
    <t>Congestive Heart Failure Clinic</t>
  </si>
  <si>
    <t>Center for Diabetes Management</t>
  </si>
  <si>
    <t>Support for Physician Assistance of Uninsured</t>
  </si>
  <si>
    <t xml:space="preserve">MedStar St. Mary              </t>
  </si>
  <si>
    <t>Subsidized Continuing Care</t>
  </si>
  <si>
    <t>Palliative Care</t>
  </si>
  <si>
    <t>Johns Hopkins Bayview Medical Center</t>
  </si>
  <si>
    <t>0029</t>
  </si>
  <si>
    <t>Gayle Adams or Kim Moeller</t>
  </si>
  <si>
    <t>410-550-0289 or 443-997-0639</t>
  </si>
  <si>
    <t>gadams@jhmi.edu or kmoelle@jhmi.edu</t>
  </si>
  <si>
    <t>Social Work Prescriptions</t>
  </si>
  <si>
    <t xml:space="preserve">Trauma on-call </t>
  </si>
  <si>
    <t>Emergency Medicine on-call</t>
  </si>
  <si>
    <t>Wyman Park Community Services</t>
  </si>
  <si>
    <t>Teaching Community Education</t>
  </si>
  <si>
    <t>Baltimore Medical System (BMS)</t>
  </si>
  <si>
    <t>Health Education &amp; Social Services</t>
  </si>
  <si>
    <t>TAP</t>
  </si>
  <si>
    <t>Other On-call Coverage</t>
  </si>
  <si>
    <t>Health Leads</t>
  </si>
  <si>
    <t>Live Near Your Work</t>
  </si>
  <si>
    <t>CHESTER RIVER HOSPITAL CENTER, INC.</t>
  </si>
  <si>
    <t>Kathleen McGrath/Frank Fields</t>
  </si>
  <si>
    <t>410.822.1000</t>
  </si>
  <si>
    <t>kfmcgrath@shorehealth.org</t>
  </si>
  <si>
    <t>Health Professionals Programs</t>
  </si>
  <si>
    <t>Coumadin Clinic</t>
  </si>
  <si>
    <t>Hospitalist Program</t>
  </si>
  <si>
    <t>Emergency Physician Coverage</t>
  </si>
  <si>
    <t xml:space="preserve">Primary Care </t>
  </si>
  <si>
    <t>Surgical Support Coverage</t>
  </si>
  <si>
    <t>Congetive Heart Failure CHF Program</t>
  </si>
  <si>
    <t>Anesthesiolgy</t>
  </si>
  <si>
    <t>UNION HOSPITAL  OF CECIL COUNT</t>
  </si>
  <si>
    <t>Jean-Marie Donahoo</t>
  </si>
  <si>
    <t>443-674-1290</t>
  </si>
  <si>
    <t>jmdonahoo@uhcc.com</t>
  </si>
  <si>
    <t>Social and Environmental Improvements</t>
  </si>
  <si>
    <t>Carroll Hospital Center</t>
  </si>
  <si>
    <t>21-0033</t>
  </si>
  <si>
    <t>Selena Brewer</t>
  </si>
  <si>
    <t>410-871-7251</t>
  </si>
  <si>
    <t>sbrewer@CarrollHospitalCenter.org</t>
  </si>
  <si>
    <t>Interpreter Services</t>
  </si>
  <si>
    <t>Forensic Nurse Examiner Program</t>
  </si>
  <si>
    <t>Job Shadow</t>
  </si>
  <si>
    <t>Access Carroll - free medical practice</t>
  </si>
  <si>
    <t>Physician Support</t>
  </si>
  <si>
    <t xml:space="preserve">MedStar Harbor Hospital       </t>
  </si>
  <si>
    <t>Civista Medical Center</t>
  </si>
  <si>
    <t>Erik Boas</t>
  </si>
  <si>
    <t>301-609-5163</t>
  </si>
  <si>
    <t>eboas@umm.edu</t>
  </si>
  <si>
    <t>Other- Partnerships for a Healthier Charles Cunty</t>
  </si>
  <si>
    <t>Other- Volunteer Program</t>
  </si>
  <si>
    <t>Emergency &amp; Trauma Services</t>
  </si>
  <si>
    <t>Other- Adult Hospitalist Program, Anesthesiology Services, Patholgy Services &amp; Surgical Physician practices</t>
  </si>
  <si>
    <t>Women's &amp; Children's Services</t>
  </si>
  <si>
    <t>Community Benefit Reporter Hours</t>
  </si>
  <si>
    <t>Memorial Hospital at Easton</t>
  </si>
  <si>
    <t>Shore Wellness Partners</t>
  </si>
  <si>
    <t>Antithrombosis Clinic</t>
  </si>
  <si>
    <t xml:space="preserve">MHE Anesthesia Physician Subsidy </t>
  </si>
  <si>
    <t>MHE ER Physician Subsidy</t>
  </si>
  <si>
    <t>Physician Recruitment Professional Services Development</t>
  </si>
  <si>
    <t>SCF: INPATIENT PHYSICIANS MHE CONT: HOSPITALIST</t>
  </si>
  <si>
    <t>RCC: CHEMOTHERAPY CLINIC SUBSIDIES</t>
  </si>
  <si>
    <t>SCF: SPECIALTY OTHER SUBSIDIES</t>
  </si>
  <si>
    <t>Outpatient Onclogy Social Service</t>
  </si>
  <si>
    <t>University of Maryland Medical Center - Midtown Campus (formerly Maryland General)</t>
  </si>
  <si>
    <t>0038</t>
  </si>
  <si>
    <t>Garet Howard</t>
  </si>
  <si>
    <t>410-225-8218</t>
  </si>
  <si>
    <t>glhoward@umm.edu</t>
  </si>
  <si>
    <t>Red Cross Blood Drives</t>
  </si>
  <si>
    <t>Take a Loved One to the Doctor Day</t>
  </si>
  <si>
    <t>Student Mentor Program with Dr. Schwartz</t>
  </si>
  <si>
    <t>Hospital Operation Mentor Program</t>
  </si>
  <si>
    <t>Medical Library</t>
  </si>
  <si>
    <t>Community Health Education Center</t>
  </si>
  <si>
    <t>Cell Phone Donations - House of Ruth</t>
  </si>
  <si>
    <t>University of Maryland Baltimore Washington Medical Center</t>
  </si>
  <si>
    <t>Kim Davidson</t>
  </si>
  <si>
    <t>410-787-4391</t>
  </si>
  <si>
    <t>kdavdson@bwmc.umms.org</t>
  </si>
  <si>
    <t>Partial Hospitalization Program/Inpatient Psychiatry</t>
  </si>
  <si>
    <t xml:space="preserve">G.B.M.C.                      </t>
  </si>
  <si>
    <t xml:space="preserve"> Michael Myers</t>
  </si>
  <si>
    <t>443-849-4328</t>
  </si>
  <si>
    <t>mmyers@gbmc.org</t>
  </si>
  <si>
    <t xml:space="preserve">Emergency Specialty Services Subsidies </t>
  </si>
  <si>
    <t>Administration of Charity Care</t>
  </si>
  <si>
    <t xml:space="preserve">Senior Services Geriatric Nurse Practitioner </t>
  </si>
  <si>
    <t>Women's Services OB Clinic</t>
  </si>
  <si>
    <t>Howard County General Hospital</t>
  </si>
  <si>
    <t>21-0048</t>
  </si>
  <si>
    <t>Fran Moll</t>
  </si>
  <si>
    <t>443-997-0627</t>
  </si>
  <si>
    <t>fmoll1@jhmi.edu</t>
  </si>
  <si>
    <t>Physicians Subsidies - ED On-Call</t>
  </si>
  <si>
    <t>Physicians Subsidies - Psych ED/IP</t>
  </si>
  <si>
    <t>Physicians Subsidies - Otolaryngology On-Call</t>
  </si>
  <si>
    <t>Physicians Subsidies - IVC On-Call</t>
  </si>
  <si>
    <t>Physicians Subsidies - Anesthesia On-Call</t>
  </si>
  <si>
    <t>Physicians Subsidies - OB/GYN ED/IP</t>
  </si>
  <si>
    <t>Physicians Subsidies - Cardiology On-Call</t>
  </si>
  <si>
    <t>Physicians Subsidies - Perinatology On-Call</t>
  </si>
  <si>
    <t>Hospitalist</t>
  </si>
  <si>
    <t>Agewell Grant</t>
  </si>
  <si>
    <t>Healthy Families, Howard County (HFHC)</t>
  </si>
  <si>
    <t>UPPER CHESAPEAKE MEDICAL CENTER</t>
  </si>
  <si>
    <t>21-0049</t>
  </si>
  <si>
    <t xml:space="preserve">SAFETY CHECKS </t>
  </si>
  <si>
    <t>UCMC  ED PHYSICIAN SUBSIDIES</t>
  </si>
  <si>
    <t>UCMC ANESTHESIOLOGISTS SUBSIDIES</t>
  </si>
  <si>
    <t>Docotrs Community Hospital</t>
  </si>
  <si>
    <t>21-0051</t>
  </si>
  <si>
    <t>Mary P. Dudley</t>
  </si>
  <si>
    <t>301-552-8601</t>
  </si>
  <si>
    <t>MDudley@dchweb.org</t>
  </si>
  <si>
    <t xml:space="preserve">Transitional Care/reducing readmission rate </t>
  </si>
  <si>
    <t>Laurel Regional Hospital</t>
  </si>
  <si>
    <t>21-0055</t>
  </si>
  <si>
    <t>Blood Drive</t>
  </si>
  <si>
    <t>Fort Washington Medicare Center, Inc.</t>
  </si>
  <si>
    <t>Judy Mitchell</t>
  </si>
  <si>
    <t>301-686-9010</t>
  </si>
  <si>
    <t>jmitchell@nexushealth.org</t>
  </si>
  <si>
    <t>Ultrasound Students</t>
  </si>
  <si>
    <t>Other Health Professionals-HIMS Interns</t>
  </si>
  <si>
    <t>TNCC-TRAUMA, HAZMAT-DECONT, ADVANCE CARDIAC LIFE SUPPORT, CEN, NIMS-300</t>
  </si>
  <si>
    <t>Informatics</t>
  </si>
  <si>
    <t>Partnered with Washington Regional Transplant Community</t>
  </si>
  <si>
    <t>Tissue, Organs, Bone Transplants Donors(Retrieval)</t>
  </si>
  <si>
    <t>Medstar Southern Maryland Hosp</t>
  </si>
  <si>
    <t>Saint Joseph Medical Center</t>
  </si>
  <si>
    <t>21-0007</t>
  </si>
  <si>
    <t>Clinics for underinsured and uninsured persons</t>
  </si>
  <si>
    <t>Other Community Health Services</t>
  </si>
  <si>
    <t>Anesthesia</t>
  </si>
  <si>
    <t>Specialty Care</t>
  </si>
  <si>
    <t>Emergency Dept</t>
  </si>
  <si>
    <t>Mental Health</t>
  </si>
  <si>
    <t>Primary Care</t>
  </si>
  <si>
    <t>Women's Health Associates</t>
  </si>
  <si>
    <t>Tumor Registry</t>
  </si>
  <si>
    <t>Internship Program</t>
  </si>
  <si>
    <t>MedStar Good Samaritan Hospita</t>
  </si>
  <si>
    <t>lauren.rose@medstar.net</t>
  </si>
  <si>
    <t>Grant Writing</t>
  </si>
  <si>
    <t>The Johns Hopkins Hospital</t>
  </si>
  <si>
    <t>0009</t>
  </si>
  <si>
    <t>Sharon Tiebert-Maddox</t>
  </si>
  <si>
    <t>443-287-9900</t>
  </si>
  <si>
    <t>tiebert@jhu.edu</t>
  </si>
  <si>
    <t>Communiity Health Services - Other</t>
  </si>
  <si>
    <t xml:space="preserve">Health Professions </t>
  </si>
  <si>
    <t>CPP Case Management</t>
  </si>
  <si>
    <t>Broadway Center IOP/OP Grant</t>
  </si>
  <si>
    <t>Wilson House</t>
  </si>
  <si>
    <t>Homeless Outreach Services Team - HOST</t>
  </si>
  <si>
    <t>Geriatric Psych Day Hospital Patient Transportation</t>
  </si>
  <si>
    <t>Eating Disorders Day Hospital Supportive Housing</t>
  </si>
  <si>
    <t>Schizophrenia Day Hospital Housing</t>
  </si>
  <si>
    <t>Supportive Housing for Male Substance Abuse Patients</t>
  </si>
  <si>
    <t>Pain Treatment Day Hospital Housing</t>
  </si>
  <si>
    <t>Mission Driven - Other</t>
  </si>
  <si>
    <t>Community Building Activities - Other</t>
  </si>
  <si>
    <t>Office Expense</t>
  </si>
  <si>
    <t>Sinai Hospital</t>
  </si>
  <si>
    <t>Julie Sessa</t>
  </si>
  <si>
    <t>410-601-7238</t>
  </si>
  <si>
    <t>jsessa@lifebridgehealth.org</t>
  </si>
  <si>
    <t>Anesthesia Subsidy</t>
  </si>
  <si>
    <t>Primary Care Services</t>
  </si>
  <si>
    <t>Emergency Services</t>
  </si>
  <si>
    <t>Radiology Services</t>
  </si>
  <si>
    <t>NICU Subsidy</t>
  </si>
  <si>
    <t>Physician Charity Care</t>
  </si>
  <si>
    <t>Holy Cross Hospital</t>
  </si>
  <si>
    <t>Kimberley McBride</t>
  </si>
  <si>
    <t>301-754-7149</t>
  </si>
  <si>
    <t>mcbrik@holycrosshealth.org</t>
  </si>
  <si>
    <t>Pharmacy Programs</t>
  </si>
  <si>
    <t>Coverage of Emergency Department Calls</t>
  </si>
  <si>
    <t>Non-Resident House Staff and Hospitalists</t>
  </si>
  <si>
    <t>Medical Directors for Programs for the Uninsured</t>
  </si>
  <si>
    <t>Anesthesiologists</t>
  </si>
  <si>
    <t>Health Care Clinics for the Uninsured</t>
  </si>
  <si>
    <t>Pedicatric Attending Physcians for Unisured</t>
  </si>
  <si>
    <t>Outpatient Lactation Services - Breast Pump Rental for Uninsured</t>
  </si>
  <si>
    <t>Medical Adult Day Care</t>
  </si>
  <si>
    <t>Komen K-Camp</t>
  </si>
  <si>
    <t>Cost fo Fundraising for Hospital Sponsored Community Benefit Programming</t>
  </si>
  <si>
    <t>Mercy Medical Center, Inc</t>
  </si>
  <si>
    <t>#0008</t>
  </si>
  <si>
    <t>3419</t>
  </si>
  <si>
    <t>Justin Deibel</t>
  </si>
  <si>
    <t>410-659-2905</t>
  </si>
  <si>
    <t>jdeibel@mdmercy.com</t>
  </si>
  <si>
    <t>Charity Perscriptions</t>
  </si>
  <si>
    <t>ED Physician Loss</t>
  </si>
  <si>
    <t>PA Support for Charity Services</t>
  </si>
  <si>
    <t>OB Coverage</t>
  </si>
  <si>
    <t>Healthcare for the Homeless</t>
  </si>
  <si>
    <t>SAFE Program</t>
  </si>
  <si>
    <t>Psych Coverage</t>
  </si>
  <si>
    <t xml:space="preserve">Washington Adventist Hospital </t>
  </si>
  <si>
    <t>210016</t>
  </si>
  <si>
    <t>1,452</t>
  </si>
  <si>
    <t>Raquel Samuels</t>
  </si>
  <si>
    <t>301-315-3283</t>
  </si>
  <si>
    <t>rsamuels@adventisthealthcare.com</t>
  </si>
  <si>
    <t>Immunizations</t>
  </si>
  <si>
    <t>Hospital Based Physicians</t>
  </si>
  <si>
    <t>Non-Residential House Staff and Hospitalists</t>
  </si>
  <si>
    <t>Coverage of ED On Call</t>
  </si>
  <si>
    <t>Physician Provision of Financial Assistance</t>
  </si>
  <si>
    <t>Recruitment of Physicians to Meet Community Needs</t>
  </si>
  <si>
    <t>Disaster Preparedness</t>
  </si>
  <si>
    <t>Fundraising support</t>
  </si>
  <si>
    <t>Board Community Involvement</t>
  </si>
  <si>
    <t xml:space="preserve">Calvert Memorial Hospital </t>
  </si>
  <si>
    <t>Margaret Fowler</t>
  </si>
  <si>
    <t>410 414-4573</t>
  </si>
  <si>
    <t>mfowler@cmhlink.org</t>
  </si>
  <si>
    <t>Student Job Shadowing</t>
  </si>
  <si>
    <t>Urgent Care Service Centers</t>
  </si>
  <si>
    <t>Health Care Clinic Services</t>
  </si>
  <si>
    <t>Transitional Care Unit (SNF)Services</t>
  </si>
  <si>
    <t>Hospital Emergency &amp; Behavioral Health S</t>
  </si>
  <si>
    <t>Acute Care &amp; Pediatric Hospitalist Progr</t>
  </si>
  <si>
    <t>Intensive Care Unit Call Coverage</t>
  </si>
  <si>
    <t>Other Ancillary Call Coverage Services</t>
  </si>
  <si>
    <t>Physician Subsidies Fulfilling Health Ca</t>
  </si>
  <si>
    <t>Northwest Hospital</t>
  </si>
  <si>
    <t>ER Subsidy</t>
  </si>
  <si>
    <t>FY 2012 COMMUNITY BENEFIT INVENTORY SPREADSHEET</t>
  </si>
  <si>
    <t>Atlantic General Hospital</t>
  </si>
  <si>
    <t>Bruce Todd</t>
  </si>
  <si>
    <t>410-641-9095</t>
  </si>
  <si>
    <t>mtodd@atlanticgeneral.org</t>
  </si>
  <si>
    <t xml:space="preserve">Mental Healt </t>
  </si>
  <si>
    <t>Pallative Care</t>
  </si>
  <si>
    <t>Dibetes</t>
  </si>
  <si>
    <t>Physician Losses for underderved population</t>
  </si>
  <si>
    <t>SAFE program</t>
  </si>
  <si>
    <t>University of Maryland Rehabilitation &amp; Orthopaedic Instittue</t>
  </si>
  <si>
    <t>Cindy Kelleher</t>
  </si>
  <si>
    <t>410-448-6447</t>
  </si>
  <si>
    <t>ckelleher@umm,edu</t>
  </si>
  <si>
    <t>Brain Injury Assoc. of MD</t>
  </si>
  <si>
    <t>Free Medication or Medication Subsidies</t>
  </si>
  <si>
    <t>Student Volunteers</t>
  </si>
  <si>
    <t xml:space="preserve">Adjusted Adapted  Sports </t>
  </si>
  <si>
    <t>Sports / Teams</t>
  </si>
  <si>
    <t xml:space="preserve">UMMS CHOA </t>
  </si>
  <si>
    <t>Athletic Trainers</t>
  </si>
  <si>
    <t>Community Health Assessments</t>
  </si>
  <si>
    <t xml:space="preserve">Shady Grove Adventist Hospital </t>
  </si>
  <si>
    <t>210057</t>
  </si>
  <si>
    <t>Other Health Professional Education</t>
  </si>
  <si>
    <t>Germantown Emergency</t>
  </si>
  <si>
    <t>Disaster Prepardness</t>
  </si>
  <si>
    <t>Community Benefit Category</t>
  </si>
  <si>
    <t>Number of Staff Hours</t>
  </si>
  <si>
    <t>Percent of Total CB Expenditures</t>
  </si>
  <si>
    <t>Percent of Total CB Expenditures w/o Rate Support</t>
  </si>
  <si>
    <t>Unreimbursed Medicaid Cost</t>
  </si>
  <si>
    <t>MedStar Franklin Square Medical</t>
  </si>
  <si>
    <t>Cancer Research</t>
  </si>
  <si>
    <t>Physician Community Services ($11,117,377) + Accountable Care Organization($45,000)</t>
  </si>
  <si>
    <t xml:space="preserve">Other  </t>
  </si>
  <si>
    <t>F64,</t>
  </si>
  <si>
    <t>F64</t>
  </si>
  <si>
    <t>Mt. Washington Pediatric</t>
  </si>
  <si>
    <t>Hospital</t>
  </si>
  <si>
    <t>UM- Midtown</t>
  </si>
  <si>
    <t>#</t>
  </si>
  <si>
    <t>UM-Rehab &amp; Ortho</t>
  </si>
  <si>
    <t>Average</t>
  </si>
  <si>
    <t>%</t>
  </si>
  <si>
    <t>Meritus</t>
    <phoneticPr fontId="1" type="noConversion"/>
  </si>
  <si>
    <t>University of MD</t>
    <phoneticPr fontId="1" type="noConversion"/>
  </si>
  <si>
    <t>Prince Georges Hospital</t>
    <phoneticPr fontId="1" type="noConversion"/>
  </si>
  <si>
    <t>Holy Cross</t>
    <phoneticPr fontId="1" type="noConversion"/>
  </si>
  <si>
    <t>Frederick</t>
    <phoneticPr fontId="1" type="noConversion"/>
  </si>
  <si>
    <t>UCH- Harford</t>
    <phoneticPr fontId="1" type="noConversion"/>
  </si>
  <si>
    <t>St Joseph Med Center</t>
    <phoneticPr fontId="1" type="noConversion"/>
  </si>
  <si>
    <t>Mercy</t>
    <phoneticPr fontId="1" type="noConversion"/>
  </si>
  <si>
    <t>Johns Hopkins</t>
    <phoneticPr fontId="1" type="noConversion"/>
  </si>
  <si>
    <t>Shore Health Dorchester</t>
    <phoneticPr fontId="1" type="noConversion"/>
  </si>
  <si>
    <t>St Agnes</t>
    <phoneticPr fontId="1" type="noConversion"/>
  </si>
  <si>
    <t>Sinai</t>
    <phoneticPr fontId="1" type="noConversion"/>
  </si>
  <si>
    <t>Bon Secours</t>
    <phoneticPr fontId="1" type="noConversion"/>
  </si>
  <si>
    <t>Franklin Square</t>
    <phoneticPr fontId="1" type="noConversion"/>
  </si>
  <si>
    <t>Washington Adventist</t>
    <phoneticPr fontId="1" type="noConversion"/>
  </si>
  <si>
    <t>Garrett County Memorial</t>
    <phoneticPr fontId="1" type="noConversion"/>
  </si>
  <si>
    <t>Mongomery General</t>
    <phoneticPr fontId="1" type="noConversion"/>
  </si>
  <si>
    <t>Pennisula General</t>
    <phoneticPr fontId="1" type="noConversion"/>
  </si>
  <si>
    <t>Suburban Hospital</t>
    <phoneticPr fontId="1" type="noConversion"/>
  </si>
  <si>
    <t>Anne Arundel</t>
    <phoneticPr fontId="1" type="noConversion"/>
  </si>
  <si>
    <t>Union Memorial</t>
    <phoneticPr fontId="1" type="noConversion"/>
  </si>
  <si>
    <t>Western MD Regional</t>
    <phoneticPr fontId="1" type="noConversion"/>
  </si>
  <si>
    <t>St. Mary's</t>
    <phoneticPr fontId="1" type="noConversion"/>
  </si>
  <si>
    <t>Bayview- Johns Hopkins</t>
    <phoneticPr fontId="1" type="noConversion"/>
  </si>
  <si>
    <t>Chester River</t>
    <phoneticPr fontId="1" type="noConversion"/>
  </si>
  <si>
    <t>Union Hospital Cecil</t>
    <phoneticPr fontId="1" type="noConversion"/>
  </si>
  <si>
    <t>Harbor</t>
    <phoneticPr fontId="1" type="noConversion"/>
  </si>
  <si>
    <t>Charles Regional (Civista)</t>
    <phoneticPr fontId="1" type="noConversion"/>
  </si>
  <si>
    <t>Shore Health Easton</t>
    <phoneticPr fontId="1" type="noConversion"/>
  </si>
  <si>
    <t>UMD Midtown (MD General)</t>
    <phoneticPr fontId="1" type="noConversion"/>
  </si>
  <si>
    <t>Calvert Menorial</t>
    <phoneticPr fontId="1" type="noConversion"/>
  </si>
  <si>
    <t>Northwest Hospital</t>
    <phoneticPr fontId="1" type="noConversion"/>
  </si>
  <si>
    <t>UMD Baltimore washington</t>
    <phoneticPr fontId="1" type="noConversion"/>
  </si>
  <si>
    <t>GBMC</t>
    <phoneticPr fontId="1" type="noConversion"/>
  </si>
  <si>
    <t xml:space="preserve">McCready Memorial </t>
    <phoneticPr fontId="1" type="noConversion"/>
  </si>
  <si>
    <t>Howard County</t>
    <phoneticPr fontId="1" type="noConversion"/>
  </si>
  <si>
    <t>UCH-Upper Cheasapeake</t>
    <phoneticPr fontId="1" type="noConversion"/>
  </si>
  <si>
    <t>Doctors Community</t>
    <phoneticPr fontId="1" type="noConversion"/>
  </si>
  <si>
    <t>Southern MD</t>
    <phoneticPr fontId="1" type="noConversion"/>
  </si>
  <si>
    <t>Laurel Regional</t>
    <phoneticPr fontId="1" type="noConversion"/>
  </si>
  <si>
    <t>Fort Washington</t>
    <phoneticPr fontId="1" type="noConversion"/>
  </si>
  <si>
    <t>Atlantic General</t>
    <phoneticPr fontId="1" type="noConversion"/>
  </si>
  <si>
    <t>UMD Rehab &amp; Ortho Inst (Kernan)</t>
    <phoneticPr fontId="1" type="noConversion"/>
  </si>
  <si>
    <t>Good Samaritan</t>
    <phoneticPr fontId="1" type="noConversion"/>
  </si>
  <si>
    <t>Shady Grove Adventist</t>
    <phoneticPr fontId="1" type="noConversion"/>
  </si>
  <si>
    <t>Mt Washington Pediatric</t>
    <phoneticPr fontId="1" type="noConversion"/>
  </si>
  <si>
    <t>AVERAGE</t>
  </si>
  <si>
    <t>Other Loyola Pastoral Counseling Intern Program</t>
  </si>
  <si>
    <t>Hospital #</t>
    <phoneticPr fontId="1" type="noConversion"/>
  </si>
  <si>
    <t>Hospital Name</t>
    <phoneticPr fontId="1" type="noConversion"/>
  </si>
  <si>
    <t xml:space="preserve">Total Score (out of 209pts) </t>
    <phoneticPr fontId="1" type="noConversion"/>
  </si>
  <si>
    <t>Section I General Hospital Deomgraphics/ Charateristics  Queston 2a+2b (total 12pts)</t>
    <phoneticPr fontId="1" type="noConversion"/>
  </si>
  <si>
    <t xml:space="preserve">Section I Question 2a (0-6pts) </t>
    <phoneticPr fontId="1" type="noConversion"/>
  </si>
  <si>
    <t xml:space="preserve">Section I Question 2b (0-6pts) </t>
    <phoneticPr fontId="1" type="noConversion"/>
  </si>
  <si>
    <t>Section II Community Health Needs Assessment  Question (total 90pts)</t>
    <phoneticPr fontId="1" type="noConversion"/>
  </si>
  <si>
    <t>Section II Question 1 (1-70pts)</t>
    <phoneticPr fontId="1" type="noConversion"/>
  </si>
  <si>
    <t>Section II Question 2(20pts)</t>
    <phoneticPr fontId="1" type="noConversion"/>
  </si>
  <si>
    <t>Section III Community Benefit Administration (32pts total)</t>
    <phoneticPr fontId="1" type="noConversion"/>
  </si>
  <si>
    <t>Section III Question 1a (5pts)</t>
    <phoneticPr fontId="1" type="noConversion"/>
  </si>
  <si>
    <t>Section III Question 1bi (5pts)</t>
    <phoneticPr fontId="1" type="noConversion"/>
  </si>
  <si>
    <t>Section III Question 1bii (5pts)</t>
    <phoneticPr fontId="1" type="noConversion"/>
  </si>
  <si>
    <t>Section III Question 1biii (5pts)</t>
    <phoneticPr fontId="1" type="noConversion"/>
  </si>
  <si>
    <t>Section III Question ci (3pts)</t>
    <phoneticPr fontId="1" type="noConversion"/>
  </si>
  <si>
    <t>Section III Question cii (3pts)</t>
    <phoneticPr fontId="1" type="noConversion"/>
  </si>
  <si>
    <t>Section III Question di (3pts)</t>
    <phoneticPr fontId="1" type="noConversion"/>
  </si>
  <si>
    <t>SectionIII Question dii (3pts)</t>
    <phoneticPr fontId="1" type="noConversion"/>
  </si>
  <si>
    <t>Section IV Hospital Community Benefit Program &amp; Initiatives (50 pts total)</t>
    <phoneticPr fontId="1" type="noConversion"/>
  </si>
  <si>
    <t>Secction IV Question 1a (0-20pts)</t>
    <phoneticPr fontId="1" type="noConversion"/>
  </si>
  <si>
    <t>Section IV Question 1b (0-20pts)</t>
    <phoneticPr fontId="1" type="noConversion"/>
  </si>
  <si>
    <t>Section IV Question 2 (0-10pts)</t>
    <phoneticPr fontId="1" type="noConversion"/>
  </si>
  <si>
    <t>Section V Physicians (5pts)</t>
    <phoneticPr fontId="1" type="noConversion"/>
  </si>
  <si>
    <t>SectionV Subsidies detailed (Yes/No)</t>
    <phoneticPr fontId="1" type="noConversion"/>
  </si>
  <si>
    <t>Section VI Appendicies (20pts)</t>
    <phoneticPr fontId="1" type="noConversion"/>
  </si>
  <si>
    <t>SectionVI Question 1a (5pts)</t>
    <phoneticPr fontId="1" type="noConversion"/>
  </si>
  <si>
    <t>Section Vi Question 1b (5pts)</t>
    <phoneticPr fontId="1" type="noConversion"/>
  </si>
  <si>
    <t>Section VI Question 1c (5pts)</t>
    <phoneticPr fontId="1" type="noConversion"/>
  </si>
  <si>
    <t>Section VI Question 2a (5pts)</t>
    <phoneticPr fontId="1" type="noConversion"/>
  </si>
  <si>
    <t>y</t>
    <phoneticPr fontId="1" type="noConversion"/>
  </si>
  <si>
    <t>n</t>
    <phoneticPr fontId="1" type="noConversion"/>
  </si>
  <si>
    <t>y</t>
    <phoneticPr fontId="1" type="noConversion"/>
  </si>
  <si>
    <t>na</t>
    <phoneticPr fontId="1" type="noConversion"/>
  </si>
  <si>
    <t xml:space="preserve">McCready Memorial </t>
    <phoneticPr fontId="1" type="noConversion"/>
  </si>
  <si>
    <t>n</t>
    <phoneticPr fontId="1" type="noConversion"/>
  </si>
  <si>
    <t>averages</t>
    <phoneticPr fontId="1" type="noConversion"/>
  </si>
  <si>
    <t>y</t>
  </si>
  <si>
    <t>n</t>
  </si>
  <si>
    <t>evaluater</t>
  </si>
  <si>
    <t>MHA</t>
  </si>
  <si>
    <t>UMD Baltimore Washington</t>
  </si>
  <si>
    <t>HSCRC</t>
  </si>
  <si>
    <t>FY13</t>
  </si>
  <si>
    <t>Uncompensated Care Amounts In Rates For Maryland Hospitals In FY 2013</t>
  </si>
  <si>
    <t>P4</t>
  </si>
  <si>
    <t>University</t>
  </si>
  <si>
    <t>PGHC</t>
  </si>
  <si>
    <t>Hopkins</t>
  </si>
  <si>
    <t>Bayview</t>
  </si>
  <si>
    <t>Harbor</t>
  </si>
  <si>
    <t>Midtown</t>
  </si>
  <si>
    <t>% change</t>
  </si>
  <si>
    <t>P5</t>
  </si>
  <si>
    <t>change</t>
  </si>
  <si>
    <t xml:space="preserve">NSPI FY13 Evaluation </t>
  </si>
  <si>
    <t>HOSPID</t>
  </si>
  <si>
    <t>Committee Recom.</t>
  </si>
  <si>
    <t xml:space="preserve">University of Maryland Medical Center                 </t>
  </si>
  <si>
    <t xml:space="preserve">Prince George's Hospital Center               </t>
  </si>
  <si>
    <t xml:space="preserve">Holy Cross Hospital                  </t>
  </si>
  <si>
    <t xml:space="preserve">Frederick Memorial Hospital            </t>
  </si>
  <si>
    <t xml:space="preserve">Harford Memorial Hospital            </t>
  </si>
  <si>
    <t xml:space="preserve">Saint Josephs Medical Center       </t>
  </si>
  <si>
    <t xml:space="preserve">Mercy Medical Center                </t>
  </si>
  <si>
    <t xml:space="preserve">Johns Hopkins Hospital                 </t>
  </si>
  <si>
    <t xml:space="preserve">Dorchester General Hospital           </t>
  </si>
  <si>
    <t xml:space="preserve">Saint Agnes Hospital                  </t>
  </si>
  <si>
    <t xml:space="preserve">Sinai Hospital                   </t>
  </si>
  <si>
    <t xml:space="preserve">Bon Secours Hospital                 </t>
  </si>
  <si>
    <t xml:space="preserve">Franklin Square Hospital Center            </t>
  </si>
  <si>
    <t xml:space="preserve">Washington Adventist Hospital               </t>
  </si>
  <si>
    <t xml:space="preserve">Garrett County Memorial Hospital               </t>
  </si>
  <si>
    <t xml:space="preserve">Montgomery General Hospital           </t>
  </si>
  <si>
    <t xml:space="preserve">Peninsula Regional Hospital           </t>
  </si>
  <si>
    <t xml:space="preserve">Suburban Hospital                    </t>
  </si>
  <si>
    <t xml:space="preserve">Anne Arundel Medical Center                 </t>
  </si>
  <si>
    <t xml:space="preserve">Union Memorial Hospital               </t>
  </si>
  <si>
    <t xml:space="preserve">Western Maryland        </t>
  </si>
  <si>
    <t xml:space="preserve">Saint Mary's Hospital                  </t>
  </si>
  <si>
    <t xml:space="preserve">Johns Hopkins Bayview Medical Center        </t>
  </si>
  <si>
    <t xml:space="preserve">Chester River Hospital                </t>
  </si>
  <si>
    <t xml:space="preserve">Harbor Hospital Center              </t>
  </si>
  <si>
    <t xml:space="preserve">Civista Medical Center                </t>
  </si>
  <si>
    <t xml:space="preserve">Memorial Hospital at Easton            </t>
  </si>
  <si>
    <t xml:space="preserve">Maryland General Hospital             </t>
  </si>
  <si>
    <t xml:space="preserve">Calvert Memorial Hospital             </t>
  </si>
  <si>
    <t xml:space="preserve">Northwest Hospital Center                    </t>
  </si>
  <si>
    <t>Baltimore Washington Medical Center</t>
  </si>
  <si>
    <t xml:space="preserve">G.B.M.C                       </t>
  </si>
  <si>
    <t xml:space="preserve">McCready Hospital                     </t>
  </si>
  <si>
    <t xml:space="preserve">Howard County General Hospital                </t>
  </si>
  <si>
    <t xml:space="preserve">Upper Chesapeake Medical Center             </t>
  </si>
  <si>
    <t xml:space="preserve">Doctors Community Hospital       </t>
  </si>
  <si>
    <t xml:space="preserve">Southern Maryland Hospital Center             </t>
  </si>
  <si>
    <t xml:space="preserve">Laurel Regional Hospital              </t>
  </si>
  <si>
    <t xml:space="preserve">Fort Washington medical Center               </t>
  </si>
  <si>
    <t xml:space="preserve">Atlantic General Hospital                 </t>
  </si>
  <si>
    <t xml:space="preserve">Kernan Hospital                       </t>
  </si>
  <si>
    <t xml:space="preserve">Good Samaritan Hospital               </t>
  </si>
  <si>
    <t xml:space="preserve">Shady Grove Adventist Hospital                  </t>
  </si>
  <si>
    <t>Levindale</t>
  </si>
  <si>
    <t>Adventist Rehab.</t>
  </si>
  <si>
    <t>Mt. Washington</t>
  </si>
  <si>
    <t>Sheppard Pratt</t>
  </si>
  <si>
    <t xml:space="preserve">University MIEMSS             </t>
  </si>
  <si>
    <t xml:space="preserve">University UMCC               </t>
  </si>
  <si>
    <t>DME FY2012</t>
  </si>
  <si>
    <t>MERITUS</t>
  </si>
  <si>
    <t>UNIVERSITY OF MD.</t>
  </si>
  <si>
    <t>PRINCE GEORGES HOSP.</t>
  </si>
  <si>
    <t>HOLY CROSS</t>
  </si>
  <si>
    <t>FREDERICK MEM.</t>
  </si>
  <si>
    <t>HARFORD MEM.</t>
  </si>
  <si>
    <t>ST. JOSEPH'S</t>
  </si>
  <si>
    <t>MERCY</t>
  </si>
  <si>
    <t>JOHNS HOPKINS</t>
  </si>
  <si>
    <t>DORCHESTER GEN.</t>
  </si>
  <si>
    <t>ST. AGNES</t>
  </si>
  <si>
    <t>SINAI</t>
  </si>
  <si>
    <t>BON SECOURS</t>
  </si>
  <si>
    <t>FRANKLIN SQUARE</t>
  </si>
  <si>
    <t>WASHINGTON ADV.</t>
  </si>
  <si>
    <t>GARRETT CO.</t>
  </si>
  <si>
    <t>MONTGOMERY GEN.</t>
  </si>
  <si>
    <t>PENINSULA GEN.</t>
  </si>
  <si>
    <t>SUBURBAN</t>
  </si>
  <si>
    <t>ANNE ARUNDEL GEN.</t>
  </si>
  <si>
    <t>UNION MEM.</t>
  </si>
  <si>
    <t>WESTERN MARYLAND</t>
  </si>
  <si>
    <t>ST. MARY'S</t>
  </si>
  <si>
    <t>BAYVIEW</t>
  </si>
  <si>
    <t>CHESTER RIVER</t>
  </si>
  <si>
    <t>UNION OF CECIL</t>
  </si>
  <si>
    <t>CARROLL CO. GEN.</t>
  </si>
  <si>
    <t>HARBOR HOSP.</t>
  </si>
  <si>
    <t>CIVISTA</t>
  </si>
  <si>
    <t>MEM. EASTON</t>
  </si>
  <si>
    <t>MARYLAND GEN.</t>
  </si>
  <si>
    <t>CALVERT MEMORIAL</t>
  </si>
  <si>
    <t>NORTHWEST</t>
  </si>
  <si>
    <t>BALTIMORE/WASHINGTON</t>
  </si>
  <si>
    <t>G.B.M.C.</t>
  </si>
  <si>
    <t>MCCREADY</t>
  </si>
  <si>
    <t>HOWARD CO. GEN.</t>
  </si>
  <si>
    <t>UPPER CHESAPEAKE</t>
  </si>
  <si>
    <t>DR'S COMMUNITY HOSP.</t>
  </si>
  <si>
    <t>SOUTHERN MD.</t>
  </si>
  <si>
    <t>LAUREL REGIONAL</t>
  </si>
  <si>
    <t>FORT WASHINGTON</t>
  </si>
  <si>
    <t>KERNANS</t>
  </si>
  <si>
    <t xml:space="preserve">   SHOCK TRAUMA</t>
  </si>
  <si>
    <t>gross patient service revenue from RE</t>
  </si>
  <si>
    <t>FY2013 Regulated Total Patient Revenue</t>
  </si>
  <si>
    <t>FY2013 Actual Charity Care as reported on RE Schedule</t>
  </si>
  <si>
    <t>Variance</t>
  </si>
  <si>
    <t>% Charity Care from RE Schedule</t>
  </si>
  <si>
    <t>gross patient service revenue from PDA</t>
  </si>
  <si>
    <t>FY2012 #s</t>
  </si>
  <si>
    <t>% CHARITY CARE from RE FY2013</t>
  </si>
  <si>
    <t>% CHARITY CARE from RE FY2012</t>
  </si>
  <si>
    <t>% Variance</t>
  </si>
  <si>
    <t xml:space="preserve">Note - </t>
  </si>
  <si>
    <t>McCready (45) &amp; Union Memorial (24) used HSCRC score for MS score</t>
  </si>
  <si>
    <t xml:space="preserve">indicates score below 80% </t>
  </si>
  <si>
    <t xml:space="preserve"> M. Shea</t>
  </si>
  <si>
    <t>check</t>
  </si>
  <si>
    <t>Category</t>
  </si>
  <si>
    <t>Actual Charity Care from RE</t>
  </si>
  <si>
    <t>Community Benefit Report FY2013</t>
  </si>
  <si>
    <t>FY2013</t>
  </si>
  <si>
    <t>Health Professions Education *</t>
  </si>
  <si>
    <t>Charity Care *</t>
  </si>
  <si>
    <t>Net Community Benefit Expense</t>
  </si>
  <si>
    <t>Net Community Benefit Expense Less: Rate Support</t>
  </si>
  <si>
    <t>Total Net CB minus Charity Care, DME, NSPI in Rates</t>
  </si>
  <si>
    <t>FY2013 Assessments included in Rates</t>
  </si>
  <si>
    <t>GME</t>
  </si>
  <si>
    <t xml:space="preserve">Charity Care </t>
  </si>
  <si>
    <t xml:space="preserve">     Included in CB Report</t>
  </si>
  <si>
    <t>NSPII</t>
  </si>
  <si>
    <t>Newborn Testing</t>
  </si>
  <si>
    <t>Patient Safety</t>
  </si>
  <si>
    <t>Maryland Health Coverage Insurance Plan</t>
  </si>
  <si>
    <t>Health Care Coverage Fund</t>
  </si>
  <si>
    <t>Deficit Assessment</t>
  </si>
  <si>
    <t xml:space="preserve">     Excluded CB Report</t>
  </si>
  <si>
    <t>Net Community Benefit Provided by Hospitals</t>
  </si>
  <si>
    <t xml:space="preserve"> Assessments included in Rates </t>
  </si>
  <si>
    <t xml:space="preserve">Total </t>
  </si>
  <si>
    <t>Included in CB Report</t>
  </si>
  <si>
    <t>Total Operating Expense</t>
  </si>
  <si>
    <t>Net community benefit Less: rate support</t>
  </si>
  <si>
    <t>% Total Operating Expense</t>
  </si>
  <si>
    <t>Fiscal Year</t>
  </si>
  <si>
    <t>Uncompensated Care</t>
  </si>
  <si>
    <t>NSP (1)</t>
  </si>
  <si>
    <t>FY2008 - FY2013 - Rate Support</t>
  </si>
  <si>
    <t>FY2008-FY2013 - Net expense with &amp; without rate support</t>
  </si>
  <si>
    <t>Total Operating Expenses</t>
  </si>
  <si>
    <t>NA</t>
  </si>
  <si>
    <t>Net Community Benefit</t>
  </si>
  <si>
    <t>Net Benefit net of rate support</t>
  </si>
  <si>
    <t>Change in community benefit</t>
  </si>
  <si>
    <t>FY2004</t>
  </si>
  <si>
    <t>CB Expense</t>
  </si>
  <si>
    <t>CB Expense Less Rate Support</t>
  </si>
  <si>
    <t>Change in operating expense FY2004 - FY2013</t>
  </si>
  <si>
    <t>% of Operating Expense</t>
  </si>
  <si>
    <t>% of Operating Expense less rate support</t>
  </si>
  <si>
    <t>Attachment III - Aggregated Hospital CBR Data FY13</t>
  </si>
  <si>
    <t>Attachment I</t>
  </si>
  <si>
    <t>Shady Grove Adventist*</t>
  </si>
  <si>
    <t>* Report was re-evaluated</t>
  </si>
  <si>
    <t>Washington Adventist*</t>
  </si>
  <si>
    <t>GBMC*</t>
  </si>
  <si>
    <t>Doctors Community*</t>
  </si>
  <si>
    <t>Holy Cross*</t>
  </si>
  <si>
    <t>Doctors (51) &amp; Shady Grove (4) used HSCRC re-score for MS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</si>
</sst>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_)"/>
    <numFmt numFmtId="166" formatCode="&quot;$&quot;#,##0.00"/>
    <numFmt numFmtId="167" formatCode="_-[$$-409]* #,##0.00_ ;_-[$$-409]* \-#,##0.00\ ;_-[$$-409]* &quot;-&quot;??_ ;\-@\ "/>
    <numFmt numFmtId="168" formatCode="##,###%"/>
    <numFmt numFmtId="169" formatCode="[&lt;=9999999]###\-####;\(###\)\ ###\-####"/>
    <numFmt numFmtId="170" formatCode="_(* #,##0_);_(* \(#,##0\);_(* &quot;-&quot;??_);_(@_)"/>
    <numFmt numFmtId="171" formatCode="_(&quot;$&quot;* #,##0_);_(&quot;$&quot;* \(#,##0\);_(&quot;$&quot;* &quot;-&quot;??_);_(@_)"/>
    <numFmt numFmtId="172" formatCode="#,##0.0"/>
    <numFmt numFmtId="173" formatCode="#,##0.000000"/>
    <numFmt numFmtId="174" formatCode="0.0%"/>
    <numFmt numFmtId="175" formatCode="_(* #,##0.0_);_(* \(#,##0.0\);_(* &quot;-&quot;??_);_(@_)"/>
    <numFmt numFmtId="176" formatCode="0.0"/>
  </numFmts>
  <fonts count="58">
    <font>
      <sz val="11"/>
      <color theme="1"/>
      <name val="Calibri"/>
      <family val="2"/>
      <scheme val="minor"/>
    </font>
    <font>
      <sz val="10"/>
      <name val="System"/>
      <family val="2"/>
    </font>
    <font>
      <sz val="10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2"/>
      <name val="Arial"/>
      <family val="2"/>
    </font>
    <font>
      <b/>
      <sz val="14"/>
      <name val="Arial"/>
      <family val="2"/>
    </font>
    <font>
      <sz val="24"/>
      <name val="Times New Roman"/>
      <family val="1"/>
    </font>
    <font>
      <sz val="12"/>
      <color indexed="8"/>
      <name val="Times New Roman"/>
      <family val="1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u/>
      <sz val="10"/>
      <color rgb="FF0000FF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7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1"/>
      <color rgb="FF0000FF"/>
      <name val="Calibri"/>
      <family val="2"/>
    </font>
    <font>
      <sz val="11"/>
      <color rgb="FF000000"/>
      <name val="Cambria"/>
      <family val="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7"/>
      <name val="Verdana"/>
      <family val="2"/>
    </font>
    <font>
      <sz val="10"/>
      <name val="Times New Roman"/>
      <family val="1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2"/>
      <color rgb="FF000000"/>
      <name val="SWISS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  <font>
      <b/>
      <i/>
      <u val="doub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u val="double"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99933"/>
        <bgColor rgb="FF000000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3" fillId="0" borderId="0"/>
    <xf numFmtId="0" fontId="2" fillId="0" borderId="0"/>
    <xf numFmtId="0" fontId="1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</cellStyleXfs>
  <cellXfs count="10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5" fontId="0" fillId="0" borderId="0" xfId="0" applyNumberFormat="1"/>
    <xf numFmtId="0" fontId="10" fillId="0" borderId="0" xfId="0" applyFont="1" applyAlignment="1">
      <alignment horizontal="right"/>
    </xf>
    <xf numFmtId="0" fontId="10" fillId="0" borderId="0" xfId="0" applyFont="1"/>
    <xf numFmtId="0" fontId="0" fillId="0" borderId="0" xfId="0" applyBorder="1"/>
    <xf numFmtId="5" fontId="10" fillId="0" borderId="0" xfId="0" applyNumberFormat="1" applyFont="1"/>
    <xf numFmtId="0" fontId="10" fillId="0" borderId="0" xfId="0" applyFont="1" applyAlignment="1"/>
    <xf numFmtId="3" fontId="0" fillId="0" borderId="0" xfId="0" applyNumberFormat="1"/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5" fillId="0" borderId="0" xfId="9" applyNumberFormat="1" applyFont="1" applyAlignment="1"/>
    <xf numFmtId="0" fontId="6" fillId="0" borderId="0" xfId="9" applyNumberFormat="1" applyFont="1" applyAlignment="1"/>
    <xf numFmtId="3" fontId="5" fillId="0" borderId="0" xfId="9" applyNumberFormat="1" applyFont="1"/>
    <xf numFmtId="0" fontId="0" fillId="0" borderId="0" xfId="0" applyFill="1"/>
    <xf numFmtId="166" fontId="5" fillId="0" borderId="0" xfId="9" applyNumberFormat="1" applyFont="1" applyAlignment="1"/>
    <xf numFmtId="166" fontId="11" fillId="0" borderId="0" xfId="0" applyNumberFormat="1" applyFont="1" applyFill="1" applyBorder="1"/>
    <xf numFmtId="0" fontId="7" fillId="0" borderId="0" xfId="0" applyNumberFormat="1" applyFont="1" applyAlignment="1">
      <alignment horizontal="centerContinuous" wrapText="1"/>
    </xf>
    <xf numFmtId="0" fontId="4" fillId="0" borderId="2" xfId="0" applyNumberFormat="1" applyFont="1" applyBorder="1" applyAlignment="1"/>
    <xf numFmtId="0" fontId="4" fillId="0" borderId="3" xfId="0" applyNumberFormat="1" applyFont="1" applyBorder="1" applyAlignment="1"/>
    <xf numFmtId="10" fontId="8" fillId="0" borderId="3" xfId="0" applyNumberFormat="1" applyFont="1" applyBorder="1" applyAlignment="1"/>
    <xf numFmtId="3" fontId="4" fillId="0" borderId="3" xfId="0" applyNumberFormat="1" applyFont="1" applyBorder="1" applyAlignment="1"/>
    <xf numFmtId="3" fontId="4" fillId="0" borderId="6" xfId="0" applyNumberFormat="1" applyFont="1" applyBorder="1" applyAlignment="1">
      <alignment horizontal="center" wrapText="1"/>
    </xf>
    <xf numFmtId="0" fontId="4" fillId="0" borderId="8" xfId="0" applyNumberFormat="1" applyFont="1" applyBorder="1" applyAlignment="1"/>
    <xf numFmtId="0" fontId="4" fillId="0" borderId="9" xfId="0" applyNumberFormat="1" applyFont="1" applyBorder="1" applyAlignment="1"/>
    <xf numFmtId="10" fontId="8" fillId="0" borderId="0" xfId="0" applyNumberFormat="1" applyFont="1" applyBorder="1" applyAlignment="1"/>
    <xf numFmtId="3" fontId="4" fillId="0" borderId="9" xfId="0" applyNumberFormat="1" applyFont="1" applyBorder="1" applyAlignment="1"/>
    <xf numFmtId="10" fontId="8" fillId="0" borderId="9" xfId="0" applyNumberFormat="1" applyFont="1" applyBorder="1" applyAlignment="1"/>
    <xf numFmtId="0" fontId="4" fillId="0" borderId="10" xfId="0" applyNumberFormat="1" applyFont="1" applyBorder="1" applyAlignment="1">
      <alignment horizontal="center" wrapText="1"/>
    </xf>
    <xf numFmtId="0" fontId="4" fillId="0" borderId="11" xfId="0" applyNumberFormat="1" applyFont="1" applyBorder="1" applyAlignment="1">
      <alignment horizontal="center" wrapText="1"/>
    </xf>
    <xf numFmtId="10" fontId="8" fillId="0" borderId="12" xfId="0" applyNumberFormat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0" fontId="8" fillId="0" borderId="11" xfId="0" applyNumberFormat="1" applyFont="1" applyBorder="1" applyAlignment="1">
      <alignment horizontal="center" wrapText="1"/>
    </xf>
    <xf numFmtId="3" fontId="0" fillId="0" borderId="0" xfId="0" applyNumberFormat="1" applyFill="1"/>
    <xf numFmtId="5" fontId="0" fillId="0" borderId="0" xfId="0" applyNumberFormat="1" applyFill="1"/>
    <xf numFmtId="38" fontId="0" fillId="0" borderId="0" xfId="0" applyNumberFormat="1"/>
    <xf numFmtId="38" fontId="0" fillId="0" borderId="0" xfId="0" applyNumberFormat="1" applyFill="1"/>
    <xf numFmtId="0" fontId="11" fillId="0" borderId="0" xfId="0" applyFont="1" applyFill="1" applyBorder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Continuous"/>
    </xf>
    <xf numFmtId="0" fontId="15" fillId="0" borderId="0" xfId="0" applyFont="1" applyFill="1" applyBorder="1" applyAlignment="1">
      <alignment horizontal="centerContinuous"/>
    </xf>
    <xf numFmtId="0" fontId="15" fillId="0" borderId="0" xfId="0" applyFont="1" applyFill="1" applyBorder="1"/>
    <xf numFmtId="0" fontId="18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left"/>
    </xf>
    <xf numFmtId="0" fontId="2" fillId="0" borderId="0" xfId="0" applyFont="1" applyFill="1" applyBorder="1"/>
    <xf numFmtId="3" fontId="14" fillId="6" borderId="4" xfId="0" applyNumberFormat="1" applyFont="1" applyFill="1" applyBorder="1" applyProtection="1">
      <protection locked="0"/>
    </xf>
    <xf numFmtId="166" fontId="14" fillId="6" borderId="4" xfId="0" applyNumberFormat="1" applyFont="1" applyFill="1" applyBorder="1" applyProtection="1">
      <protection locked="0"/>
    </xf>
    <xf numFmtId="166" fontId="14" fillId="6" borderId="23" xfId="0" applyNumberFormat="1" applyFont="1" applyFill="1" applyBorder="1" applyProtection="1">
      <protection locked="0"/>
    </xf>
    <xf numFmtId="166" fontId="14" fillId="6" borderId="4" xfId="0" applyNumberFormat="1" applyFont="1" applyFill="1" applyBorder="1"/>
    <xf numFmtId="49" fontId="22" fillId="6" borderId="23" xfId="0" applyNumberFormat="1" applyFont="1" applyFill="1" applyBorder="1" applyAlignment="1" applyProtection="1">
      <protection locked="0"/>
    </xf>
    <xf numFmtId="49" fontId="22" fillId="6" borderId="1" xfId="0" applyNumberFormat="1" applyFont="1" applyFill="1" applyBorder="1" applyAlignment="1" applyProtection="1">
      <protection locked="0"/>
    </xf>
    <xf numFmtId="49" fontId="22" fillId="6" borderId="24" xfId="0" applyNumberFormat="1" applyFont="1" applyFill="1" applyBorder="1" applyAlignment="1" applyProtection="1">
      <protection locked="0"/>
    </xf>
    <xf numFmtId="3" fontId="2" fillId="6" borderId="4" xfId="0" applyNumberFormat="1" applyFont="1" applyFill="1" applyBorder="1" applyProtection="1">
      <protection locked="0"/>
    </xf>
    <xf numFmtId="166" fontId="14" fillId="0" borderId="4" xfId="0" applyNumberFormat="1" applyFont="1" applyFill="1" applyBorder="1"/>
    <xf numFmtId="3" fontId="14" fillId="6" borderId="4" xfId="0" applyNumberFormat="1" applyFont="1" applyFill="1" applyBorder="1"/>
    <xf numFmtId="3" fontId="14" fillId="0" borderId="25" xfId="0" applyNumberFormat="1" applyFont="1" applyFill="1" applyBorder="1"/>
    <xf numFmtId="166" fontId="14" fillId="0" borderId="25" xfId="0" applyNumberFormat="1" applyFont="1" applyFill="1" applyBorder="1"/>
    <xf numFmtId="166" fontId="14" fillId="7" borderId="7" xfId="0" applyNumberFormat="1" applyFont="1" applyFill="1" applyBorder="1"/>
    <xf numFmtId="166" fontId="14" fillId="6" borderId="4" xfId="0" applyNumberFormat="1" applyFont="1" applyFill="1" applyBorder="1" applyProtection="1"/>
    <xf numFmtId="1" fontId="14" fillId="6" borderId="4" xfId="0" applyNumberFormat="1" applyFont="1" applyFill="1" applyBorder="1"/>
    <xf numFmtId="0" fontId="14" fillId="0" borderId="25" xfId="0" applyFont="1" applyFill="1" applyBorder="1"/>
    <xf numFmtId="49" fontId="2" fillId="6" borderId="23" xfId="0" applyNumberFormat="1" applyFont="1" applyFill="1" applyBorder="1" applyAlignment="1" applyProtection="1">
      <protection locked="0"/>
    </xf>
    <xf numFmtId="49" fontId="14" fillId="6" borderId="1" xfId="0" applyNumberFormat="1" applyFont="1" applyFill="1" applyBorder="1" applyAlignment="1" applyProtection="1">
      <protection locked="0"/>
    </xf>
    <xf numFmtId="49" fontId="14" fillId="6" borderId="24" xfId="0" applyNumberFormat="1" applyFont="1" applyFill="1" applyBorder="1" applyAlignment="1" applyProtection="1">
      <protection locked="0"/>
    </xf>
    <xf numFmtId="49" fontId="14" fillId="6" borderId="1" xfId="0" applyNumberFormat="1" applyFont="1" applyFill="1" applyBorder="1" applyAlignment="1" applyProtection="1">
      <protection locked="0"/>
    </xf>
    <xf numFmtId="3" fontId="2" fillId="6" borderId="4" xfId="0" applyNumberFormat="1" applyFont="1" applyFill="1" applyBorder="1" applyAlignment="1" applyProtection="1">
      <alignment horizontal="right"/>
      <protection locked="0"/>
    </xf>
    <xf numFmtId="49" fontId="14" fillId="6" borderId="23" xfId="0" applyNumberFormat="1" applyFont="1" applyFill="1" applyBorder="1" applyAlignment="1" applyProtection="1">
      <protection locked="0"/>
    </xf>
    <xf numFmtId="49" fontId="14" fillId="6" borderId="23" xfId="0" applyNumberFormat="1" applyFont="1" applyFill="1" applyBorder="1" applyAlignment="1" applyProtection="1">
      <protection locked="0"/>
    </xf>
    <xf numFmtId="166" fontId="14" fillId="7" borderId="23" xfId="0" applyNumberFormat="1" applyFont="1" applyFill="1" applyBorder="1" applyProtection="1"/>
    <xf numFmtId="0" fontId="14" fillId="0" borderId="14" xfId="0" applyFont="1" applyFill="1" applyBorder="1"/>
    <xf numFmtId="0" fontId="14" fillId="7" borderId="0" xfId="0" applyFont="1" applyFill="1" applyBorder="1"/>
    <xf numFmtId="166" fontId="14" fillId="7" borderId="0" xfId="0" applyNumberFormat="1" applyFont="1" applyFill="1" applyBorder="1" applyProtection="1"/>
    <xf numFmtId="166" fontId="14" fillId="7" borderId="0" xfId="0" applyNumberFormat="1" applyFont="1" applyFill="1" applyBorder="1"/>
    <xf numFmtId="0" fontId="14" fillId="6" borderId="4" xfId="0" applyFont="1" applyFill="1" applyBorder="1" applyProtection="1">
      <protection locked="0"/>
    </xf>
    <xf numFmtId="3" fontId="14" fillId="6" borderId="26" xfId="0" applyNumberFormat="1" applyFont="1" applyFill="1" applyBorder="1" applyProtection="1">
      <protection locked="0"/>
    </xf>
    <xf numFmtId="166" fontId="14" fillId="6" borderId="26" xfId="0" applyNumberFormat="1" applyFont="1" applyFill="1" applyBorder="1" applyProtection="1">
      <protection locked="0"/>
    </xf>
    <xf numFmtId="49" fontId="14" fillId="6" borderId="15" xfId="0" applyNumberFormat="1" applyFont="1" applyFill="1" applyBorder="1" applyAlignment="1" applyProtection="1">
      <protection locked="0"/>
    </xf>
    <xf numFmtId="49" fontId="14" fillId="6" borderId="16" xfId="0" applyNumberFormat="1" applyFont="1" applyFill="1" applyBorder="1" applyAlignment="1" applyProtection="1">
      <protection locked="0"/>
    </xf>
    <xf numFmtId="49" fontId="14" fillId="6" borderId="27" xfId="0" applyNumberFormat="1" applyFont="1" applyFill="1" applyBorder="1" applyAlignment="1" applyProtection="1">
      <protection locked="0"/>
    </xf>
    <xf numFmtId="3" fontId="14" fillId="7" borderId="0" xfId="0" applyNumberFormat="1" applyFont="1" applyFill="1" applyBorder="1" applyProtection="1">
      <protection locked="0"/>
    </xf>
    <xf numFmtId="166" fontId="14" fillId="7" borderId="0" xfId="0" applyNumberFormat="1" applyFont="1" applyFill="1" applyBorder="1" applyProtection="1">
      <protection locked="0"/>
    </xf>
    <xf numFmtId="0" fontId="14" fillId="6" borderId="4" xfId="0" applyFont="1" applyFill="1" applyBorder="1" applyProtection="1"/>
    <xf numFmtId="166" fontId="14" fillId="6" borderId="23" xfId="0" applyNumberFormat="1" applyFont="1" applyFill="1" applyBorder="1" applyProtection="1"/>
    <xf numFmtId="166" fontId="14" fillId="7" borderId="4" xfId="0" applyNumberFormat="1" applyFont="1" applyFill="1" applyBorder="1"/>
    <xf numFmtId="3" fontId="14" fillId="6" borderId="5" xfId="0" applyNumberFormat="1" applyFont="1" applyFill="1" applyBorder="1" applyProtection="1">
      <protection locked="0"/>
    </xf>
    <xf numFmtId="166" fontId="14" fillId="6" borderId="5" xfId="0" applyNumberFormat="1" applyFont="1" applyFill="1" applyBorder="1" applyProtection="1">
      <protection locked="0"/>
    </xf>
    <xf numFmtId="0" fontId="14" fillId="0" borderId="16" xfId="0" applyFont="1" applyFill="1" applyBorder="1" applyAlignment="1">
      <alignment horizontal="left"/>
    </xf>
    <xf numFmtId="0" fontId="15" fillId="0" borderId="16" xfId="0" applyFont="1" applyFill="1" applyBorder="1"/>
    <xf numFmtId="0" fontId="14" fillId="0" borderId="16" xfId="0" applyFont="1" applyFill="1" applyBorder="1"/>
    <xf numFmtId="10" fontId="14" fillId="6" borderId="4" xfId="0" applyNumberFormat="1" applyFont="1" applyFill="1" applyBorder="1" applyProtection="1">
      <protection locked="0"/>
    </xf>
    <xf numFmtId="3" fontId="14" fillId="6" borderId="26" xfId="0" applyNumberFormat="1" applyFont="1" applyFill="1" applyBorder="1"/>
    <xf numFmtId="3" fontId="14" fillId="7" borderId="26" xfId="0" applyNumberFormat="1" applyFont="1" applyFill="1" applyBorder="1"/>
    <xf numFmtId="166" fontId="14" fillId="7" borderId="26" xfId="0" applyNumberFormat="1" applyFont="1" applyFill="1" applyBorder="1"/>
    <xf numFmtId="166" fontId="14" fillId="6" borderId="26" xfId="0" applyNumberFormat="1" applyFont="1" applyFill="1" applyBorder="1"/>
    <xf numFmtId="3" fontId="14" fillId="6" borderId="28" xfId="0" applyNumberFormat="1" applyFont="1" applyFill="1" applyBorder="1"/>
    <xf numFmtId="10" fontId="14" fillId="6" borderId="4" xfId="10" applyNumberFormat="1" applyFont="1" applyFill="1" applyBorder="1" applyProtection="1"/>
    <xf numFmtId="49" fontId="14" fillId="6" borderId="15" xfId="0" applyNumberFormat="1" applyFont="1" applyFill="1" applyBorder="1" applyAlignment="1" applyProtection="1">
      <protection locked="0"/>
    </xf>
    <xf numFmtId="170" fontId="14" fillId="6" borderId="4" xfId="1" applyNumberFormat="1" applyFont="1" applyFill="1" applyBorder="1" applyProtection="1">
      <protection locked="0"/>
    </xf>
    <xf numFmtId="170" fontId="14" fillId="6" borderId="4" xfId="1" applyNumberFormat="1" applyFont="1" applyFill="1" applyBorder="1" applyProtection="1"/>
    <xf numFmtId="49" fontId="14" fillId="6" borderId="23" xfId="0" applyNumberFormat="1" applyFont="1" applyFill="1" applyBorder="1" applyAlignment="1" applyProtection="1">
      <protection locked="0"/>
    </xf>
    <xf numFmtId="49" fontId="14" fillId="6" borderId="1" xfId="0" applyNumberFormat="1" applyFont="1" applyFill="1" applyBorder="1" applyAlignment="1" applyProtection="1">
      <protection locked="0"/>
    </xf>
    <xf numFmtId="49" fontId="14" fillId="6" borderId="24" xfId="0" applyNumberFormat="1" applyFont="1" applyFill="1" applyBorder="1" applyAlignment="1" applyProtection="1">
      <protection locked="0"/>
    </xf>
    <xf numFmtId="49" fontId="22" fillId="6" borderId="23" xfId="0" applyNumberFormat="1" applyFont="1" applyFill="1" applyBorder="1" applyAlignment="1" applyProtection="1">
      <protection locked="0"/>
    </xf>
    <xf numFmtId="49" fontId="22" fillId="6" borderId="1" xfId="0" applyNumberFormat="1" applyFont="1" applyFill="1" applyBorder="1" applyAlignment="1" applyProtection="1">
      <protection locked="0"/>
    </xf>
    <xf numFmtId="49" fontId="22" fillId="6" borderId="24" xfId="0" applyNumberFormat="1" applyFont="1" applyFill="1" applyBorder="1" applyAlignment="1" applyProtection="1">
      <protection locked="0"/>
    </xf>
    <xf numFmtId="49" fontId="2" fillId="6" borderId="23" xfId="0" applyNumberFormat="1" applyFont="1" applyFill="1" applyBorder="1" applyAlignment="1" applyProtection="1">
      <protection locked="0"/>
    </xf>
    <xf numFmtId="49" fontId="14" fillId="6" borderId="16" xfId="0" applyNumberFormat="1" applyFont="1" applyFill="1" applyBorder="1" applyAlignment="1" applyProtection="1">
      <protection locked="0"/>
    </xf>
    <xf numFmtId="49" fontId="14" fillId="6" borderId="15" xfId="0" applyNumberFormat="1" applyFont="1" applyFill="1" applyBorder="1" applyAlignment="1" applyProtection="1">
      <protection locked="0"/>
    </xf>
    <xf numFmtId="166" fontId="15" fillId="0" borderId="0" xfId="0" applyNumberFormat="1" applyFont="1" applyFill="1" applyBorder="1" applyAlignment="1">
      <alignment horizontal="center" wrapText="1"/>
    </xf>
    <xf numFmtId="166" fontId="14" fillId="0" borderId="0" xfId="0" applyNumberFormat="1" applyFont="1" applyFill="1" applyBorder="1"/>
    <xf numFmtId="166" fontId="14" fillId="0" borderId="14" xfId="0" applyNumberFormat="1" applyFont="1" applyFill="1" applyBorder="1"/>
    <xf numFmtId="4" fontId="14" fillId="6" borderId="4" xfId="0" applyNumberFormat="1" applyFont="1" applyFill="1" applyBorder="1" applyProtection="1">
      <protection locked="0"/>
    </xf>
    <xf numFmtId="4" fontId="14" fillId="6" borderId="26" xfId="0" applyNumberFormat="1" applyFont="1" applyFill="1" applyBorder="1"/>
    <xf numFmtId="4" fontId="14" fillId="6" borderId="4" xfId="0" applyNumberFormat="1" applyFont="1" applyFill="1" applyBorder="1"/>
    <xf numFmtId="4" fontId="14" fillId="7" borderId="26" xfId="0" applyNumberFormat="1" applyFont="1" applyFill="1" applyBorder="1"/>
    <xf numFmtId="4" fontId="14" fillId="0" borderId="14" xfId="0" applyNumberFormat="1" applyFont="1" applyFill="1" applyBorder="1"/>
    <xf numFmtId="4" fontId="14" fillId="6" borderId="28" xfId="0" applyNumberFormat="1" applyFont="1" applyFill="1" applyBorder="1"/>
    <xf numFmtId="0" fontId="15" fillId="0" borderId="0" xfId="0" applyFont="1" applyFill="1" applyBorder="1" applyAlignment="1"/>
    <xf numFmtId="3" fontId="15" fillId="6" borderId="4" xfId="0" applyNumberFormat="1" applyFont="1" applyFill="1" applyBorder="1"/>
    <xf numFmtId="164" fontId="15" fillId="6" borderId="4" xfId="0" applyNumberFormat="1" applyFont="1" applyFill="1" applyBorder="1"/>
    <xf numFmtId="7" fontId="15" fillId="0" borderId="0" xfId="0" applyNumberFormat="1" applyFont="1" applyFill="1" applyBorder="1" applyAlignment="1">
      <alignment horizontal="center" wrapText="1"/>
    </xf>
    <xf numFmtId="7" fontId="14" fillId="0" borderId="0" xfId="0" applyNumberFormat="1" applyFont="1" applyFill="1" applyBorder="1"/>
    <xf numFmtId="3" fontId="14" fillId="0" borderId="4" xfId="0" applyNumberFormat="1" applyFont="1" applyFill="1" applyBorder="1" applyProtection="1">
      <protection locked="0"/>
    </xf>
    <xf numFmtId="3" fontId="14" fillId="0" borderId="4" xfId="0" applyNumberFormat="1" applyFont="1" applyFill="1" applyBorder="1"/>
    <xf numFmtId="3" fontId="15" fillId="0" borderId="0" xfId="0" applyNumberFormat="1" applyFont="1" applyFill="1" applyBorder="1"/>
    <xf numFmtId="164" fontId="15" fillId="0" borderId="0" xfId="0" applyNumberFormat="1" applyFont="1" applyFill="1" applyBorder="1"/>
    <xf numFmtId="3" fontId="14" fillId="0" borderId="0" xfId="0" applyNumberFormat="1" applyFont="1" applyFill="1" applyBorder="1"/>
    <xf numFmtId="164" fontId="14" fillId="7" borderId="0" xfId="0" applyNumberFormat="1" applyFont="1" applyFill="1" applyBorder="1"/>
    <xf numFmtId="164" fontId="14" fillId="0" borderId="0" xfId="0" applyNumberFormat="1" applyFont="1" applyFill="1" applyBorder="1"/>
    <xf numFmtId="0" fontId="2" fillId="0" borderId="29" xfId="0" applyFont="1" applyFill="1" applyBorder="1" applyAlignment="1"/>
    <xf numFmtId="0" fontId="2" fillId="0" borderId="0" xfId="0" applyFont="1" applyFill="1" applyBorder="1" applyAlignment="1">
      <alignment horizontal="left"/>
    </xf>
    <xf numFmtId="3" fontId="15" fillId="0" borderId="14" xfId="0" applyNumberFormat="1" applyFont="1" applyFill="1" applyBorder="1"/>
    <xf numFmtId="3" fontId="14" fillId="0" borderId="14" xfId="0" applyNumberFormat="1" applyFont="1" applyFill="1" applyBorder="1"/>
    <xf numFmtId="3" fontId="15" fillId="6" borderId="4" xfId="0" applyNumberFormat="1" applyFont="1" applyFill="1" applyBorder="1" applyProtection="1"/>
    <xf numFmtId="3" fontId="15" fillId="0" borderId="0" xfId="0" applyNumberFormat="1" applyFont="1" applyFill="1" applyBorder="1" applyProtection="1">
      <protection locked="0"/>
    </xf>
    <xf numFmtId="49" fontId="16" fillId="0" borderId="0" xfId="0" applyNumberFormat="1" applyFont="1" applyFill="1" applyBorder="1" applyAlignment="1">
      <alignment horizontal="left"/>
    </xf>
    <xf numFmtId="0" fontId="24" fillId="0" borderId="0" xfId="0" applyFont="1" applyFill="1" applyBorder="1" applyAlignment="1">
      <alignment horizontal="center" wrapText="1"/>
    </xf>
    <xf numFmtId="49" fontId="14" fillId="7" borderId="0" xfId="0" applyNumberFormat="1" applyFont="1" applyFill="1" applyBorder="1" applyAlignment="1" applyProtection="1">
      <protection locked="0"/>
    </xf>
    <xf numFmtId="3" fontId="14" fillId="0" borderId="4" xfId="0" applyNumberFormat="1" applyFont="1" applyFill="1" applyBorder="1" applyProtection="1"/>
    <xf numFmtId="3" fontId="14" fillId="0" borderId="14" xfId="0" applyNumberFormat="1" applyFont="1" applyFill="1" applyBorder="1" applyProtection="1"/>
    <xf numFmtId="3" fontId="15" fillId="6" borderId="26" xfId="0" applyNumberFormat="1" applyFont="1" applyFill="1" applyBorder="1"/>
    <xf numFmtId="0" fontId="15" fillId="0" borderId="29" xfId="0" applyFont="1" applyFill="1" applyBorder="1" applyAlignment="1"/>
    <xf numFmtId="3" fontId="14" fillId="0" borderId="5" xfId="0" applyNumberFormat="1" applyFont="1" applyFill="1" applyBorder="1" applyProtection="1"/>
    <xf numFmtId="0" fontId="14" fillId="0" borderId="0" xfId="0" applyFont="1" applyFill="1" applyBorder="1" applyProtection="1"/>
    <xf numFmtId="3" fontId="14" fillId="0" borderId="14" xfId="0" applyNumberFormat="1" applyFont="1" applyFill="1" applyBorder="1" applyProtection="1">
      <protection locked="0"/>
    </xf>
    <xf numFmtId="3" fontId="15" fillId="0" borderId="0" xfId="0" applyNumberFormat="1" applyFont="1" applyFill="1" applyBorder="1" applyProtection="1"/>
    <xf numFmtId="164" fontId="15" fillId="0" borderId="0" xfId="0" applyNumberFormat="1" applyFont="1" applyFill="1" applyBorder="1" applyProtection="1"/>
    <xf numFmtId="164" fontId="15" fillId="0" borderId="14" xfId="0" applyNumberFormat="1" applyFont="1" applyFill="1" applyBorder="1"/>
    <xf numFmtId="166" fontId="15" fillId="6" borderId="4" xfId="0" applyNumberFormat="1" applyFont="1" applyFill="1" applyBorder="1"/>
    <xf numFmtId="166" fontId="15" fillId="0" borderId="0" xfId="0" applyNumberFormat="1" applyFont="1" applyFill="1" applyBorder="1"/>
    <xf numFmtId="10" fontId="15" fillId="6" borderId="4" xfId="14" applyNumberFormat="1" applyFont="1" applyFill="1" applyBorder="1" applyProtection="1"/>
    <xf numFmtId="10" fontId="15" fillId="0" borderId="0" xfId="14" applyNumberFormat="1" applyFont="1" applyFill="1" applyBorder="1" applyProtection="1"/>
    <xf numFmtId="10" fontId="15" fillId="6" borderId="4" xfId="0" applyNumberFormat="1" applyFont="1" applyFill="1" applyBorder="1"/>
    <xf numFmtId="10" fontId="15" fillId="0" borderId="0" xfId="0" applyNumberFormat="1" applyFont="1" applyFill="1" applyBorder="1"/>
    <xf numFmtId="0" fontId="2" fillId="0" borderId="0" xfId="0" applyFont="1" applyFill="1" applyBorder="1" applyAlignment="1"/>
    <xf numFmtId="49" fontId="22" fillId="6" borderId="23" xfId="0" applyNumberFormat="1" applyFont="1" applyFill="1" applyBorder="1" applyAlignment="1" applyProtection="1">
      <protection locked="0"/>
    </xf>
    <xf numFmtId="49" fontId="22" fillId="6" borderId="1" xfId="0" applyNumberFormat="1" applyFont="1" applyFill="1" applyBorder="1" applyAlignment="1" applyProtection="1">
      <protection locked="0"/>
    </xf>
    <xf numFmtId="49" fontId="22" fillId="6" borderId="24" xfId="0" applyNumberFormat="1" applyFont="1" applyFill="1" applyBorder="1" applyAlignment="1" applyProtection="1">
      <protection locked="0"/>
    </xf>
    <xf numFmtId="49" fontId="2" fillId="6" borderId="15" xfId="0" applyNumberFormat="1" applyFont="1" applyFill="1" applyBorder="1" applyAlignment="1" applyProtection="1">
      <protection locked="0"/>
    </xf>
    <xf numFmtId="49" fontId="2" fillId="6" borderId="23" xfId="0" applyNumberFormat="1" applyFont="1" applyFill="1" applyBorder="1" applyAlignment="1" applyProtection="1">
      <protection locked="0"/>
    </xf>
    <xf numFmtId="10" fontId="14" fillId="6" borderId="4" xfId="17" applyNumberFormat="1" applyFont="1" applyFill="1" applyBorder="1" applyProtection="1"/>
    <xf numFmtId="10" fontId="14" fillId="6" borderId="4" xfId="14" applyNumberFormat="1" applyFont="1" applyFill="1" applyBorder="1" applyProtection="1"/>
    <xf numFmtId="166" fontId="2" fillId="6" borderId="23" xfId="0" applyNumberFormat="1" applyFont="1" applyFill="1" applyBorder="1" applyProtection="1">
      <protection locked="0"/>
    </xf>
    <xf numFmtId="49" fontId="2" fillId="6" borderId="23" xfId="6" applyNumberFormat="1" applyFont="1" applyFill="1" applyBorder="1" applyAlignment="1" applyProtection="1">
      <protection locked="0"/>
    </xf>
    <xf numFmtId="49" fontId="2" fillId="6" borderId="1" xfId="6" applyNumberFormat="1" applyFont="1" applyFill="1" applyBorder="1" applyAlignment="1" applyProtection="1">
      <protection locked="0"/>
    </xf>
    <xf numFmtId="49" fontId="2" fillId="6" borderId="24" xfId="6" applyNumberFormat="1" applyFont="1" applyFill="1" applyBorder="1" applyAlignment="1" applyProtection="1">
      <protection locked="0"/>
    </xf>
    <xf numFmtId="0" fontId="2" fillId="0" borderId="0" xfId="6" applyFont="1" applyFill="1" applyBorder="1"/>
    <xf numFmtId="0" fontId="15" fillId="0" borderId="0" xfId="6" applyFont="1" applyFill="1" applyBorder="1"/>
    <xf numFmtId="0" fontId="15" fillId="0" borderId="0" xfId="6" applyFont="1" applyFill="1" applyBorder="1" applyAlignment="1">
      <alignment horizontal="right"/>
    </xf>
    <xf numFmtId="0" fontId="17" fillId="0" borderId="0" xfId="6" applyFont="1" applyFill="1" applyBorder="1" applyAlignment="1">
      <alignment horizontal="left"/>
    </xf>
    <xf numFmtId="0" fontId="15" fillId="0" borderId="0" xfId="6" applyFont="1" applyFill="1" applyBorder="1" applyAlignment="1">
      <alignment horizontal="center" wrapText="1"/>
    </xf>
    <xf numFmtId="0" fontId="15" fillId="0" borderId="0" xfId="6" applyFont="1" applyFill="1" applyBorder="1" applyAlignment="1">
      <alignment horizontal="left"/>
    </xf>
    <xf numFmtId="3" fontId="2" fillId="6" borderId="4" xfId="6" applyNumberFormat="1" applyFont="1" applyFill="1" applyBorder="1" applyProtection="1">
      <protection locked="0"/>
    </xf>
    <xf numFmtId="166" fontId="2" fillId="6" borderId="4" xfId="6" applyNumberFormat="1" applyFont="1" applyFill="1" applyBorder="1" applyProtection="1">
      <protection locked="0"/>
    </xf>
    <xf numFmtId="166" fontId="2" fillId="6" borderId="4" xfId="6" applyNumberFormat="1" applyFont="1" applyFill="1" applyBorder="1"/>
    <xf numFmtId="166" fontId="2" fillId="0" borderId="4" xfId="6" applyNumberFormat="1" applyFont="1" applyFill="1" applyBorder="1"/>
    <xf numFmtId="3" fontId="2" fillId="6" borderId="4" xfId="6" applyNumberFormat="1" applyFont="1" applyFill="1" applyBorder="1"/>
    <xf numFmtId="3" fontId="2" fillId="0" borderId="25" xfId="6" applyNumberFormat="1" applyFont="1" applyFill="1" applyBorder="1"/>
    <xf numFmtId="166" fontId="2" fillId="0" borderId="25" xfId="6" applyNumberFormat="1" applyFont="1" applyFill="1" applyBorder="1"/>
    <xf numFmtId="166" fontId="2" fillId="7" borderId="7" xfId="6" applyNumberFormat="1" applyFont="1" applyFill="1" applyBorder="1"/>
    <xf numFmtId="166" fontId="2" fillId="6" borderId="4" xfId="6" applyNumberFormat="1" applyFont="1" applyFill="1" applyBorder="1" applyProtection="1"/>
    <xf numFmtId="0" fontId="2" fillId="0" borderId="25" xfId="6" applyFont="1" applyFill="1" applyBorder="1"/>
    <xf numFmtId="166" fontId="2" fillId="7" borderId="23" xfId="6" applyNumberFormat="1" applyFont="1" applyFill="1" applyBorder="1" applyProtection="1"/>
    <xf numFmtId="0" fontId="2" fillId="0" borderId="14" xfId="6" applyFont="1" applyFill="1" applyBorder="1"/>
    <xf numFmtId="0" fontId="2" fillId="7" borderId="0" xfId="6" applyFont="1" applyFill="1" applyBorder="1"/>
    <xf numFmtId="166" fontId="2" fillId="7" borderId="0" xfId="6" applyNumberFormat="1" applyFont="1" applyFill="1" applyBorder="1" applyProtection="1"/>
    <xf numFmtId="166" fontId="2" fillId="7" borderId="0" xfId="6" applyNumberFormat="1" applyFont="1" applyFill="1" applyBorder="1"/>
    <xf numFmtId="49" fontId="2" fillId="6" borderId="27" xfId="6" applyNumberFormat="1" applyFont="1" applyFill="1" applyBorder="1" applyAlignment="1" applyProtection="1">
      <protection locked="0"/>
    </xf>
    <xf numFmtId="3" fontId="2" fillId="7" borderId="0" xfId="6" applyNumberFormat="1" applyFont="1" applyFill="1" applyBorder="1" applyProtection="1">
      <protection locked="0"/>
    </xf>
    <xf numFmtId="166" fontId="2" fillId="7" borderId="0" xfId="6" applyNumberFormat="1" applyFont="1" applyFill="1" applyBorder="1" applyProtection="1">
      <protection locked="0"/>
    </xf>
    <xf numFmtId="166" fontId="2" fillId="6" borderId="23" xfId="6" applyNumberFormat="1" applyFont="1" applyFill="1" applyBorder="1" applyProtection="1"/>
    <xf numFmtId="166" fontId="2" fillId="7" borderId="4" xfId="6" applyNumberFormat="1" applyFont="1" applyFill="1" applyBorder="1"/>
    <xf numFmtId="3" fontId="2" fillId="6" borderId="4" xfId="6" applyNumberFormat="1" applyFont="1" applyFill="1" applyBorder="1" applyProtection="1"/>
    <xf numFmtId="0" fontId="2" fillId="0" borderId="16" xfId="6" applyFont="1" applyFill="1" applyBorder="1" applyAlignment="1">
      <alignment horizontal="left"/>
    </xf>
    <xf numFmtId="0" fontId="15" fillId="0" borderId="16" xfId="6" applyFont="1" applyFill="1" applyBorder="1"/>
    <xf numFmtId="0" fontId="2" fillId="0" borderId="16" xfId="6" applyFont="1" applyFill="1" applyBorder="1"/>
    <xf numFmtId="10" fontId="2" fillId="6" borderId="4" xfId="6" applyNumberFormat="1" applyFont="1" applyFill="1" applyBorder="1" applyProtection="1">
      <protection locked="0"/>
    </xf>
    <xf numFmtId="166" fontId="2" fillId="6" borderId="23" xfId="6" applyNumberFormat="1" applyFont="1" applyFill="1" applyBorder="1" applyProtection="1">
      <protection locked="0"/>
    </xf>
    <xf numFmtId="3" fontId="2" fillId="6" borderId="26" xfId="6" applyNumberFormat="1" applyFont="1" applyFill="1" applyBorder="1"/>
    <xf numFmtId="3" fontId="2" fillId="7" borderId="26" xfId="6" applyNumberFormat="1" applyFont="1" applyFill="1" applyBorder="1"/>
    <xf numFmtId="166" fontId="2" fillId="7" borderId="26" xfId="6" applyNumberFormat="1" applyFont="1" applyFill="1" applyBorder="1"/>
    <xf numFmtId="3" fontId="2" fillId="6" borderId="28" xfId="6" applyNumberFormat="1" applyFont="1" applyFill="1" applyBorder="1"/>
    <xf numFmtId="0" fontId="27" fillId="0" borderId="0" xfId="0" applyFont="1" applyFill="1" applyBorder="1" applyAlignment="1">
      <alignment horizontal="left"/>
    </xf>
    <xf numFmtId="171" fontId="14" fillId="0" borderId="0" xfId="16" applyNumberFormat="1" applyFont="1" applyFill="1" applyBorder="1" applyAlignment="1">
      <alignment horizontal="centerContinuous"/>
    </xf>
    <xf numFmtId="171" fontId="14" fillId="0" borderId="0" xfId="16" applyNumberFormat="1" applyFont="1" applyFill="1" applyBorder="1"/>
    <xf numFmtId="0" fontId="28" fillId="0" borderId="0" xfId="0" applyFont="1" applyFill="1" applyBorder="1" applyAlignment="1">
      <alignment horizontal="centerContinuous"/>
    </xf>
    <xf numFmtId="171" fontId="15" fillId="0" borderId="0" xfId="16" applyNumberFormat="1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right"/>
    </xf>
    <xf numFmtId="171" fontId="14" fillId="6" borderId="4" xfId="16" applyNumberFormat="1" applyFont="1" applyFill="1" applyBorder="1" applyProtection="1">
      <protection locked="0"/>
    </xf>
    <xf numFmtId="171" fontId="14" fillId="6" borderId="23" xfId="16" applyNumberFormat="1" applyFont="1" applyFill="1" applyBorder="1" applyProtection="1">
      <protection locked="0"/>
    </xf>
    <xf numFmtId="171" fontId="14" fillId="6" borderId="4" xfId="16" applyNumberFormat="1" applyFont="1" applyFill="1" applyBorder="1"/>
    <xf numFmtId="171" fontId="14" fillId="0" borderId="4" xfId="16" applyNumberFormat="1" applyFont="1" applyFill="1" applyBorder="1"/>
    <xf numFmtId="171" fontId="14" fillId="0" borderId="25" xfId="16" applyNumberFormat="1" applyFont="1" applyFill="1" applyBorder="1"/>
    <xf numFmtId="171" fontId="14" fillId="7" borderId="7" xfId="16" applyNumberFormat="1" applyFont="1" applyFill="1" applyBorder="1"/>
    <xf numFmtId="171" fontId="14" fillId="6" borderId="4" xfId="16" applyNumberFormat="1" applyFont="1" applyFill="1" applyBorder="1" applyProtection="1"/>
    <xf numFmtId="171" fontId="14" fillId="7" borderId="23" xfId="16" applyNumberFormat="1" applyFont="1" applyFill="1" applyBorder="1" applyProtection="1"/>
    <xf numFmtId="171" fontId="14" fillId="0" borderId="14" xfId="16" applyNumberFormat="1" applyFont="1" applyFill="1" applyBorder="1"/>
    <xf numFmtId="171" fontId="14" fillId="7" borderId="0" xfId="16" applyNumberFormat="1" applyFont="1" applyFill="1" applyBorder="1"/>
    <xf numFmtId="171" fontId="14" fillId="7" borderId="0" xfId="16" applyNumberFormat="1" applyFont="1" applyFill="1" applyBorder="1" applyProtection="1"/>
    <xf numFmtId="171" fontId="14" fillId="6" borderId="26" xfId="16" applyNumberFormat="1" applyFont="1" applyFill="1" applyBorder="1" applyProtection="1">
      <protection locked="0"/>
    </xf>
    <xf numFmtId="171" fontId="14" fillId="7" borderId="0" xfId="16" applyNumberFormat="1" applyFont="1" applyFill="1" applyBorder="1" applyProtection="1">
      <protection locked="0"/>
    </xf>
    <xf numFmtId="171" fontId="14" fillId="6" borderId="23" xfId="16" applyNumberFormat="1" applyFont="1" applyFill="1" applyBorder="1" applyProtection="1"/>
    <xf numFmtId="171" fontId="14" fillId="7" borderId="4" xfId="16" applyNumberFormat="1" applyFont="1" applyFill="1" applyBorder="1"/>
    <xf numFmtId="0" fontId="27" fillId="0" borderId="16" xfId="0" applyFont="1" applyFill="1" applyBorder="1" applyAlignment="1">
      <alignment horizontal="left"/>
    </xf>
    <xf numFmtId="164" fontId="14" fillId="6" borderId="4" xfId="0" applyNumberFormat="1" applyFont="1" applyFill="1" applyBorder="1" applyProtection="1">
      <protection locked="0"/>
    </xf>
    <xf numFmtId="164" fontId="14" fillId="6" borderId="4" xfId="0" applyNumberFormat="1" applyFont="1" applyFill="1" applyBorder="1" applyProtection="1"/>
    <xf numFmtId="0" fontId="27" fillId="0" borderId="0" xfId="0" applyFont="1" applyFill="1" applyBorder="1"/>
    <xf numFmtId="171" fontId="14" fillId="6" borderId="26" xfId="16" applyNumberFormat="1" applyFont="1" applyFill="1" applyBorder="1"/>
    <xf numFmtId="171" fontId="14" fillId="7" borderId="26" xfId="16" applyNumberFormat="1" applyFont="1" applyFill="1" applyBorder="1"/>
    <xf numFmtId="171" fontId="14" fillId="6" borderId="28" xfId="16" applyNumberFormat="1" applyFont="1" applyFill="1" applyBorder="1"/>
    <xf numFmtId="1" fontId="14" fillId="6" borderId="4" xfId="0" applyNumberFormat="1" applyFont="1" applyFill="1" applyBorder="1" applyProtection="1">
      <protection locked="0"/>
    </xf>
    <xf numFmtId="1" fontId="14" fillId="6" borderId="4" xfId="0" applyNumberFormat="1" applyFont="1" applyFill="1" applyBorder="1" applyProtection="1"/>
    <xf numFmtId="0" fontId="16" fillId="0" borderId="0" xfId="0" applyFont="1" applyFill="1" applyBorder="1" applyAlignment="1">
      <alignment horizontal="left"/>
    </xf>
    <xf numFmtId="166" fontId="5" fillId="6" borderId="4" xfId="0" applyNumberFormat="1" applyFont="1" applyFill="1" applyBorder="1"/>
    <xf numFmtId="3" fontId="5" fillId="6" borderId="4" xfId="0" applyNumberFormat="1" applyFont="1" applyFill="1" applyBorder="1"/>
    <xf numFmtId="0" fontId="2" fillId="0" borderId="0" xfId="6" applyFont="1" applyFill="1" applyBorder="1" applyAlignment="1">
      <alignment horizontal="center"/>
    </xf>
    <xf numFmtId="170" fontId="2" fillId="6" borderId="4" xfId="15" applyNumberFormat="1" applyFont="1" applyFill="1" applyBorder="1"/>
    <xf numFmtId="49" fontId="2" fillId="6" borderId="23" xfId="0" quotePrefix="1" applyNumberFormat="1" applyFont="1" applyFill="1" applyBorder="1" applyAlignment="1" applyProtection="1">
      <alignment horizontal="left"/>
      <protection locked="0"/>
    </xf>
    <xf numFmtId="49" fontId="5" fillId="6" borderId="1" xfId="0" quotePrefix="1" applyNumberFormat="1" applyFont="1" applyFill="1" applyBorder="1" applyAlignment="1" applyProtection="1">
      <alignment horizontal="left"/>
      <protection locked="0"/>
    </xf>
    <xf numFmtId="49" fontId="5" fillId="6" borderId="24" xfId="0" quotePrefix="1" applyNumberFormat="1" applyFont="1" applyFill="1" applyBorder="1" applyAlignment="1" applyProtection="1">
      <alignment horizontal="left"/>
      <protection locked="0"/>
    </xf>
    <xf numFmtId="49" fontId="2" fillId="6" borderId="23" xfId="0" applyNumberFormat="1" applyFont="1" applyFill="1" applyBorder="1" applyAlignment="1" applyProtection="1">
      <alignment horizontal="left"/>
      <protection locked="0"/>
    </xf>
    <xf numFmtId="49" fontId="5" fillId="6" borderId="1" xfId="0" applyNumberFormat="1" applyFont="1" applyFill="1" applyBorder="1" applyAlignment="1" applyProtection="1">
      <alignment horizontal="left"/>
      <protection locked="0"/>
    </xf>
    <xf numFmtId="49" fontId="5" fillId="6" borderId="24" xfId="0" applyNumberFormat="1" applyFont="1" applyFill="1" applyBorder="1" applyAlignment="1" applyProtection="1">
      <alignment horizontal="left"/>
      <protection locked="0"/>
    </xf>
    <xf numFmtId="3" fontId="2" fillId="6" borderId="26" xfId="6" applyNumberFormat="1" applyFont="1" applyFill="1" applyBorder="1" applyProtection="1">
      <protection locked="0"/>
    </xf>
    <xf numFmtId="166" fontId="2" fillId="6" borderId="26" xfId="6" applyNumberFormat="1" applyFont="1" applyFill="1" applyBorder="1" applyProtection="1">
      <protection locked="0"/>
    </xf>
    <xf numFmtId="7" fontId="2" fillId="6" borderId="26" xfId="6" applyNumberFormat="1" applyFont="1" applyFill="1" applyBorder="1"/>
    <xf numFmtId="7" fontId="2" fillId="6" borderId="4" xfId="6" applyNumberFormat="1" applyFont="1" applyFill="1" applyBorder="1"/>
    <xf numFmtId="166" fontId="2" fillId="6" borderId="26" xfId="6" applyNumberFormat="1" applyFont="1" applyFill="1" applyBorder="1"/>
    <xf numFmtId="10" fontId="2" fillId="6" borderId="4" xfId="10" applyNumberFormat="1" applyFont="1" applyFill="1" applyBorder="1" applyProtection="1"/>
    <xf numFmtId="43" fontId="14" fillId="6" borderId="4" xfId="15" applyFont="1" applyFill="1" applyBorder="1" applyProtection="1">
      <protection locked="0"/>
    </xf>
    <xf numFmtId="49" fontId="2" fillId="6" borderId="1" xfId="0" applyNumberFormat="1" applyFont="1" applyFill="1" applyBorder="1" applyAlignment="1" applyProtection="1">
      <protection locked="0"/>
    </xf>
    <xf numFmtId="49" fontId="2" fillId="6" borderId="24" xfId="0" applyNumberFormat="1" applyFont="1" applyFill="1" applyBorder="1" applyAlignment="1" applyProtection="1">
      <protection locked="0"/>
    </xf>
    <xf numFmtId="171" fontId="14" fillId="6" borderId="5" xfId="16" applyNumberFormat="1" applyFont="1" applyFill="1" applyBorder="1" applyProtection="1">
      <protection locked="0"/>
    </xf>
    <xf numFmtId="170" fontId="14" fillId="6" borderId="4" xfId="15" applyNumberFormat="1" applyFont="1" applyFill="1" applyBorder="1" applyProtection="1">
      <protection locked="0"/>
    </xf>
    <xf numFmtId="3" fontId="14" fillId="6" borderId="4" xfId="0" applyNumberFormat="1" applyFont="1" applyFill="1" applyBorder="1" applyProtection="1"/>
    <xf numFmtId="49" fontId="14" fillId="6" borderId="23" xfId="0" applyNumberFormat="1" applyFont="1" applyFill="1" applyBorder="1" applyAlignment="1" applyProtection="1">
      <alignment wrapText="1"/>
      <protection locked="0"/>
    </xf>
    <xf numFmtId="49" fontId="2" fillId="6" borderId="1" xfId="0" applyNumberFormat="1" applyFont="1" applyFill="1" applyBorder="1" applyAlignment="1" applyProtection="1">
      <protection locked="0"/>
    </xf>
    <xf numFmtId="49" fontId="2" fillId="6" borderId="24" xfId="0" applyNumberFormat="1" applyFont="1" applyFill="1" applyBorder="1" applyAlignment="1" applyProtection="1">
      <protection locked="0"/>
    </xf>
    <xf numFmtId="49" fontId="2" fillId="6" borderId="16" xfId="0" applyNumberFormat="1" applyFont="1" applyFill="1" applyBorder="1" applyAlignment="1" applyProtection="1">
      <protection locked="0"/>
    </xf>
    <xf numFmtId="166" fontId="14" fillId="8" borderId="4" xfId="0" applyNumberFormat="1" applyFont="1" applyFill="1" applyBorder="1" applyProtection="1">
      <protection locked="0"/>
    </xf>
    <xf numFmtId="10" fontId="14" fillId="8" borderId="4" xfId="0" applyNumberFormat="1" applyFont="1" applyFill="1" applyBorder="1" applyProtection="1">
      <protection locked="0"/>
    </xf>
    <xf numFmtId="0" fontId="2" fillId="0" borderId="0" xfId="18" applyFont="1" applyFill="1" applyBorder="1" applyAlignment="1">
      <alignment horizontal="left"/>
    </xf>
    <xf numFmtId="0" fontId="2" fillId="0" borderId="0" xfId="18" applyFont="1" applyFill="1" applyBorder="1"/>
    <xf numFmtId="0" fontId="2" fillId="0" borderId="0" xfId="18" applyFont="1" applyFill="1" applyBorder="1" applyAlignment="1">
      <alignment horizontal="centerContinuous"/>
    </xf>
    <xf numFmtId="0" fontId="15" fillId="0" borderId="0" xfId="18" applyFont="1" applyFill="1" applyBorder="1" applyAlignment="1">
      <alignment horizontal="centerContinuous"/>
    </xf>
    <xf numFmtId="0" fontId="15" fillId="0" borderId="0" xfId="18" applyFont="1" applyFill="1" applyBorder="1"/>
    <xf numFmtId="0" fontId="15" fillId="0" borderId="0" xfId="18" applyFont="1" applyFill="1" applyBorder="1" applyAlignment="1">
      <alignment horizontal="right"/>
    </xf>
    <xf numFmtId="0" fontId="17" fillId="0" borderId="0" xfId="18" applyFont="1" applyFill="1" applyBorder="1" applyAlignment="1">
      <alignment horizontal="left"/>
    </xf>
    <xf numFmtId="0" fontId="15" fillId="0" borderId="0" xfId="18" applyFont="1" applyFill="1" applyBorder="1" applyAlignment="1">
      <alignment horizontal="center" wrapText="1"/>
    </xf>
    <xf numFmtId="0" fontId="15" fillId="0" borderId="0" xfId="18" applyFont="1" applyFill="1" applyBorder="1" applyAlignment="1">
      <alignment horizontal="left"/>
    </xf>
    <xf numFmtId="3" fontId="2" fillId="6" borderId="4" xfId="18" applyNumberFormat="1" applyFont="1" applyFill="1" applyBorder="1" applyProtection="1">
      <protection locked="0"/>
    </xf>
    <xf numFmtId="164" fontId="2" fillId="6" borderId="4" xfId="18" applyNumberFormat="1" applyFont="1" applyFill="1" applyBorder="1" applyProtection="1">
      <protection locked="0"/>
    </xf>
    <xf numFmtId="44" fontId="12" fillId="6" borderId="23" xfId="3" applyFont="1" applyFill="1" applyBorder="1" applyProtection="1">
      <protection locked="0"/>
    </xf>
    <xf numFmtId="164" fontId="2" fillId="6" borderId="4" xfId="18" applyNumberFormat="1" applyFont="1" applyFill="1" applyBorder="1"/>
    <xf numFmtId="37" fontId="2" fillId="6" borderId="4" xfId="18" applyNumberFormat="1" applyFont="1" applyFill="1" applyBorder="1" applyProtection="1">
      <protection locked="0"/>
    </xf>
    <xf numFmtId="164" fontId="2" fillId="6" borderId="23" xfId="18" applyNumberFormat="1" applyFont="1" applyFill="1" applyBorder="1" applyProtection="1">
      <protection locked="0"/>
    </xf>
    <xf numFmtId="49" fontId="2" fillId="6" borderId="23" xfId="18" applyNumberFormat="1" applyFont="1" applyFill="1" applyBorder="1" applyAlignment="1" applyProtection="1">
      <protection locked="0"/>
    </xf>
    <xf numFmtId="49" fontId="2" fillId="6" borderId="1" xfId="18" applyNumberFormat="1" applyFont="1" applyFill="1" applyBorder="1" applyAlignment="1" applyProtection="1">
      <protection locked="0"/>
    </xf>
    <xf numFmtId="49" fontId="2" fillId="6" borderId="24" xfId="18" applyNumberFormat="1" applyFont="1" applyFill="1" applyBorder="1" applyAlignment="1" applyProtection="1">
      <protection locked="0"/>
    </xf>
    <xf numFmtId="37" fontId="2" fillId="0" borderId="0" xfId="18" applyNumberFormat="1" applyFont="1" applyFill="1" applyBorder="1"/>
    <xf numFmtId="164" fontId="2" fillId="0" borderId="0" xfId="18" applyNumberFormat="1" applyFont="1" applyFill="1" applyBorder="1"/>
    <xf numFmtId="164" fontId="2" fillId="0" borderId="4" xfId="18" applyNumberFormat="1" applyFont="1" applyFill="1" applyBorder="1"/>
    <xf numFmtId="37" fontId="2" fillId="6" borderId="4" xfId="18" applyNumberFormat="1" applyFont="1" applyFill="1" applyBorder="1"/>
    <xf numFmtId="3" fontId="2" fillId="0" borderId="25" xfId="18" applyNumberFormat="1" applyFont="1" applyFill="1" applyBorder="1"/>
    <xf numFmtId="166" fontId="2" fillId="0" borderId="25" xfId="18" applyNumberFormat="1" applyFont="1" applyFill="1" applyBorder="1"/>
    <xf numFmtId="166" fontId="2" fillId="7" borderId="7" xfId="18" applyNumberFormat="1" applyFont="1" applyFill="1" applyBorder="1"/>
    <xf numFmtId="164" fontId="2" fillId="6" borderId="4" xfId="18" applyNumberFormat="1" applyFont="1" applyFill="1" applyBorder="1" applyProtection="1"/>
    <xf numFmtId="1" fontId="2" fillId="6" borderId="4" xfId="18" applyNumberFormat="1" applyFont="1" applyFill="1" applyBorder="1"/>
    <xf numFmtId="0" fontId="2" fillId="0" borderId="25" xfId="18" applyFont="1" applyFill="1" applyBorder="1"/>
    <xf numFmtId="164" fontId="2" fillId="7" borderId="23" xfId="18" applyNumberFormat="1" applyFont="1" applyFill="1" applyBorder="1" applyProtection="1"/>
    <xf numFmtId="3" fontId="2" fillId="6" borderId="4" xfId="18" applyNumberFormat="1" applyFont="1" applyFill="1" applyBorder="1"/>
    <xf numFmtId="0" fontId="2" fillId="0" borderId="14" xfId="18" applyFont="1" applyFill="1" applyBorder="1"/>
    <xf numFmtId="0" fontId="2" fillId="7" borderId="0" xfId="18" applyFont="1" applyFill="1" applyBorder="1"/>
    <xf numFmtId="166" fontId="2" fillId="7" borderId="0" xfId="18" applyNumberFormat="1" applyFont="1" applyFill="1" applyBorder="1" applyProtection="1"/>
    <xf numFmtId="166" fontId="2" fillId="7" borderId="0" xfId="18" applyNumberFormat="1" applyFont="1" applyFill="1" applyBorder="1"/>
    <xf numFmtId="0" fontId="2" fillId="6" borderId="4" xfId="18" applyFont="1" applyFill="1" applyBorder="1" applyProtection="1">
      <protection locked="0"/>
    </xf>
    <xf numFmtId="164" fontId="12" fillId="6" borderId="4" xfId="3" applyNumberFormat="1" applyFont="1" applyFill="1" applyBorder="1" applyProtection="1">
      <protection locked="0"/>
    </xf>
    <xf numFmtId="164" fontId="2" fillId="6" borderId="26" xfId="18" applyNumberFormat="1" applyFont="1" applyFill="1" applyBorder="1" applyProtection="1">
      <protection locked="0"/>
    </xf>
    <xf numFmtId="3" fontId="2" fillId="6" borderId="26" xfId="18" applyNumberFormat="1" applyFont="1" applyFill="1" applyBorder="1" applyProtection="1">
      <protection locked="0"/>
    </xf>
    <xf numFmtId="49" fontId="2" fillId="6" borderId="15" xfId="18" applyNumberFormat="1" applyFont="1" applyFill="1" applyBorder="1" applyAlignment="1" applyProtection="1">
      <protection locked="0"/>
    </xf>
    <xf numFmtId="49" fontId="2" fillId="6" borderId="16" xfId="18" applyNumberFormat="1" applyFont="1" applyFill="1" applyBorder="1" applyAlignment="1" applyProtection="1">
      <protection locked="0"/>
    </xf>
    <xf numFmtId="49" fontId="2" fillId="6" borderId="27" xfId="18" applyNumberFormat="1" applyFont="1" applyFill="1" applyBorder="1" applyAlignment="1" applyProtection="1">
      <protection locked="0"/>
    </xf>
    <xf numFmtId="3" fontId="2" fillId="7" borderId="0" xfId="18" applyNumberFormat="1" applyFont="1" applyFill="1" applyBorder="1" applyProtection="1">
      <protection locked="0"/>
    </xf>
    <xf numFmtId="171" fontId="2" fillId="7" borderId="0" xfId="18" applyNumberFormat="1" applyFont="1" applyFill="1" applyBorder="1" applyProtection="1">
      <protection locked="0"/>
    </xf>
    <xf numFmtId="171" fontId="2" fillId="7" borderId="0" xfId="18" applyNumberFormat="1" applyFont="1" applyFill="1" applyBorder="1" applyProtection="1"/>
    <xf numFmtId="171" fontId="2" fillId="7" borderId="0" xfId="18" applyNumberFormat="1" applyFont="1" applyFill="1" applyBorder="1"/>
    <xf numFmtId="3" fontId="2" fillId="6" borderId="4" xfId="18" applyNumberFormat="1" applyFont="1" applyFill="1" applyBorder="1" applyProtection="1"/>
    <xf numFmtId="0" fontId="2" fillId="6" borderId="4" xfId="18" applyFont="1" applyFill="1" applyBorder="1" applyProtection="1"/>
    <xf numFmtId="164" fontId="12" fillId="6" borderId="4" xfId="3" applyNumberFormat="1" applyFont="1" applyFill="1" applyBorder="1" applyProtection="1"/>
    <xf numFmtId="164" fontId="12" fillId="6" borderId="23" xfId="3" applyNumberFormat="1" applyFont="1" applyFill="1" applyBorder="1" applyProtection="1"/>
    <xf numFmtId="171" fontId="15" fillId="0" borderId="0" xfId="18" applyNumberFormat="1" applyFont="1" applyFill="1" applyBorder="1" applyAlignment="1">
      <alignment horizontal="center" wrapText="1"/>
    </xf>
    <xf numFmtId="171" fontId="2" fillId="0" borderId="0" xfId="18" applyNumberFormat="1" applyFont="1" applyFill="1" applyBorder="1"/>
    <xf numFmtId="164" fontId="2" fillId="7" borderId="4" xfId="18" applyNumberFormat="1" applyFont="1" applyFill="1" applyBorder="1"/>
    <xf numFmtId="1" fontId="2" fillId="6" borderId="4" xfId="18" applyNumberFormat="1" applyFont="1" applyFill="1" applyBorder="1" applyProtection="1"/>
    <xf numFmtId="3" fontId="2" fillId="6" borderId="5" xfId="18" applyNumberFormat="1" applyFont="1" applyFill="1" applyBorder="1" applyProtection="1">
      <protection locked="0"/>
    </xf>
    <xf numFmtId="164" fontId="2" fillId="6" borderId="5" xfId="18" applyNumberFormat="1" applyFont="1" applyFill="1" applyBorder="1" applyProtection="1">
      <protection locked="0"/>
    </xf>
    <xf numFmtId="0" fontId="2" fillId="0" borderId="16" xfId="18" applyFont="1" applyFill="1" applyBorder="1" applyAlignment="1">
      <alignment horizontal="left"/>
    </xf>
    <xf numFmtId="0" fontId="15" fillId="0" borderId="16" xfId="18" applyFont="1" applyFill="1" applyBorder="1"/>
    <xf numFmtId="0" fontId="2" fillId="0" borderId="16" xfId="18" applyFont="1" applyFill="1" applyBorder="1"/>
    <xf numFmtId="10" fontId="2" fillId="6" borderId="4" xfId="18" applyNumberFormat="1" applyFont="1" applyFill="1" applyBorder="1" applyProtection="1">
      <protection locked="0"/>
    </xf>
    <xf numFmtId="3" fontId="2" fillId="6" borderId="26" xfId="18" applyNumberFormat="1" applyFont="1" applyFill="1" applyBorder="1"/>
    <xf numFmtId="3" fontId="2" fillId="7" borderId="26" xfId="18" applyNumberFormat="1" applyFont="1" applyFill="1" applyBorder="1"/>
    <xf numFmtId="166" fontId="2" fillId="7" borderId="26" xfId="18" applyNumberFormat="1" applyFont="1" applyFill="1" applyBorder="1"/>
    <xf numFmtId="164" fontId="2" fillId="6" borderId="26" xfId="18" applyNumberFormat="1" applyFont="1" applyFill="1" applyBorder="1"/>
    <xf numFmtId="3" fontId="2" fillId="6" borderId="28" xfId="18" applyNumberFormat="1" applyFont="1" applyFill="1" applyBorder="1"/>
    <xf numFmtId="10" fontId="12" fillId="6" borderId="4" xfId="10" applyNumberFormat="1" applyFont="1" applyFill="1" applyBorder="1" applyProtection="1"/>
    <xf numFmtId="49" fontId="22" fillId="6" borderId="23" xfId="0" applyNumberFormat="1" applyFont="1" applyFill="1" applyBorder="1" applyAlignment="1" applyProtection="1">
      <protection locked="0"/>
    </xf>
    <xf numFmtId="49" fontId="22" fillId="6" borderId="1" xfId="0" applyNumberFormat="1" applyFont="1" applyFill="1" applyBorder="1" applyAlignment="1" applyProtection="1">
      <protection locked="0"/>
    </xf>
    <xf numFmtId="49" fontId="22" fillId="6" borderId="24" xfId="0" applyNumberFormat="1" applyFont="1" applyFill="1" applyBorder="1" applyAlignment="1" applyProtection="1">
      <protection locked="0"/>
    </xf>
    <xf numFmtId="49" fontId="2" fillId="6" borderId="23" xfId="0" applyNumberFormat="1" applyFont="1" applyFill="1" applyBorder="1" applyAlignment="1" applyProtection="1">
      <protection locked="0"/>
    </xf>
    <xf numFmtId="49" fontId="2" fillId="6" borderId="15" xfId="0" applyNumberFormat="1" applyFont="1" applyFill="1" applyBorder="1" applyAlignment="1" applyProtection="1">
      <protection locked="0"/>
    </xf>
    <xf numFmtId="49" fontId="2" fillId="6" borderId="1" xfId="0" applyNumberFormat="1" applyFont="1" applyFill="1" applyBorder="1" applyAlignment="1" applyProtection="1">
      <protection locked="0"/>
    </xf>
    <xf numFmtId="49" fontId="2" fillId="6" borderId="24" xfId="0" applyNumberFormat="1" applyFont="1" applyFill="1" applyBorder="1" applyAlignment="1" applyProtection="1">
      <protection locked="0"/>
    </xf>
    <xf numFmtId="49" fontId="2" fillId="6" borderId="16" xfId="0" applyNumberFormat="1" applyFont="1" applyFill="1" applyBorder="1" applyAlignment="1" applyProtection="1">
      <protection locked="0"/>
    </xf>
    <xf numFmtId="0" fontId="2" fillId="0" borderId="0" xfId="6" applyFont="1" applyFill="1" applyBorder="1" applyAlignment="1">
      <alignment horizontal="left"/>
    </xf>
    <xf numFmtId="0" fontId="2" fillId="0" borderId="0" xfId="6" applyFont="1" applyFill="1" applyBorder="1" applyAlignment="1">
      <alignment horizontal="centerContinuous"/>
    </xf>
    <xf numFmtId="0" fontId="15" fillId="0" borderId="0" xfId="6" applyFont="1" applyFill="1" applyBorder="1" applyAlignment="1">
      <alignment horizontal="centerContinuous"/>
    </xf>
    <xf numFmtId="0" fontId="2" fillId="6" borderId="4" xfId="6" applyFont="1" applyFill="1" applyBorder="1" applyProtection="1"/>
    <xf numFmtId="164" fontId="2" fillId="6" borderId="26" xfId="6" applyNumberFormat="1" applyFont="1" applyFill="1" applyBorder="1"/>
    <xf numFmtId="10" fontId="11" fillId="6" borderId="4" xfId="10" applyNumberFormat="1" applyFont="1" applyFill="1" applyBorder="1" applyProtection="1"/>
    <xf numFmtId="0" fontId="2" fillId="0" borderId="0" xfId="0" applyFont="1" applyFill="1" applyBorder="1" applyAlignment="1">
      <alignment horizontal="centerContinuous"/>
    </xf>
    <xf numFmtId="166" fontId="2" fillId="6" borderId="4" xfId="0" applyNumberFormat="1" applyFont="1" applyFill="1" applyBorder="1" applyProtection="1">
      <protection locked="0"/>
    </xf>
    <xf numFmtId="166" fontId="2" fillId="6" borderId="4" xfId="0" applyNumberFormat="1" applyFont="1" applyFill="1" applyBorder="1"/>
    <xf numFmtId="166" fontId="2" fillId="0" borderId="4" xfId="0" applyNumberFormat="1" applyFont="1" applyFill="1" applyBorder="1"/>
    <xf numFmtId="3" fontId="2" fillId="6" borderId="4" xfId="0" applyNumberFormat="1" applyFont="1" applyFill="1" applyBorder="1"/>
    <xf numFmtId="3" fontId="2" fillId="0" borderId="25" xfId="0" applyNumberFormat="1" applyFont="1" applyFill="1" applyBorder="1"/>
    <xf numFmtId="166" fontId="2" fillId="0" borderId="25" xfId="0" applyNumberFormat="1" applyFont="1" applyFill="1" applyBorder="1"/>
    <xf numFmtId="166" fontId="2" fillId="7" borderId="7" xfId="0" applyNumberFormat="1" applyFont="1" applyFill="1" applyBorder="1"/>
    <xf numFmtId="166" fontId="2" fillId="6" borderId="4" xfId="0" applyNumberFormat="1" applyFont="1" applyFill="1" applyBorder="1" applyProtection="1"/>
    <xf numFmtId="1" fontId="2" fillId="6" borderId="4" xfId="0" applyNumberFormat="1" applyFont="1" applyFill="1" applyBorder="1"/>
    <xf numFmtId="0" fontId="2" fillId="0" borderId="25" xfId="0" applyFont="1" applyFill="1" applyBorder="1"/>
    <xf numFmtId="166" fontId="2" fillId="7" borderId="23" xfId="0" applyNumberFormat="1" applyFont="1" applyFill="1" applyBorder="1" applyProtection="1"/>
    <xf numFmtId="0" fontId="2" fillId="0" borderId="14" xfId="0" applyFont="1" applyFill="1" applyBorder="1"/>
    <xf numFmtId="0" fontId="2" fillId="7" borderId="0" xfId="0" applyFont="1" applyFill="1" applyBorder="1"/>
    <xf numFmtId="166" fontId="2" fillId="7" borderId="0" xfId="0" applyNumberFormat="1" applyFont="1" applyFill="1" applyBorder="1" applyProtection="1"/>
    <xf numFmtId="166" fontId="2" fillId="7" borderId="0" xfId="0" applyNumberFormat="1" applyFont="1" applyFill="1" applyBorder="1"/>
    <xf numFmtId="0" fontId="2" fillId="6" borderId="4" xfId="0" applyFont="1" applyFill="1" applyBorder="1" applyProtection="1">
      <protection locked="0"/>
    </xf>
    <xf numFmtId="166" fontId="2" fillId="6" borderId="26" xfId="0" applyNumberFormat="1" applyFont="1" applyFill="1" applyBorder="1" applyProtection="1">
      <protection locked="0"/>
    </xf>
    <xf numFmtId="3" fontId="2" fillId="6" borderId="26" xfId="0" applyNumberFormat="1" applyFont="1" applyFill="1" applyBorder="1" applyProtection="1">
      <protection locked="0"/>
    </xf>
    <xf numFmtId="49" fontId="2" fillId="6" borderId="27" xfId="0" applyNumberFormat="1" applyFont="1" applyFill="1" applyBorder="1" applyAlignment="1" applyProtection="1">
      <protection locked="0"/>
    </xf>
    <xf numFmtId="3" fontId="2" fillId="7" borderId="0" xfId="0" applyNumberFormat="1" applyFont="1" applyFill="1" applyBorder="1" applyProtection="1">
      <protection locked="0"/>
    </xf>
    <xf numFmtId="166" fontId="2" fillId="7" borderId="0" xfId="0" applyNumberFormat="1" applyFont="1" applyFill="1" applyBorder="1" applyProtection="1">
      <protection locked="0"/>
    </xf>
    <xf numFmtId="0" fontId="2" fillId="6" borderId="4" xfId="0" applyFont="1" applyFill="1" applyBorder="1" applyProtection="1"/>
    <xf numFmtId="44" fontId="2" fillId="6" borderId="4" xfId="3" applyFont="1" applyFill="1" applyBorder="1" applyProtection="1"/>
    <xf numFmtId="166" fontId="2" fillId="6" borderId="23" xfId="0" applyNumberFormat="1" applyFont="1" applyFill="1" applyBorder="1" applyProtection="1"/>
    <xf numFmtId="166" fontId="2" fillId="7" borderId="4" xfId="0" applyNumberFormat="1" applyFont="1" applyFill="1" applyBorder="1"/>
    <xf numFmtId="3" fontId="2" fillId="6" borderId="5" xfId="0" applyNumberFormat="1" applyFont="1" applyFill="1" applyBorder="1" applyProtection="1">
      <protection locked="0"/>
    </xf>
    <xf numFmtId="166" fontId="2" fillId="6" borderId="5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/>
    </xf>
    <xf numFmtId="0" fontId="2" fillId="0" borderId="16" xfId="0" applyFont="1" applyFill="1" applyBorder="1"/>
    <xf numFmtId="10" fontId="2" fillId="6" borderId="4" xfId="0" applyNumberFormat="1" applyFont="1" applyFill="1" applyBorder="1" applyProtection="1">
      <protection locked="0"/>
    </xf>
    <xf numFmtId="3" fontId="2" fillId="6" borderId="26" xfId="0" applyNumberFormat="1" applyFont="1" applyFill="1" applyBorder="1"/>
    <xf numFmtId="3" fontId="2" fillId="7" borderId="26" xfId="0" applyNumberFormat="1" applyFont="1" applyFill="1" applyBorder="1"/>
    <xf numFmtId="166" fontId="2" fillId="7" borderId="26" xfId="0" applyNumberFormat="1" applyFont="1" applyFill="1" applyBorder="1"/>
    <xf numFmtId="166" fontId="2" fillId="6" borderId="26" xfId="0" applyNumberFormat="1" applyFont="1" applyFill="1" applyBorder="1"/>
    <xf numFmtId="3" fontId="2" fillId="6" borderId="28" xfId="0" applyNumberFormat="1" applyFont="1" applyFill="1" applyBorder="1"/>
    <xf numFmtId="3" fontId="2" fillId="0" borderId="0" xfId="0" applyNumberFormat="1" applyFont="1" applyFill="1" applyBorder="1"/>
    <xf numFmtId="10" fontId="2" fillId="6" borderId="4" xfId="14" applyNumberFormat="1" applyFont="1" applyFill="1" applyBorder="1" applyProtection="1"/>
    <xf numFmtId="166" fontId="2" fillId="0" borderId="0" xfId="0" applyNumberFormat="1" applyFont="1" applyFill="1" applyBorder="1"/>
    <xf numFmtId="43" fontId="2" fillId="6" borderId="4" xfId="0" applyNumberFormat="1" applyFont="1" applyFill="1" applyBorder="1" applyProtection="1">
      <protection locked="0"/>
    </xf>
    <xf numFmtId="164" fontId="2" fillId="6" borderId="4" xfId="0" applyNumberFormat="1" applyFont="1" applyFill="1" applyBorder="1" applyProtection="1">
      <protection locked="0"/>
    </xf>
    <xf numFmtId="164" fontId="2" fillId="6" borderId="4" xfId="0" applyNumberFormat="1" applyFont="1" applyFill="1" applyBorder="1"/>
    <xf numFmtId="172" fontId="2" fillId="6" borderId="4" xfId="0" applyNumberFormat="1" applyFont="1" applyFill="1" applyBorder="1" applyProtection="1">
      <protection locked="0"/>
    </xf>
    <xf numFmtId="172" fontId="2" fillId="0" borderId="0" xfId="0" applyNumberFormat="1" applyFont="1" applyFill="1" applyBorder="1"/>
    <xf numFmtId="172" fontId="2" fillId="6" borderId="4" xfId="0" applyNumberFormat="1" applyFont="1" applyFill="1" applyBorder="1"/>
    <xf numFmtId="164" fontId="2" fillId="0" borderId="0" xfId="0" applyNumberFormat="1" applyFont="1" applyFill="1" applyBorder="1"/>
    <xf numFmtId="10" fontId="2" fillId="6" borderId="4" xfId="14" applyNumberFormat="1" applyFont="1" applyFill="1" applyBorder="1" applyProtection="1">
      <protection locked="0"/>
    </xf>
    <xf numFmtId="164" fontId="2" fillId="6" borderId="4" xfId="0" applyNumberFormat="1" applyFont="1" applyFill="1" applyBorder="1" applyProtection="1"/>
    <xf numFmtId="166" fontId="2" fillId="0" borderId="14" xfId="0" applyNumberFormat="1" applyFont="1" applyFill="1" applyBorder="1"/>
    <xf numFmtId="3" fontId="2" fillId="6" borderId="4" xfId="0" applyNumberFormat="1" applyFont="1" applyFill="1" applyBorder="1" applyAlignment="1" applyProtection="1">
      <alignment wrapText="1"/>
      <protection locked="0"/>
    </xf>
    <xf numFmtId="166" fontId="2" fillId="6" borderId="4" xfId="0" applyNumberFormat="1" applyFont="1" applyFill="1" applyBorder="1" applyAlignment="1" applyProtection="1">
      <alignment wrapText="1"/>
      <protection locked="0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Continuous"/>
    </xf>
    <xf numFmtId="10" fontId="33" fillId="0" borderId="0" xfId="17" applyNumberFormat="1" applyFont="1" applyFill="1" applyBorder="1"/>
    <xf numFmtId="3" fontId="11" fillId="6" borderId="4" xfId="0" applyNumberFormat="1" applyFont="1" applyFill="1" applyBorder="1" applyAlignment="1" applyProtection="1">
      <alignment horizontal="right"/>
      <protection locked="0"/>
    </xf>
    <xf numFmtId="166" fontId="11" fillId="6" borderId="4" xfId="0" applyNumberFormat="1" applyFont="1" applyFill="1" applyBorder="1" applyProtection="1">
      <protection locked="0"/>
    </xf>
    <xf numFmtId="166" fontId="11" fillId="6" borderId="23" xfId="0" applyNumberFormat="1" applyFont="1" applyFill="1" applyBorder="1" applyAlignment="1" applyProtection="1">
      <alignment horizontal="right"/>
      <protection locked="0"/>
    </xf>
    <xf numFmtId="166" fontId="11" fillId="6" borderId="4" xfId="0" applyNumberFormat="1" applyFont="1" applyFill="1" applyBorder="1"/>
    <xf numFmtId="3" fontId="11" fillId="6" borderId="4" xfId="0" applyNumberFormat="1" applyFont="1" applyFill="1" applyBorder="1" applyProtection="1">
      <protection locked="0"/>
    </xf>
    <xf numFmtId="166" fontId="11" fillId="6" borderId="23" xfId="0" applyNumberFormat="1" applyFont="1" applyFill="1" applyBorder="1" applyProtection="1">
      <protection locked="0"/>
    </xf>
    <xf numFmtId="166" fontId="11" fillId="0" borderId="4" xfId="0" applyNumberFormat="1" applyFont="1" applyFill="1" applyBorder="1"/>
    <xf numFmtId="3" fontId="11" fillId="0" borderId="25" xfId="0" applyNumberFormat="1" applyFont="1" applyFill="1" applyBorder="1"/>
    <xf numFmtId="166" fontId="11" fillId="0" borderId="25" xfId="0" applyNumberFormat="1" applyFont="1" applyFill="1" applyBorder="1"/>
    <xf numFmtId="166" fontId="11" fillId="7" borderId="7" xfId="0" applyNumberFormat="1" applyFont="1" applyFill="1" applyBorder="1"/>
    <xf numFmtId="0" fontId="11" fillId="0" borderId="25" xfId="0" applyFont="1" applyFill="1" applyBorder="1"/>
    <xf numFmtId="49" fontId="11" fillId="6" borderId="23" xfId="0" applyNumberFormat="1" applyFont="1" applyFill="1" applyBorder="1" applyAlignment="1" applyProtection="1">
      <protection locked="0"/>
    </xf>
    <xf numFmtId="49" fontId="11" fillId="6" borderId="1" xfId="0" applyNumberFormat="1" applyFont="1" applyFill="1" applyBorder="1" applyAlignment="1" applyProtection="1">
      <protection locked="0"/>
    </xf>
    <xf numFmtId="49" fontId="11" fillId="6" borderId="24" xfId="0" applyNumberFormat="1" applyFont="1" applyFill="1" applyBorder="1" applyAlignment="1" applyProtection="1">
      <protection locked="0"/>
    </xf>
    <xf numFmtId="166" fontId="11" fillId="7" borderId="23" xfId="0" applyNumberFormat="1" applyFont="1" applyFill="1" applyBorder="1" applyProtection="1"/>
    <xf numFmtId="0" fontId="11" fillId="0" borderId="14" xfId="0" applyFont="1" applyFill="1" applyBorder="1"/>
    <xf numFmtId="0" fontId="11" fillId="7" borderId="0" xfId="0" applyFont="1" applyFill="1" applyBorder="1"/>
    <xf numFmtId="166" fontId="11" fillId="7" borderId="0" xfId="0" applyNumberFormat="1" applyFont="1" applyFill="1" applyBorder="1" applyProtection="1"/>
    <xf numFmtId="166" fontId="11" fillId="7" borderId="0" xfId="0" applyNumberFormat="1" applyFont="1" applyFill="1" applyBorder="1"/>
    <xf numFmtId="49" fontId="11" fillId="6" borderId="15" xfId="0" applyNumberFormat="1" applyFont="1" applyFill="1" applyBorder="1" applyAlignment="1" applyProtection="1">
      <protection locked="0"/>
    </xf>
    <xf numFmtId="49" fontId="11" fillId="6" borderId="16" xfId="0" applyNumberFormat="1" applyFont="1" applyFill="1" applyBorder="1" applyAlignment="1" applyProtection="1">
      <protection locked="0"/>
    </xf>
    <xf numFmtId="49" fontId="11" fillId="6" borderId="27" xfId="0" applyNumberFormat="1" applyFont="1" applyFill="1" applyBorder="1" applyAlignment="1" applyProtection="1">
      <protection locked="0"/>
    </xf>
    <xf numFmtId="3" fontId="11" fillId="7" borderId="0" xfId="0" applyNumberFormat="1" applyFont="1" applyFill="1" applyBorder="1" applyProtection="1">
      <protection locked="0"/>
    </xf>
    <xf numFmtId="166" fontId="11" fillId="7" borderId="0" xfId="0" applyNumberFormat="1" applyFont="1" applyFill="1" applyBorder="1" applyProtection="1">
      <protection locked="0"/>
    </xf>
    <xf numFmtId="166" fontId="11" fillId="7" borderId="4" xfId="0" applyNumberFormat="1" applyFont="1" applyFill="1" applyBorder="1"/>
    <xf numFmtId="0" fontId="11" fillId="0" borderId="16" xfId="0" applyFont="1" applyFill="1" applyBorder="1" applyAlignment="1">
      <alignment horizontal="left"/>
    </xf>
    <xf numFmtId="0" fontId="11" fillId="0" borderId="16" xfId="0" applyFont="1" applyFill="1" applyBorder="1"/>
    <xf numFmtId="10" fontId="11" fillId="6" borderId="4" xfId="0" applyNumberFormat="1" applyFont="1" applyFill="1" applyBorder="1" applyProtection="1">
      <protection locked="0"/>
    </xf>
    <xf numFmtId="166" fontId="11" fillId="6" borderId="4" xfId="0" applyNumberFormat="1" applyFont="1" applyFill="1" applyBorder="1" applyProtection="1"/>
    <xf numFmtId="3" fontId="11" fillId="7" borderId="26" xfId="0" applyNumberFormat="1" applyFont="1" applyFill="1" applyBorder="1" applyAlignment="1">
      <alignment horizontal="right"/>
    </xf>
    <xf numFmtId="166" fontId="11" fillId="7" borderId="26" xfId="0" applyNumberFormat="1" applyFont="1" applyFill="1" applyBorder="1" applyAlignment="1">
      <alignment horizontal="right"/>
    </xf>
    <xf numFmtId="166" fontId="11" fillId="6" borderId="26" xfId="0" applyNumberFormat="1" applyFont="1" applyFill="1" applyBorder="1"/>
    <xf numFmtId="10" fontId="32" fillId="6" borderId="4" xfId="17" applyNumberFormat="1" applyFont="1" applyFill="1" applyBorder="1" applyProtection="1"/>
    <xf numFmtId="0" fontId="0" fillId="0" borderId="4" xfId="0" applyBorder="1"/>
    <xf numFmtId="0" fontId="34" fillId="0" borderId="4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22" fillId="6" borderId="23" xfId="0" applyNumberFormat="1" applyFont="1" applyFill="1" applyBorder="1" applyAlignment="1" applyProtection="1">
      <protection locked="0"/>
    </xf>
    <xf numFmtId="49" fontId="22" fillId="6" borderId="1" xfId="0" applyNumberFormat="1" applyFont="1" applyFill="1" applyBorder="1" applyAlignment="1" applyProtection="1">
      <protection locked="0"/>
    </xf>
    <xf numFmtId="49" fontId="22" fillId="6" borderId="24" xfId="0" applyNumberFormat="1" applyFont="1" applyFill="1" applyBorder="1" applyAlignment="1" applyProtection="1">
      <protection locked="0"/>
    </xf>
    <xf numFmtId="49" fontId="2" fillId="6" borderId="23" xfId="0" applyNumberFormat="1" applyFont="1" applyFill="1" applyBorder="1" applyAlignment="1" applyProtection="1">
      <protection locked="0"/>
    </xf>
    <xf numFmtId="0" fontId="2" fillId="0" borderId="0" xfId="0" applyFont="1" applyFill="1" applyBorder="1" applyAlignment="1"/>
    <xf numFmtId="49" fontId="2" fillId="6" borderId="15" xfId="0" applyNumberFormat="1" applyFont="1" applyFill="1" applyBorder="1" applyAlignment="1" applyProtection="1">
      <protection locked="0"/>
    </xf>
    <xf numFmtId="49" fontId="2" fillId="6" borderId="1" xfId="0" applyNumberFormat="1" applyFont="1" applyFill="1" applyBorder="1" applyAlignment="1" applyProtection="1">
      <protection locked="0"/>
    </xf>
    <xf numFmtId="49" fontId="2" fillId="6" borderId="24" xfId="0" applyNumberFormat="1" applyFont="1" applyFill="1" applyBorder="1" applyAlignment="1" applyProtection="1">
      <protection locked="0"/>
    </xf>
    <xf numFmtId="49" fontId="2" fillId="6" borderId="16" xfId="0" applyNumberFormat="1" applyFont="1" applyFill="1" applyBorder="1" applyAlignment="1" applyProtection="1">
      <protection locked="0"/>
    </xf>
    <xf numFmtId="49" fontId="2" fillId="6" borderId="15" xfId="6" applyNumberFormat="1" applyFont="1" applyFill="1" applyBorder="1" applyAlignment="1" applyProtection="1">
      <protection locked="0"/>
    </xf>
    <xf numFmtId="49" fontId="2" fillId="6" borderId="16" xfId="6" applyNumberFormat="1" applyFont="1" applyFill="1" applyBorder="1" applyAlignment="1" applyProtection="1">
      <protection locked="0"/>
    </xf>
    <xf numFmtId="49" fontId="2" fillId="6" borderId="24" xfId="6" applyNumberFormat="1" applyFont="1" applyFill="1" applyBorder="1" applyAlignment="1" applyProtection="1">
      <protection locked="0"/>
    </xf>
    <xf numFmtId="49" fontId="22" fillId="6" borderId="23" xfId="6" applyNumberFormat="1" applyFont="1" applyFill="1" applyBorder="1" applyAlignment="1" applyProtection="1">
      <protection locked="0"/>
    </xf>
    <xf numFmtId="49" fontId="22" fillId="6" borderId="1" xfId="6" applyNumberFormat="1" applyFont="1" applyFill="1" applyBorder="1" applyAlignment="1" applyProtection="1">
      <protection locked="0"/>
    </xf>
    <xf numFmtId="49" fontId="22" fillId="6" borderId="24" xfId="6" applyNumberFormat="1" applyFont="1" applyFill="1" applyBorder="1" applyAlignment="1" applyProtection="1">
      <protection locked="0"/>
    </xf>
    <xf numFmtId="49" fontId="2" fillId="6" borderId="23" xfId="6" applyNumberFormat="1" applyFont="1" applyFill="1" applyBorder="1" applyAlignment="1" applyProtection="1">
      <protection locked="0"/>
    </xf>
    <xf numFmtId="49" fontId="2" fillId="6" borderId="1" xfId="6" applyNumberFormat="1" applyFont="1" applyFill="1" applyBorder="1" applyAlignment="1" applyProtection="1">
      <protection locked="0"/>
    </xf>
    <xf numFmtId="166" fontId="2" fillId="0" borderId="0" xfId="0" applyNumberFormat="1" applyFont="1" applyFill="1" applyBorder="1" applyAlignment="1">
      <alignment horizontal="centerContinuous"/>
    </xf>
    <xf numFmtId="3" fontId="2" fillId="6" borderId="4" xfId="0" applyNumberFormat="1" applyFont="1" applyFill="1" applyBorder="1" applyProtection="1"/>
    <xf numFmtId="1" fontId="2" fillId="6" borderId="26" xfId="0" applyNumberFormat="1" applyFont="1" applyFill="1" applyBorder="1"/>
    <xf numFmtId="166" fontId="2" fillId="6" borderId="28" xfId="0" applyNumberFormat="1" applyFont="1" applyFill="1" applyBorder="1"/>
    <xf numFmtId="9" fontId="2" fillId="6" borderId="4" xfId="17" applyFont="1" applyFill="1" applyBorder="1" applyProtection="1"/>
    <xf numFmtId="10" fontId="2" fillId="6" borderId="4" xfId="17" applyNumberFormat="1" applyFont="1" applyFill="1" applyBorder="1" applyProtection="1"/>
    <xf numFmtId="3" fontId="0" fillId="0" borderId="4" xfId="0" applyNumberFormat="1" applyBorder="1"/>
    <xf numFmtId="0" fontId="2" fillId="6" borderId="4" xfId="0" applyFont="1" applyFill="1" applyBorder="1"/>
    <xf numFmtId="166" fontId="2" fillId="6" borderId="4" xfId="16" applyNumberFormat="1" applyFont="1" applyFill="1" applyBorder="1" applyProtection="1">
      <protection locked="0"/>
    </xf>
    <xf numFmtId="166" fontId="2" fillId="6" borderId="26" xfId="16" applyNumberFormat="1" applyFont="1" applyFill="1" applyBorder="1" applyProtection="1">
      <protection locked="0"/>
    </xf>
    <xf numFmtId="166" fontId="2" fillId="7" borderId="0" xfId="16" applyNumberFormat="1" applyFont="1" applyFill="1" applyBorder="1" applyProtection="1">
      <protection locked="0"/>
    </xf>
    <xf numFmtId="166" fontId="2" fillId="6" borderId="4" xfId="16" applyNumberFormat="1" applyFont="1" applyFill="1" applyBorder="1" applyProtection="1"/>
    <xf numFmtId="167" fontId="2" fillId="6" borderId="4" xfId="0" applyNumberFormat="1" applyFont="1" applyFill="1" applyBorder="1" applyProtection="1">
      <protection locked="0"/>
    </xf>
    <xf numFmtId="167" fontId="2" fillId="6" borderId="23" xfId="0" applyNumberFormat="1" applyFont="1" applyFill="1" applyBorder="1" applyProtection="1">
      <protection locked="0"/>
    </xf>
    <xf numFmtId="167" fontId="2" fillId="6" borderId="4" xfId="0" applyNumberFormat="1" applyFont="1" applyFill="1" applyBorder="1"/>
    <xf numFmtId="3" fontId="2" fillId="0" borderId="0" xfId="0" applyNumberFormat="1" applyFont="1" applyFill="1" applyBorder="1" applyAlignment="1">
      <alignment horizontal="centerContinuous"/>
    </xf>
    <xf numFmtId="3" fontId="18" fillId="0" borderId="0" xfId="0" applyNumberFormat="1" applyFont="1" applyFill="1" applyBorder="1"/>
    <xf numFmtId="0" fontId="32" fillId="0" borderId="0" xfId="0" applyFont="1" applyFill="1" applyBorder="1"/>
    <xf numFmtId="3" fontId="32" fillId="0" borderId="0" xfId="0" applyNumberFormat="1" applyFont="1" applyFill="1" applyBorder="1"/>
    <xf numFmtId="3" fontId="15" fillId="0" borderId="0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center" wrapText="1"/>
    </xf>
    <xf numFmtId="3" fontId="2" fillId="0" borderId="14" xfId="0" applyNumberFormat="1" applyFont="1" applyFill="1" applyBorder="1"/>
    <xf numFmtId="3" fontId="2" fillId="7" borderId="0" xfId="0" applyNumberFormat="1" applyFont="1" applyFill="1" applyBorder="1"/>
    <xf numFmtId="172" fontId="2" fillId="6" borderId="4" xfId="0" applyNumberFormat="1" applyFont="1" applyFill="1" applyBorder="1" applyProtection="1"/>
    <xf numFmtId="168" fontId="2" fillId="6" borderId="4" xfId="0" applyNumberFormat="1" applyFont="1" applyFill="1" applyBorder="1" applyProtection="1">
      <protection locked="0"/>
    </xf>
    <xf numFmtId="44" fontId="2" fillId="6" borderId="4" xfId="16" applyFont="1" applyFill="1" applyBorder="1" applyProtection="1"/>
    <xf numFmtId="167" fontId="32" fillId="6" borderId="4" xfId="0" applyNumberFormat="1" applyFont="1" applyFill="1" applyBorder="1"/>
    <xf numFmtId="0" fontId="15" fillId="0" borderId="0" xfId="0" applyFont="1" applyFill="1" applyBorder="1" applyAlignment="1">
      <alignment wrapText="1"/>
    </xf>
    <xf numFmtId="164" fontId="2" fillId="6" borderId="28" xfId="0" applyNumberFormat="1" applyFont="1" applyFill="1" applyBorder="1"/>
    <xf numFmtId="49" fontId="22" fillId="6" borderId="23" xfId="0" applyNumberFormat="1" applyFont="1" applyFill="1" applyBorder="1" applyAlignment="1" applyProtection="1">
      <protection locked="0"/>
    </xf>
    <xf numFmtId="49" fontId="22" fillId="6" borderId="1" xfId="0" applyNumberFormat="1" applyFont="1" applyFill="1" applyBorder="1" applyAlignment="1" applyProtection="1">
      <protection locked="0"/>
    </xf>
    <xf numFmtId="49" fontId="22" fillId="6" borderId="24" xfId="0" applyNumberFormat="1" applyFont="1" applyFill="1" applyBorder="1" applyAlignment="1" applyProtection="1">
      <protection locked="0"/>
    </xf>
    <xf numFmtId="49" fontId="2" fillId="6" borderId="15" xfId="0" applyNumberFormat="1" applyFont="1" applyFill="1" applyBorder="1" applyAlignment="1" applyProtection="1">
      <protection locked="0"/>
    </xf>
    <xf numFmtId="49" fontId="2" fillId="6" borderId="16" xfId="0" applyNumberFormat="1" applyFont="1" applyFill="1" applyBorder="1" applyAlignment="1" applyProtection="1">
      <protection locked="0"/>
    </xf>
    <xf numFmtId="49" fontId="2" fillId="6" borderId="24" xfId="0" applyNumberFormat="1" applyFont="1" applyFill="1" applyBorder="1" applyAlignment="1" applyProtection="1">
      <protection locked="0"/>
    </xf>
    <xf numFmtId="49" fontId="2" fillId="6" borderId="23" xfId="0" applyNumberFormat="1" applyFont="1" applyFill="1" applyBorder="1" applyAlignment="1" applyProtection="1">
      <protection locked="0"/>
    </xf>
    <xf numFmtId="49" fontId="2" fillId="6" borderId="1" xfId="0" applyNumberFormat="1" applyFont="1" applyFill="1" applyBorder="1" applyAlignment="1" applyProtection="1">
      <protection locked="0"/>
    </xf>
    <xf numFmtId="9" fontId="0" fillId="0" borderId="4" xfId="17" applyFont="1" applyBorder="1"/>
    <xf numFmtId="0" fontId="4" fillId="0" borderId="0" xfId="0" applyFont="1" applyFill="1" applyBorder="1"/>
    <xf numFmtId="3" fontId="2" fillId="6" borderId="0" xfId="6" applyNumberFormat="1" applyFont="1" applyFill="1" applyBorder="1" applyProtection="1">
      <protection locked="0"/>
    </xf>
    <xf numFmtId="166" fontId="2" fillId="6" borderId="0" xfId="6" applyNumberFormat="1" applyFont="1" applyFill="1" applyBorder="1" applyProtection="1">
      <protection locked="0"/>
    </xf>
    <xf numFmtId="166" fontId="2" fillId="6" borderId="0" xfId="6" applyNumberFormat="1" applyFont="1" applyFill="1" applyBorder="1"/>
    <xf numFmtId="49" fontId="2" fillId="6" borderId="0" xfId="6" applyNumberFormat="1" applyFont="1" applyFill="1" applyBorder="1" applyAlignment="1" applyProtection="1">
      <protection locked="0"/>
    </xf>
    <xf numFmtId="9" fontId="0" fillId="0" borderId="0" xfId="17" applyFont="1"/>
    <xf numFmtId="9" fontId="10" fillId="0" borderId="0" xfId="17" applyFont="1"/>
    <xf numFmtId="164" fontId="0" fillId="0" borderId="0" xfId="0" applyNumberFormat="1"/>
    <xf numFmtId="164" fontId="0" fillId="0" borderId="0" xfId="16" applyNumberFormat="1" applyFont="1"/>
    <xf numFmtId="164" fontId="10" fillId="0" borderId="0" xfId="16" applyNumberFormat="1" applyFont="1"/>
    <xf numFmtId="164" fontId="10" fillId="0" borderId="0" xfId="0" applyNumberFormat="1" applyFont="1" applyAlignment="1"/>
    <xf numFmtId="49" fontId="10" fillId="0" borderId="4" xfId="0" applyNumberFormat="1" applyFont="1" applyBorder="1" applyAlignment="1">
      <alignment wrapText="1"/>
    </xf>
    <xf numFmtId="49" fontId="10" fillId="0" borderId="4" xfId="0" applyNumberFormat="1" applyFont="1" applyBorder="1" applyAlignment="1">
      <alignment horizontal="right" wrapText="1"/>
    </xf>
    <xf numFmtId="49" fontId="10" fillId="0" borderId="4" xfId="0" applyNumberFormat="1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center" wrapText="1"/>
    </xf>
    <xf numFmtId="9" fontId="10" fillId="0" borderId="4" xfId="17" applyFont="1" applyBorder="1" applyAlignment="1">
      <alignment horizontal="center" wrapText="1"/>
    </xf>
    <xf numFmtId="164" fontId="10" fillId="0" borderId="4" xfId="16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3" fontId="0" fillId="0" borderId="4" xfId="0" applyNumberFormat="1" applyBorder="1" applyAlignment="1">
      <alignment horizontal="right"/>
    </xf>
    <xf numFmtId="164" fontId="0" fillId="0" borderId="4" xfId="0" applyNumberFormat="1" applyBorder="1"/>
    <xf numFmtId="164" fontId="0" fillId="0" borderId="4" xfId="16" applyNumberFormat="1" applyFont="1" applyBorder="1"/>
    <xf numFmtId="49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1" fontId="0" fillId="0" borderId="4" xfId="0" applyNumberForma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0" borderId="4" xfId="0" applyFont="1" applyBorder="1"/>
    <xf numFmtId="5" fontId="0" fillId="0" borderId="4" xfId="0" applyNumberFormat="1" applyBorder="1"/>
    <xf numFmtId="37" fontId="10" fillId="0" borderId="4" xfId="0" applyNumberFormat="1" applyFont="1" applyBorder="1" applyAlignment="1">
      <alignment horizontal="right"/>
    </xf>
    <xf numFmtId="37" fontId="10" fillId="0" borderId="4" xfId="0" applyNumberFormat="1" applyFont="1" applyBorder="1"/>
    <xf numFmtId="164" fontId="10" fillId="0" borderId="4" xfId="0" applyNumberFormat="1" applyFont="1" applyBorder="1"/>
    <xf numFmtId="5" fontId="10" fillId="0" borderId="4" xfId="0" applyNumberFormat="1" applyFont="1" applyBorder="1"/>
    <xf numFmtId="164" fontId="10" fillId="0" borderId="4" xfId="16" applyNumberFormat="1" applyFont="1" applyBorder="1"/>
    <xf numFmtId="9" fontId="10" fillId="0" borderId="4" xfId="17" applyFont="1" applyBorder="1"/>
    <xf numFmtId="164" fontId="10" fillId="0" borderId="4" xfId="0" applyNumberFormat="1" applyFont="1" applyBorder="1" applyAlignment="1">
      <alignment horizontal="right"/>
    </xf>
    <xf numFmtId="0" fontId="35" fillId="0" borderId="4" xfId="0" applyFont="1" applyFill="1" applyBorder="1" applyAlignment="1">
      <alignment horizontal="center"/>
    </xf>
    <xf numFmtId="0" fontId="35" fillId="0" borderId="4" xfId="0" applyFont="1" applyFill="1" applyBorder="1" applyAlignment="1">
      <alignment horizontal="left"/>
    </xf>
    <xf numFmtId="9" fontId="35" fillId="0" borderId="4" xfId="17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6" fillId="0" borderId="4" xfId="0" applyFont="1" applyFill="1" applyBorder="1" applyAlignment="1">
      <alignment horizontal="center"/>
    </xf>
    <xf numFmtId="0" fontId="36" fillId="0" borderId="4" xfId="0" applyFont="1" applyFill="1" applyBorder="1" applyAlignment="1">
      <alignment horizontal="left"/>
    </xf>
    <xf numFmtId="0" fontId="35" fillId="0" borderId="0" xfId="0" applyFont="1" applyFill="1" applyBorder="1" applyAlignment="1">
      <alignment horizontal="left"/>
    </xf>
    <xf numFmtId="9" fontId="35" fillId="0" borderId="0" xfId="17" applyFont="1" applyFill="1" applyBorder="1" applyAlignment="1">
      <alignment horizontal="center"/>
    </xf>
    <xf numFmtId="1" fontId="35" fillId="0" borderId="4" xfId="0" applyNumberFormat="1" applyFont="1" applyFill="1" applyBorder="1" applyAlignment="1">
      <alignment horizontal="center"/>
    </xf>
    <xf numFmtId="49" fontId="22" fillId="6" borderId="23" xfId="0" applyNumberFormat="1" applyFont="1" applyFill="1" applyBorder="1" applyAlignment="1" applyProtection="1">
      <protection locked="0"/>
    </xf>
    <xf numFmtId="49" fontId="22" fillId="6" borderId="1" xfId="0" applyNumberFormat="1" applyFont="1" applyFill="1" applyBorder="1" applyAlignment="1" applyProtection="1">
      <protection locked="0"/>
    </xf>
    <xf numFmtId="49" fontId="22" fillId="6" borderId="24" xfId="0" applyNumberFormat="1" applyFont="1" applyFill="1" applyBorder="1" applyAlignment="1" applyProtection="1">
      <protection locked="0"/>
    </xf>
    <xf numFmtId="49" fontId="2" fillId="6" borderId="23" xfId="0" applyNumberFormat="1" applyFont="1" applyFill="1" applyBorder="1" applyAlignment="1" applyProtection="1">
      <protection locked="0"/>
    </xf>
    <xf numFmtId="0" fontId="2" fillId="0" borderId="0" xfId="0" applyFont="1" applyFill="1" applyBorder="1" applyAlignment="1"/>
    <xf numFmtId="0" fontId="15" fillId="0" borderId="16" xfId="0" applyFont="1" applyFill="1" applyBorder="1" applyAlignment="1">
      <alignment wrapText="1"/>
    </xf>
    <xf numFmtId="49" fontId="2" fillId="6" borderId="15" xfId="0" applyNumberFormat="1" applyFont="1" applyFill="1" applyBorder="1" applyAlignment="1" applyProtection="1">
      <protection locked="0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49" fontId="2" fillId="5" borderId="23" xfId="0" applyNumberFormat="1" applyFont="1" applyFill="1" applyBorder="1" applyAlignment="1" applyProtection="1">
      <alignment shrinkToFit="1"/>
      <protection locked="0"/>
    </xf>
    <xf numFmtId="1" fontId="2" fillId="5" borderId="23" xfId="0" quotePrefix="1" applyNumberFormat="1" applyFont="1" applyFill="1" applyBorder="1" applyAlignment="1" applyProtection="1">
      <alignment shrinkToFit="1"/>
      <protection locked="0"/>
    </xf>
    <xf numFmtId="169" fontId="2" fillId="5" borderId="23" xfId="0" applyNumberFormat="1" applyFont="1" applyFill="1" applyBorder="1" applyAlignment="1" applyProtection="1">
      <alignment shrinkToFit="1"/>
      <protection locked="0"/>
    </xf>
    <xf numFmtId="0" fontId="20" fillId="0" borderId="0" xfId="0" applyFont="1" applyFill="1" applyBorder="1" applyAlignment="1">
      <alignment vertical="justify" wrapText="1"/>
    </xf>
    <xf numFmtId="0" fontId="21" fillId="0" borderId="0" xfId="0" applyFont="1" applyFill="1" applyBorder="1" applyAlignment="1">
      <alignment vertical="justify" wrapText="1"/>
    </xf>
    <xf numFmtId="0" fontId="21" fillId="0" borderId="0" xfId="0" applyFont="1" applyFill="1" applyBorder="1" applyAlignment="1"/>
    <xf numFmtId="49" fontId="2" fillId="0" borderId="1" xfId="0" applyNumberFormat="1" applyFont="1" applyFill="1" applyBorder="1" applyAlignment="1" applyProtection="1">
      <alignment shrinkToFit="1"/>
      <protection locked="0"/>
    </xf>
    <xf numFmtId="49" fontId="2" fillId="0" borderId="24" xfId="0" applyNumberFormat="1" applyFont="1" applyFill="1" applyBorder="1" applyAlignment="1" applyProtection="1">
      <alignment shrinkToFit="1"/>
      <protection locked="0"/>
    </xf>
    <xf numFmtId="0" fontId="2" fillId="0" borderId="1" xfId="0" applyFont="1" applyFill="1" applyBorder="1" applyAlignment="1" applyProtection="1">
      <alignment shrinkToFit="1"/>
      <protection locked="0"/>
    </xf>
    <xf numFmtId="0" fontId="2" fillId="0" borderId="24" xfId="0" applyFont="1" applyFill="1" applyBorder="1" applyAlignment="1" applyProtection="1">
      <alignment shrinkToFit="1"/>
      <protection locked="0"/>
    </xf>
    <xf numFmtId="3" fontId="2" fillId="0" borderId="1" xfId="0" applyNumberFormat="1" applyFont="1" applyFill="1" applyBorder="1" applyAlignment="1" applyProtection="1">
      <alignment shrinkToFit="1"/>
      <protection locked="0"/>
    </xf>
    <xf numFmtId="3" fontId="2" fillId="0" borderId="24" xfId="0" applyNumberFormat="1" applyFont="1" applyFill="1" applyBorder="1" applyAlignment="1" applyProtection="1">
      <alignment shrinkToFit="1"/>
      <protection locked="0"/>
    </xf>
    <xf numFmtId="169" fontId="2" fillId="0" borderId="1" xfId="0" applyNumberFormat="1" applyFont="1" applyFill="1" applyBorder="1" applyAlignment="1" applyProtection="1">
      <alignment shrinkToFit="1"/>
      <protection locked="0"/>
    </xf>
    <xf numFmtId="169" fontId="2" fillId="0" borderId="24" xfId="0" applyNumberFormat="1" applyFont="1" applyFill="1" applyBorder="1" applyAlignment="1" applyProtection="1">
      <alignment shrinkToFit="1"/>
      <protection locked="0"/>
    </xf>
    <xf numFmtId="49" fontId="2" fillId="6" borderId="1" xfId="0" applyNumberFormat="1" applyFont="1" applyFill="1" applyBorder="1" applyAlignment="1" applyProtection="1">
      <protection locked="0"/>
    </xf>
    <xf numFmtId="49" fontId="2" fillId="6" borderId="24" xfId="0" applyNumberFormat="1" applyFont="1" applyFill="1" applyBorder="1" applyAlignment="1" applyProtection="1">
      <protection locked="0"/>
    </xf>
    <xf numFmtId="0" fontId="2" fillId="0" borderId="16" xfId="0" applyFont="1" applyFill="1" applyBorder="1" applyAlignment="1">
      <alignment wrapText="1"/>
    </xf>
    <xf numFmtId="49" fontId="2" fillId="6" borderId="16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shrinkToFit="1"/>
      <protection locked="0"/>
    </xf>
    <xf numFmtId="3" fontId="2" fillId="5" borderId="23" xfId="0" applyNumberFormat="1" applyFont="1" applyFill="1" applyBorder="1" applyAlignment="1" applyProtection="1">
      <alignment shrinkToFit="1"/>
      <protection locked="0"/>
    </xf>
    <xf numFmtId="49" fontId="2" fillId="6" borderId="15" xfId="6" applyNumberFormat="1" applyFont="1" applyFill="1" applyBorder="1" applyAlignment="1" applyProtection="1">
      <protection locked="0"/>
    </xf>
    <xf numFmtId="49" fontId="2" fillId="6" borderId="16" xfId="6" applyNumberFormat="1" applyFont="1" applyFill="1" applyBorder="1" applyAlignment="1" applyProtection="1">
      <protection locked="0"/>
    </xf>
    <xf numFmtId="49" fontId="2" fillId="6" borderId="24" xfId="6" applyNumberFormat="1" applyFont="1" applyFill="1" applyBorder="1" applyAlignment="1" applyProtection="1">
      <protection locked="0"/>
    </xf>
    <xf numFmtId="49" fontId="2" fillId="6" borderId="23" xfId="6" applyNumberFormat="1" applyFont="1" applyFill="1" applyBorder="1" applyAlignment="1" applyProtection="1">
      <protection locked="0"/>
    </xf>
    <xf numFmtId="49" fontId="2" fillId="6" borderId="1" xfId="6" applyNumberFormat="1" applyFont="1" applyFill="1" applyBorder="1" applyAlignment="1" applyProtection="1">
      <protection locked="0"/>
    </xf>
    <xf numFmtId="0" fontId="15" fillId="0" borderId="0" xfId="6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71" fontId="2" fillId="0" borderId="0" xfId="3" applyNumberFormat="1" applyFont="1" applyFill="1" applyBorder="1" applyAlignment="1">
      <alignment horizontal="center"/>
    </xf>
    <xf numFmtId="171" fontId="2" fillId="0" borderId="0" xfId="3" applyNumberFormat="1" applyFont="1" applyFill="1" applyBorder="1"/>
    <xf numFmtId="171" fontId="15" fillId="0" borderId="0" xfId="3" applyNumberFormat="1" applyFont="1" applyFill="1" applyBorder="1" applyAlignment="1">
      <alignment horizontal="center" wrapText="1"/>
    </xf>
    <xf numFmtId="171" fontId="2" fillId="6" borderId="4" xfId="3" applyNumberFormat="1" applyFont="1" applyFill="1" applyBorder="1" applyProtection="1">
      <protection locked="0"/>
    </xf>
    <xf numFmtId="171" fontId="2" fillId="6" borderId="23" xfId="3" applyNumberFormat="1" applyFont="1" applyFill="1" applyBorder="1" applyProtection="1">
      <protection locked="0"/>
    </xf>
    <xf numFmtId="171" fontId="2" fillId="6" borderId="4" xfId="3" applyNumberFormat="1" applyFont="1" applyFill="1" applyBorder="1"/>
    <xf numFmtId="171" fontId="2" fillId="0" borderId="25" xfId="3" applyNumberFormat="1" applyFont="1" applyFill="1" applyBorder="1"/>
    <xf numFmtId="171" fontId="2" fillId="7" borderId="23" xfId="3" applyNumberFormat="1" applyFont="1" applyFill="1" applyBorder="1" applyProtection="1"/>
    <xf numFmtId="171" fontId="2" fillId="0" borderId="14" xfId="3" applyNumberFormat="1" applyFont="1" applyFill="1" applyBorder="1"/>
    <xf numFmtId="171" fontId="2" fillId="7" borderId="0" xfId="3" applyNumberFormat="1" applyFont="1" applyFill="1" applyBorder="1"/>
    <xf numFmtId="171" fontId="2" fillId="7" borderId="0" xfId="3" applyNumberFormat="1" applyFont="1" applyFill="1" applyBorder="1" applyProtection="1"/>
    <xf numFmtId="171" fontId="2" fillId="6" borderId="26" xfId="3" applyNumberFormat="1" applyFont="1" applyFill="1" applyBorder="1" applyProtection="1">
      <protection locked="0"/>
    </xf>
    <xf numFmtId="171" fontId="2" fillId="7" borderId="0" xfId="3" applyNumberFormat="1" applyFont="1" applyFill="1" applyBorder="1" applyProtection="1">
      <protection locked="0"/>
    </xf>
    <xf numFmtId="171" fontId="2" fillId="6" borderId="4" xfId="3" applyNumberFormat="1" applyFont="1" applyFill="1" applyBorder="1" applyProtection="1"/>
    <xf numFmtId="171" fontId="2" fillId="6" borderId="23" xfId="3" applyNumberFormat="1" applyFont="1" applyFill="1" applyBorder="1" applyProtection="1"/>
    <xf numFmtId="171" fontId="2" fillId="6" borderId="5" xfId="3" applyNumberFormat="1" applyFont="1" applyFill="1" applyBorder="1" applyProtection="1">
      <protection locked="0"/>
    </xf>
    <xf numFmtId="171" fontId="2" fillId="6" borderId="26" xfId="3" applyNumberFormat="1" applyFont="1" applyFill="1" applyBorder="1"/>
    <xf numFmtId="171" fontId="2" fillId="7" borderId="26" xfId="3" applyNumberFormat="1" applyFont="1" applyFill="1" applyBorder="1"/>
    <xf numFmtId="171" fontId="2" fillId="6" borderId="28" xfId="3" applyNumberFormat="1" applyFont="1" applyFill="1" applyBorder="1"/>
    <xf numFmtId="4" fontId="2" fillId="6" borderId="4" xfId="0" applyNumberFormat="1" applyFont="1" applyFill="1" applyBorder="1" applyProtection="1">
      <protection locked="0"/>
    </xf>
    <xf numFmtId="44" fontId="2" fillId="6" borderId="4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21" fillId="0" borderId="0" xfId="0" applyFont="1" applyAlignment="1">
      <alignment vertical="justify" wrapText="1"/>
    </xf>
    <xf numFmtId="0" fontId="21" fillId="0" borderId="0" xfId="0" applyFont="1" applyAlignme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2" fillId="0" borderId="0" xfId="0" applyFont="1"/>
    <xf numFmtId="3" fontId="0" fillId="11" borderId="4" xfId="0" applyNumberFormat="1" applyFill="1" applyBorder="1" applyProtection="1">
      <protection locked="0"/>
    </xf>
    <xf numFmtId="166" fontId="0" fillId="11" borderId="4" xfId="0" applyNumberFormat="1" applyFill="1" applyBorder="1" applyProtection="1">
      <protection locked="0"/>
    </xf>
    <xf numFmtId="166" fontId="0" fillId="11" borderId="23" xfId="0" applyNumberFormat="1" applyFill="1" applyBorder="1" applyProtection="1">
      <protection locked="0"/>
    </xf>
    <xf numFmtId="166" fontId="0" fillId="11" borderId="4" xfId="0" applyNumberFormat="1" applyFill="1" applyBorder="1"/>
    <xf numFmtId="49" fontId="22" fillId="11" borderId="23" xfId="0" applyNumberFormat="1" applyFont="1" applyFill="1" applyBorder="1" applyAlignment="1" applyProtection="1">
      <protection locked="0"/>
    </xf>
    <xf numFmtId="49" fontId="22" fillId="11" borderId="1" xfId="0" applyNumberFormat="1" applyFont="1" applyFill="1" applyBorder="1" applyAlignment="1" applyProtection="1">
      <protection locked="0"/>
    </xf>
    <xf numFmtId="49" fontId="22" fillId="11" borderId="24" xfId="0" applyNumberFormat="1" applyFont="1" applyFill="1" applyBorder="1" applyAlignment="1" applyProtection="1">
      <protection locked="0"/>
    </xf>
    <xf numFmtId="3" fontId="2" fillId="11" borderId="4" xfId="0" applyNumberFormat="1" applyFont="1" applyFill="1" applyBorder="1" applyProtection="1">
      <protection locked="0"/>
    </xf>
    <xf numFmtId="166" fontId="0" fillId="0" borderId="4" xfId="0" applyNumberFormat="1" applyFill="1" applyBorder="1"/>
    <xf numFmtId="3" fontId="0" fillId="11" borderId="4" xfId="0" applyNumberFormat="1" applyFill="1" applyBorder="1"/>
    <xf numFmtId="3" fontId="0" fillId="0" borderId="25" xfId="0" applyNumberFormat="1" applyFill="1" applyBorder="1"/>
    <xf numFmtId="166" fontId="0" fillId="0" borderId="25" xfId="0" applyNumberFormat="1" applyFill="1" applyBorder="1"/>
    <xf numFmtId="166" fontId="0" fillId="12" borderId="7" xfId="0" applyNumberFormat="1" applyFill="1" applyBorder="1"/>
    <xf numFmtId="0" fontId="2" fillId="0" borderId="0" xfId="0" applyFont="1" applyAlignment="1"/>
    <xf numFmtId="0" fontId="0" fillId="0" borderId="0" xfId="0" applyAlignment="1"/>
    <xf numFmtId="0" fontId="2" fillId="0" borderId="0" xfId="0" applyFont="1" applyBorder="1"/>
    <xf numFmtId="3" fontId="0" fillId="2" borderId="4" xfId="0" applyNumberFormat="1" applyFill="1" applyBorder="1" applyProtection="1">
      <protection locked="0"/>
    </xf>
    <xf numFmtId="166" fontId="0" fillId="2" borderId="23" xfId="0" applyNumberFormat="1" applyFill="1" applyBorder="1" applyProtection="1">
      <protection locked="0"/>
    </xf>
    <xf numFmtId="0" fontId="0" fillId="0" borderId="25" xfId="0" applyBorder="1"/>
    <xf numFmtId="0" fontId="15" fillId="0" borderId="16" xfId="0" applyFont="1" applyBorder="1" applyAlignment="1">
      <alignment wrapText="1"/>
    </xf>
    <xf numFmtId="0" fontId="0" fillId="0" borderId="16" xfId="0" applyBorder="1" applyAlignment="1">
      <alignment wrapText="1"/>
    </xf>
    <xf numFmtId="49" fontId="0" fillId="11" borderId="23" xfId="0" applyNumberFormat="1" applyFill="1" applyBorder="1" applyAlignment="1" applyProtection="1">
      <protection locked="0"/>
    </xf>
    <xf numFmtId="49" fontId="0" fillId="11" borderId="1" xfId="0" applyNumberFormat="1" applyFill="1" applyBorder="1" applyAlignment="1" applyProtection="1">
      <protection locked="0"/>
    </xf>
    <xf numFmtId="49" fontId="0" fillId="11" borderId="24" xfId="0" applyNumberFormat="1" applyFill="1" applyBorder="1" applyAlignment="1" applyProtection="1">
      <protection locked="0"/>
    </xf>
    <xf numFmtId="166" fontId="0" fillId="12" borderId="23" xfId="0" applyNumberFormat="1" applyFill="1" applyBorder="1" applyProtection="1"/>
    <xf numFmtId="0" fontId="0" fillId="0" borderId="14" xfId="0" applyBorder="1"/>
    <xf numFmtId="0" fontId="15" fillId="0" borderId="0" xfId="0" applyFont="1" applyBorder="1" applyAlignment="1">
      <alignment horizontal="center" wrapText="1"/>
    </xf>
    <xf numFmtId="0" fontId="0" fillId="12" borderId="0" xfId="0" applyFill="1" applyBorder="1"/>
    <xf numFmtId="166" fontId="0" fillId="12" borderId="0" xfId="0" applyNumberFormat="1" applyFill="1" applyBorder="1" applyProtection="1"/>
    <xf numFmtId="166" fontId="0" fillId="12" borderId="0" xfId="0" applyNumberFormat="1" applyFill="1" applyBorder="1"/>
    <xf numFmtId="38" fontId="0" fillId="11" borderId="4" xfId="0" applyNumberFormat="1" applyFill="1" applyBorder="1" applyProtection="1">
      <protection locked="0"/>
    </xf>
    <xf numFmtId="0" fontId="0" fillId="11" borderId="4" xfId="0" applyFill="1" applyBorder="1" applyProtection="1">
      <protection locked="0"/>
    </xf>
    <xf numFmtId="3" fontId="0" fillId="11" borderId="26" xfId="0" applyNumberFormat="1" applyFill="1" applyBorder="1" applyProtection="1">
      <protection locked="0"/>
    </xf>
    <xf numFmtId="166" fontId="0" fillId="11" borderId="26" xfId="0" applyNumberFormat="1" applyFill="1" applyBorder="1" applyProtection="1">
      <protection locked="0"/>
    </xf>
    <xf numFmtId="49" fontId="0" fillId="11" borderId="15" xfId="0" applyNumberFormat="1" applyFill="1" applyBorder="1" applyAlignment="1" applyProtection="1">
      <protection locked="0"/>
    </xf>
    <xf numFmtId="49" fontId="0" fillId="11" borderId="16" xfId="0" applyNumberFormat="1" applyFill="1" applyBorder="1" applyAlignment="1" applyProtection="1">
      <protection locked="0"/>
    </xf>
    <xf numFmtId="49" fontId="0" fillId="11" borderId="27" xfId="0" applyNumberFormat="1" applyFill="1" applyBorder="1" applyAlignment="1" applyProtection="1">
      <protection locked="0"/>
    </xf>
    <xf numFmtId="3" fontId="0" fillId="12" borderId="0" xfId="0" applyNumberFormat="1" applyFill="1" applyBorder="1" applyProtection="1">
      <protection locked="0"/>
    </xf>
    <xf numFmtId="166" fontId="0" fillId="12" borderId="0" xfId="0" applyNumberFormat="1" applyFill="1" applyBorder="1" applyProtection="1">
      <protection locked="0"/>
    </xf>
    <xf numFmtId="0" fontId="0" fillId="11" borderId="4" xfId="0" applyFill="1" applyBorder="1" applyProtection="1"/>
    <xf numFmtId="166" fontId="0" fillId="11" borderId="4" xfId="0" applyNumberFormat="1" applyFill="1" applyBorder="1" applyProtection="1"/>
    <xf numFmtId="166" fontId="0" fillId="12" borderId="4" xfId="0" applyNumberFormat="1" applyFill="1" applyBorder="1"/>
    <xf numFmtId="3" fontId="0" fillId="11" borderId="5" xfId="0" applyNumberFormat="1" applyFill="1" applyBorder="1" applyProtection="1">
      <protection locked="0"/>
    </xf>
    <xf numFmtId="166" fontId="0" fillId="11" borderId="5" xfId="0" applyNumberFormat="1" applyFill="1" applyBorder="1" applyProtection="1">
      <protection locked="0"/>
    </xf>
    <xf numFmtId="0" fontId="15" fillId="0" borderId="0" xfId="0" applyFont="1" applyBorder="1"/>
    <xf numFmtId="0" fontId="0" fillId="0" borderId="16" xfId="0" applyBorder="1" applyAlignment="1">
      <alignment horizontal="left"/>
    </xf>
    <xf numFmtId="0" fontId="15" fillId="0" borderId="16" xfId="0" applyFont="1" applyBorder="1"/>
    <xf numFmtId="0" fontId="0" fillId="0" borderId="16" xfId="0" applyBorder="1"/>
    <xf numFmtId="0" fontId="0" fillId="0" borderId="0" xfId="0" applyFill="1" applyBorder="1"/>
    <xf numFmtId="10" fontId="0" fillId="11" borderId="4" xfId="0" applyNumberFormat="1" applyFill="1" applyBorder="1" applyProtection="1">
      <protection locked="0"/>
    </xf>
    <xf numFmtId="3" fontId="0" fillId="11" borderId="26" xfId="0" applyNumberFormat="1" applyFill="1" applyBorder="1"/>
    <xf numFmtId="3" fontId="0" fillId="12" borderId="26" xfId="0" applyNumberFormat="1" applyFill="1" applyBorder="1"/>
    <xf numFmtId="166" fontId="0" fillId="12" borderId="26" xfId="0" applyNumberFormat="1" applyFill="1" applyBorder="1"/>
    <xf numFmtId="3" fontId="0" fillId="11" borderId="28" xfId="0" applyNumberFormat="1" applyFill="1" applyBorder="1"/>
    <xf numFmtId="10" fontId="0" fillId="11" borderId="4" xfId="14" applyNumberFormat="1" applyFont="1" applyFill="1" applyBorder="1" applyProtection="1"/>
    <xf numFmtId="0" fontId="36" fillId="0" borderId="4" xfId="0" applyFont="1" applyFill="1" applyBorder="1"/>
    <xf numFmtId="1" fontId="36" fillId="0" borderId="4" xfId="0" applyNumberFormat="1" applyFont="1" applyFill="1" applyBorder="1"/>
    <xf numFmtId="0" fontId="37" fillId="0" borderId="4" xfId="0" applyFont="1" applyFill="1" applyBorder="1"/>
    <xf numFmtId="0" fontId="38" fillId="0" borderId="4" xfId="0" applyFont="1" applyFill="1" applyBorder="1" applyAlignment="1">
      <alignment horizontal="center" vertical="center" textRotation="90" wrapText="1" shrinkToFit="1"/>
    </xf>
    <xf numFmtId="0" fontId="36" fillId="13" borderId="4" xfId="0" applyFont="1" applyFill="1" applyBorder="1"/>
    <xf numFmtId="0" fontId="37" fillId="13" borderId="4" xfId="0" applyFont="1" applyFill="1" applyBorder="1"/>
    <xf numFmtId="0" fontId="36" fillId="14" borderId="4" xfId="0" applyFont="1" applyFill="1" applyBorder="1"/>
    <xf numFmtId="9" fontId="36" fillId="0" borderId="4" xfId="17" applyFont="1" applyFill="1" applyBorder="1"/>
    <xf numFmtId="9" fontId="36" fillId="13" borderId="4" xfId="17" applyFont="1" applyFill="1" applyBorder="1"/>
    <xf numFmtId="0" fontId="35" fillId="0" borderId="4" xfId="0" applyFont="1" applyFill="1" applyBorder="1" applyAlignment="1">
      <alignment horizontal="center" wrapText="1"/>
    </xf>
    <xf numFmtId="1" fontId="39" fillId="0" borderId="0" xfId="7" applyNumberFormat="1" applyFont="1"/>
    <xf numFmtId="43" fontId="0" fillId="0" borderId="0" xfId="15" applyFont="1"/>
    <xf numFmtId="43" fontId="39" fillId="0" borderId="0" xfId="15" applyFont="1" applyFill="1"/>
    <xf numFmtId="3" fontId="0" fillId="0" borderId="32" xfId="0" applyNumberFormat="1" applyBorder="1"/>
    <xf numFmtId="0" fontId="0" fillId="0" borderId="33" xfId="0" applyBorder="1"/>
    <xf numFmtId="3" fontId="0" fillId="0" borderId="0" xfId="0" applyNumberFormat="1" applyBorder="1"/>
    <xf numFmtId="9" fontId="0" fillId="0" borderId="33" xfId="17" applyFont="1" applyBorder="1"/>
    <xf numFmtId="3" fontId="0" fillId="0" borderId="20" xfId="0" applyNumberFormat="1" applyBorder="1"/>
    <xf numFmtId="3" fontId="0" fillId="0" borderId="21" xfId="0" applyNumberFormat="1" applyBorder="1"/>
    <xf numFmtId="9" fontId="0" fillId="0" borderId="34" xfId="17" applyFont="1" applyBorder="1"/>
    <xf numFmtId="3" fontId="10" fillId="0" borderId="10" xfId="0" applyNumberFormat="1" applyFont="1" applyBorder="1" applyAlignment="1">
      <alignment horizontal="center" wrapText="1"/>
    </xf>
    <xf numFmtId="0" fontId="10" fillId="0" borderId="22" xfId="0" applyFont="1" applyBorder="1"/>
    <xf numFmtId="0" fontId="10" fillId="0" borderId="6" xfId="0" applyFont="1" applyBorder="1" applyAlignment="1">
      <alignment horizontal="center" wrapText="1"/>
    </xf>
    <xf numFmtId="11" fontId="11" fillId="0" borderId="0" xfId="0" applyNumberFormat="1" applyFont="1" applyFill="1" applyBorder="1" applyAlignment="1" applyProtection="1"/>
    <xf numFmtId="11" fontId="2" fillId="0" borderId="0" xfId="0" applyNumberFormat="1" applyFont="1" applyFill="1" applyBorder="1" applyAlignment="1" applyProtection="1"/>
    <xf numFmtId="0" fontId="40" fillId="0" borderId="0" xfId="0" applyFont="1" applyFill="1" applyBorder="1" applyAlignment="1">
      <alignment horizontal="center"/>
    </xf>
    <xf numFmtId="11" fontId="41" fillId="0" borderId="0" xfId="0" applyNumberFormat="1" applyFont="1" applyFill="1" applyBorder="1" applyAlignment="1" applyProtection="1">
      <alignment horizontal="center"/>
    </xf>
    <xf numFmtId="1" fontId="41" fillId="0" borderId="0" xfId="0" applyNumberFormat="1" applyFont="1" applyFill="1" applyBorder="1" applyAlignment="1" applyProtection="1"/>
    <xf numFmtId="0" fontId="42" fillId="0" borderId="0" xfId="0" applyFont="1" applyFill="1" applyBorder="1" applyAlignment="1">
      <alignment horizontal="center"/>
    </xf>
    <xf numFmtId="1" fontId="11" fillId="0" borderId="0" xfId="0" applyNumberFormat="1" applyFont="1" applyFill="1" applyBorder="1" applyAlignment="1" applyProtection="1"/>
    <xf numFmtId="43" fontId="40" fillId="0" borderId="0" xfId="0" applyNumberFormat="1" applyFont="1" applyFill="1" applyBorder="1"/>
    <xf numFmtId="11" fontId="41" fillId="0" borderId="0" xfId="0" applyNumberFormat="1" applyFont="1" applyFill="1" applyBorder="1" applyAlignment="1" applyProtection="1"/>
    <xf numFmtId="43" fontId="40" fillId="0" borderId="16" xfId="0" applyNumberFormat="1" applyFont="1" applyFill="1" applyBorder="1"/>
    <xf numFmtId="41" fontId="40" fillId="0" borderId="0" xfId="0" applyNumberFormat="1" applyFont="1" applyFill="1" applyBorder="1"/>
    <xf numFmtId="1" fontId="0" fillId="0" borderId="0" xfId="0" applyNumberFormat="1"/>
    <xf numFmtId="43" fontId="0" fillId="0" borderId="0" xfId="0" applyNumberFormat="1"/>
    <xf numFmtId="0" fontId="0" fillId="0" borderId="17" xfId="0" applyBorder="1" applyAlignment="1">
      <alignment horizontal="center" wrapText="1"/>
    </xf>
    <xf numFmtId="3" fontId="0" fillId="0" borderId="18" xfId="0" applyNumberForma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2" xfId="0" applyBorder="1"/>
    <xf numFmtId="170" fontId="0" fillId="0" borderId="0" xfId="15" applyNumberFormat="1" applyFont="1" applyBorder="1"/>
    <xf numFmtId="170" fontId="0" fillId="0" borderId="33" xfId="15" applyNumberFormat="1" applyFont="1" applyBorder="1"/>
    <xf numFmtId="4" fontId="0" fillId="0" borderId="0" xfId="0" applyNumberFormat="1" applyBorder="1"/>
    <xf numFmtId="4" fontId="0" fillId="0" borderId="33" xfId="0" applyNumberFormat="1" applyBorder="1"/>
    <xf numFmtId="0" fontId="0" fillId="0" borderId="20" xfId="0" applyBorder="1"/>
    <xf numFmtId="0" fontId="0" fillId="0" borderId="34" xfId="0" applyBorder="1"/>
    <xf numFmtId="170" fontId="0" fillId="0" borderId="4" xfId="15" applyNumberFormat="1" applyFont="1" applyBorder="1"/>
    <xf numFmtId="3" fontId="43" fillId="0" borderId="35" xfId="0" applyNumberFormat="1" applyFont="1" applyFill="1" applyBorder="1" applyAlignment="1"/>
    <xf numFmtId="173" fontId="43" fillId="0" borderId="35" xfId="0" applyNumberFormat="1" applyFont="1" applyFill="1" applyBorder="1" applyAlignment="1"/>
    <xf numFmtId="10" fontId="43" fillId="0" borderId="35" xfId="17" applyNumberFormat="1" applyFont="1" applyFill="1" applyBorder="1" applyAlignment="1"/>
    <xf numFmtId="0" fontId="5" fillId="0" borderId="0" xfId="9" applyNumberFormat="1" applyFont="1" applyAlignment="1">
      <alignment wrapText="1"/>
    </xf>
    <xf numFmtId="170" fontId="5" fillId="0" borderId="0" xfId="15" applyNumberFormat="1" applyFont="1" applyAlignment="1"/>
    <xf numFmtId="10" fontId="8" fillId="0" borderId="0" xfId="0" applyNumberFormat="1" applyFont="1" applyBorder="1" applyAlignment="1">
      <alignment horizontal="center" wrapText="1"/>
    </xf>
    <xf numFmtId="166" fontId="0" fillId="0" borderId="0" xfId="0" applyNumberFormat="1" applyBorder="1"/>
    <xf numFmtId="0" fontId="5" fillId="0" borderId="0" xfId="9" applyNumberFormat="1" applyFont="1" applyAlignment="1">
      <alignment horizontal="center" wrapText="1"/>
    </xf>
    <xf numFmtId="9" fontId="5" fillId="0" borderId="0" xfId="17" applyFont="1" applyAlignment="1"/>
    <xf numFmtId="10" fontId="8" fillId="2" borderId="3" xfId="0" applyNumberFormat="1" applyFont="1" applyFill="1" applyBorder="1" applyAlignment="1"/>
    <xf numFmtId="10" fontId="8" fillId="2" borderId="0" xfId="0" applyNumberFormat="1" applyFont="1" applyFill="1" applyBorder="1" applyAlignment="1"/>
    <xf numFmtId="164" fontId="0" fillId="0" borderId="5" xfId="0" applyNumberFormat="1" applyBorder="1"/>
    <xf numFmtId="164" fontId="9" fillId="0" borderId="4" xfId="0" applyNumberFormat="1" applyFont="1" applyFill="1" applyBorder="1"/>
    <xf numFmtId="0" fontId="4" fillId="3" borderId="12" xfId="0" applyNumberFormat="1" applyFont="1" applyFill="1" applyBorder="1" applyAlignment="1">
      <alignment horizontal="center" wrapText="1"/>
    </xf>
    <xf numFmtId="170" fontId="4" fillId="3" borderId="0" xfId="15" applyNumberFormat="1" applyFont="1" applyFill="1" applyBorder="1" applyAlignment="1"/>
    <xf numFmtId="166" fontId="5" fillId="3" borderId="0" xfId="9" applyNumberFormat="1" applyFont="1" applyFill="1" applyAlignment="1"/>
    <xf numFmtId="10" fontId="8" fillId="4" borderId="13" xfId="0" applyNumberFormat="1" applyFont="1" applyFill="1" applyBorder="1" applyAlignment="1">
      <alignment horizontal="center" wrapText="1"/>
    </xf>
    <xf numFmtId="164" fontId="0" fillId="4" borderId="5" xfId="0" applyNumberFormat="1" applyFill="1" applyBorder="1"/>
    <xf numFmtId="170" fontId="0" fillId="4" borderId="5" xfId="15" applyNumberFormat="1" applyFont="1" applyFill="1" applyBorder="1"/>
    <xf numFmtId="166" fontId="5" fillId="4" borderId="0" xfId="9" applyNumberFormat="1" applyFont="1" applyFill="1" applyAlignment="1"/>
    <xf numFmtId="10" fontId="5" fillId="0" borderId="0" xfId="17" applyNumberFormat="1" applyFont="1" applyAlignment="1"/>
    <xf numFmtId="0" fontId="36" fillId="4" borderId="4" xfId="0" applyFont="1" applyFill="1" applyBorder="1" applyAlignment="1">
      <alignment horizontal="center"/>
    </xf>
    <xf numFmtId="0" fontId="36" fillId="4" borderId="4" xfId="0" applyFont="1" applyFill="1" applyBorder="1" applyAlignment="1">
      <alignment horizontal="left"/>
    </xf>
    <xf numFmtId="0" fontId="35" fillId="4" borderId="4" xfId="0" applyFont="1" applyFill="1" applyBorder="1" applyAlignment="1">
      <alignment horizontal="center"/>
    </xf>
    <xf numFmtId="1" fontId="35" fillId="4" borderId="4" xfId="0" applyNumberFormat="1" applyFont="1" applyFill="1" applyBorder="1" applyAlignment="1">
      <alignment horizontal="center"/>
    </xf>
    <xf numFmtId="9" fontId="35" fillId="4" borderId="4" xfId="17" applyFont="1" applyFill="1" applyBorder="1" applyAlignment="1">
      <alignment horizontal="center"/>
    </xf>
    <xf numFmtId="0" fontId="36" fillId="14" borderId="4" xfId="0" applyFont="1" applyFill="1" applyBorder="1" applyAlignment="1">
      <alignment horizontal="center"/>
    </xf>
    <xf numFmtId="0" fontId="36" fillId="14" borderId="4" xfId="0" applyFont="1" applyFill="1" applyBorder="1" applyAlignment="1">
      <alignment horizontal="left"/>
    </xf>
    <xf numFmtId="0" fontId="35" fillId="14" borderId="4" xfId="0" applyFont="1" applyFill="1" applyBorder="1" applyAlignment="1">
      <alignment horizontal="center"/>
    </xf>
    <xf numFmtId="1" fontId="35" fillId="14" borderId="4" xfId="0" applyNumberFormat="1" applyFont="1" applyFill="1" applyBorder="1" applyAlignment="1">
      <alignment horizontal="center"/>
    </xf>
    <xf numFmtId="9" fontId="35" fillId="14" borderId="4" xfId="17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left"/>
    </xf>
    <xf numFmtId="171" fontId="0" fillId="0" borderId="0" xfId="0" applyNumberFormat="1"/>
    <xf numFmtId="0" fontId="4" fillId="0" borderId="2" xfId="0" applyNumberFormat="1" applyFont="1" applyFill="1" applyBorder="1" applyAlignment="1"/>
    <xf numFmtId="0" fontId="4" fillId="0" borderId="3" xfId="0" applyNumberFormat="1" applyFont="1" applyFill="1" applyBorder="1" applyAlignment="1"/>
    <xf numFmtId="164" fontId="0" fillId="0" borderId="4" xfId="0" applyNumberFormat="1" applyFill="1" applyBorder="1"/>
    <xf numFmtId="10" fontId="8" fillId="0" borderId="0" xfId="0" applyNumberFormat="1" applyFont="1" applyFill="1" applyBorder="1" applyAlignment="1"/>
    <xf numFmtId="3" fontId="4" fillId="0" borderId="3" xfId="0" applyNumberFormat="1" applyFont="1" applyFill="1" applyBorder="1" applyAlignment="1"/>
    <xf numFmtId="0" fontId="4" fillId="2" borderId="2" xfId="0" applyNumberFormat="1" applyFont="1" applyFill="1" applyBorder="1" applyAlignment="1"/>
    <xf numFmtId="0" fontId="4" fillId="2" borderId="3" xfId="0" applyNumberFormat="1" applyFont="1" applyFill="1" applyBorder="1" applyAlignment="1"/>
    <xf numFmtId="164" fontId="0" fillId="2" borderId="4" xfId="0" applyNumberFormat="1" applyFill="1" applyBorder="1"/>
    <xf numFmtId="3" fontId="4" fillId="2" borderId="3" xfId="0" applyNumberFormat="1" applyFont="1" applyFill="1" applyBorder="1" applyAlignment="1"/>
    <xf numFmtId="10" fontId="8" fillId="0" borderId="3" xfId="0" applyNumberFormat="1" applyFont="1" applyFill="1" applyBorder="1" applyAlignment="1"/>
    <xf numFmtId="166" fontId="0" fillId="0" borderId="0" xfId="0" applyNumberFormat="1"/>
    <xf numFmtId="171" fontId="0" fillId="0" borderId="0" xfId="16" applyNumberFormat="1" applyFont="1"/>
    <xf numFmtId="0" fontId="0" fillId="0" borderId="0" xfId="0" applyFont="1"/>
    <xf numFmtId="0" fontId="44" fillId="0" borderId="0" xfId="0" applyFont="1"/>
    <xf numFmtId="170" fontId="0" fillId="0" borderId="0" xfId="15" applyNumberFormat="1" applyFont="1"/>
    <xf numFmtId="170" fontId="0" fillId="0" borderId="0" xfId="15" applyNumberFormat="1" applyFont="1" applyFill="1"/>
    <xf numFmtId="0" fontId="45" fillId="0" borderId="23" xfId="0" applyFont="1" applyBorder="1" applyAlignment="1">
      <alignment horizontal="center" wrapText="1"/>
    </xf>
    <xf numFmtId="37" fontId="45" fillId="0" borderId="4" xfId="0" applyNumberFormat="1" applyFont="1" applyBorder="1" applyAlignment="1">
      <alignment horizontal="center" wrapText="1"/>
    </xf>
    <xf numFmtId="38" fontId="45" fillId="0" borderId="1" xfId="0" applyNumberFormat="1" applyFont="1" applyBorder="1" applyAlignment="1">
      <alignment horizontal="center" wrapText="1"/>
    </xf>
    <xf numFmtId="0" fontId="45" fillId="0" borderId="1" xfId="0" applyFont="1" applyBorder="1" applyAlignment="1">
      <alignment horizontal="center" wrapText="1"/>
    </xf>
    <xf numFmtId="37" fontId="0" fillId="0" borderId="0" xfId="0" applyNumberFormat="1"/>
    <xf numFmtId="0" fontId="47" fillId="0" borderId="0" xfId="0" applyFont="1"/>
    <xf numFmtId="170" fontId="48" fillId="0" borderId="0" xfId="15" applyNumberFormat="1" applyFont="1"/>
    <xf numFmtId="0" fontId="49" fillId="0" borderId="0" xfId="0" applyFont="1"/>
    <xf numFmtId="38" fontId="49" fillId="0" borderId="0" xfId="0" applyNumberFormat="1" applyFont="1"/>
    <xf numFmtId="5" fontId="49" fillId="0" borderId="0" xfId="0" applyNumberFormat="1" applyFont="1"/>
    <xf numFmtId="0" fontId="50" fillId="0" borderId="0" xfId="0" applyFont="1"/>
    <xf numFmtId="44" fontId="49" fillId="0" borderId="0" xfId="16" applyFont="1"/>
    <xf numFmtId="171" fontId="51" fillId="0" borderId="0" xfId="16" applyNumberFormat="1" applyFont="1"/>
    <xf numFmtId="171" fontId="52" fillId="0" borderId="0" xfId="16" applyNumberFormat="1" applyFont="1"/>
    <xf numFmtId="0" fontId="46" fillId="0" borderId="0" xfId="0" applyFont="1" applyAlignment="1">
      <alignment horizontal="center"/>
    </xf>
    <xf numFmtId="9" fontId="53" fillId="0" borderId="0" xfId="17" applyFont="1"/>
    <xf numFmtId="9" fontId="54" fillId="0" borderId="0" xfId="0" applyNumberFormat="1" applyFont="1"/>
    <xf numFmtId="170" fontId="49" fillId="0" borderId="0" xfId="0" applyNumberFormat="1" applyFont="1"/>
    <xf numFmtId="170" fontId="52" fillId="0" borderId="0" xfId="0" applyNumberFormat="1" applyFont="1"/>
    <xf numFmtId="171" fontId="51" fillId="0" borderId="0" xfId="0" applyNumberFormat="1" applyFont="1"/>
    <xf numFmtId="171" fontId="48" fillId="0" borderId="0" xfId="0" applyNumberFormat="1" applyFont="1"/>
    <xf numFmtId="0" fontId="55" fillId="0" borderId="0" xfId="0" applyFont="1"/>
    <xf numFmtId="10" fontId="56" fillId="0" borderId="0" xfId="17" applyNumberFormat="1" applyFont="1"/>
    <xf numFmtId="0" fontId="46" fillId="0" borderId="16" xfId="0" applyFont="1" applyBorder="1" applyAlignment="1">
      <alignment horizontal="center"/>
    </xf>
    <xf numFmtId="0" fontId="46" fillId="0" borderId="16" xfId="0" applyFont="1" applyBorder="1" applyAlignment="1">
      <alignment horizontal="center" wrapText="1"/>
    </xf>
    <xf numFmtId="175" fontId="10" fillId="0" borderId="4" xfId="15" applyNumberFormat="1" applyFont="1" applyBorder="1" applyAlignment="1">
      <alignment horizontal="right"/>
    </xf>
    <xf numFmtId="176" fontId="10" fillId="0" borderId="4" xfId="0" applyNumberFormat="1" applyFont="1" applyBorder="1" applyAlignment="1">
      <alignment horizontal="right"/>
    </xf>
    <xf numFmtId="176" fontId="35" fillId="0" borderId="4" xfId="0" applyNumberFormat="1" applyFont="1" applyFill="1" applyBorder="1" applyAlignment="1">
      <alignment horizontal="center"/>
    </xf>
    <xf numFmtId="9" fontId="10" fillId="0" borderId="4" xfId="0" applyNumberFormat="1" applyFont="1" applyBorder="1"/>
    <xf numFmtId="0" fontId="46" fillId="0" borderId="0" xfId="0" applyFont="1"/>
    <xf numFmtId="6" fontId="0" fillId="0" borderId="0" xfId="0" applyNumberFormat="1"/>
    <xf numFmtId="0" fontId="0" fillId="0" borderId="23" xfId="0" applyBorder="1"/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170" fontId="0" fillId="0" borderId="0" xfId="0" applyNumberFormat="1"/>
    <xf numFmtId="174" fontId="0" fillId="0" borderId="0" xfId="17" applyNumberFormat="1" applyFont="1"/>
    <xf numFmtId="174" fontId="0" fillId="0" borderId="0" xfId="0" applyNumberFormat="1"/>
    <xf numFmtId="166" fontId="0" fillId="0" borderId="14" xfId="0" applyNumberFormat="1" applyBorder="1"/>
    <xf numFmtId="10" fontId="14" fillId="0" borderId="0" xfId="17" applyNumberFormat="1" applyFont="1" applyFill="1" applyBorder="1"/>
    <xf numFmtId="170" fontId="14" fillId="0" borderId="0" xfId="15" applyNumberFormat="1" applyFont="1" applyFill="1" applyBorder="1"/>
    <xf numFmtId="3" fontId="57" fillId="0" borderId="4" xfId="0" applyNumberFormat="1" applyFont="1" applyBorder="1"/>
    <xf numFmtId="171" fontId="57" fillId="0" borderId="4" xfId="16" applyNumberFormat="1" applyFont="1" applyBorder="1"/>
    <xf numFmtId="174" fontId="57" fillId="0" borderId="4" xfId="17" applyNumberFormat="1" applyFont="1" applyBorder="1"/>
    <xf numFmtId="170" fontId="57" fillId="0" borderId="4" xfId="15" applyNumberFormat="1" applyFont="1" applyBorder="1"/>
    <xf numFmtId="0" fontId="45" fillId="0" borderId="4" xfId="0" applyFont="1" applyBorder="1" applyAlignment="1">
      <alignment horizontal="center" wrapText="1"/>
    </xf>
    <xf numFmtId="49" fontId="23" fillId="0" borderId="0" xfId="0" applyNumberFormat="1" applyFont="1" applyFill="1" applyBorder="1" applyAlignment="1"/>
    <xf numFmtId="10" fontId="10" fillId="0" borderId="4" xfId="17" applyNumberFormat="1" applyFont="1" applyBorder="1" applyAlignment="1">
      <alignment horizontal="right"/>
    </xf>
    <xf numFmtId="10" fontId="0" fillId="0" borderId="4" xfId="17" applyNumberFormat="1" applyFont="1" applyBorder="1"/>
    <xf numFmtId="10" fontId="10" fillId="0" borderId="4" xfId="17" applyNumberFormat="1" applyFont="1" applyBorder="1"/>
    <xf numFmtId="9" fontId="0" fillId="0" borderId="4" xfId="17" applyNumberFormat="1" applyFont="1" applyBorder="1"/>
    <xf numFmtId="0" fontId="10" fillId="0" borderId="0" xfId="0" applyFont="1" applyAlignment="1">
      <alignment horizontal="left"/>
    </xf>
    <xf numFmtId="49" fontId="14" fillId="0" borderId="0" xfId="0" applyNumberFormat="1" applyFont="1" applyFill="1" applyBorder="1" applyAlignment="1" applyProtection="1">
      <protection locked="0"/>
    </xf>
    <xf numFmtId="49" fontId="14" fillId="0" borderId="29" xfId="0" applyNumberFormat="1" applyFont="1" applyFill="1" applyBorder="1" applyAlignment="1" applyProtection="1">
      <protection locked="0"/>
    </xf>
    <xf numFmtId="49" fontId="14" fillId="6" borderId="23" xfId="0" applyNumberFormat="1" applyFont="1" applyFill="1" applyBorder="1" applyAlignment="1" applyProtection="1">
      <protection locked="0"/>
    </xf>
    <xf numFmtId="49" fontId="14" fillId="6" borderId="1" xfId="0" applyNumberFormat="1" applyFont="1" applyFill="1" applyBorder="1" applyAlignment="1" applyProtection="1">
      <protection locked="0"/>
    </xf>
    <xf numFmtId="49" fontId="14" fillId="6" borderId="24" xfId="0" applyNumberFormat="1" applyFont="1" applyFill="1" applyBorder="1" applyAlignment="1" applyProtection="1">
      <protection locked="0"/>
    </xf>
    <xf numFmtId="49" fontId="22" fillId="6" borderId="23" xfId="0" applyNumberFormat="1" applyFont="1" applyFill="1" applyBorder="1" applyAlignment="1" applyProtection="1">
      <protection locked="0"/>
    </xf>
    <xf numFmtId="49" fontId="22" fillId="6" borderId="1" xfId="0" applyNumberFormat="1" applyFont="1" applyFill="1" applyBorder="1" applyAlignment="1" applyProtection="1">
      <protection locked="0"/>
    </xf>
    <xf numFmtId="49" fontId="22" fillId="6" borderId="24" xfId="0" applyNumberFormat="1" applyFont="1" applyFill="1" applyBorder="1" applyAlignment="1" applyProtection="1">
      <protection locked="0"/>
    </xf>
    <xf numFmtId="49" fontId="2" fillId="6" borderId="23" xfId="0" applyNumberFormat="1" applyFont="1" applyFill="1" applyBorder="1" applyAlignment="1" applyProtection="1">
      <protection locked="0"/>
    </xf>
    <xf numFmtId="0" fontId="2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16" xfId="0" applyFont="1" applyFill="1" applyBorder="1" applyAlignment="1">
      <alignment wrapText="1"/>
    </xf>
    <xf numFmtId="0" fontId="14" fillId="0" borderId="16" xfId="0" applyFont="1" applyFill="1" applyBorder="1" applyAlignment="1">
      <alignment wrapText="1"/>
    </xf>
    <xf numFmtId="49" fontId="2" fillId="6" borderId="15" xfId="0" applyNumberFormat="1" applyFont="1" applyFill="1" applyBorder="1" applyAlignment="1" applyProtection="1">
      <protection locked="0"/>
    </xf>
    <xf numFmtId="49" fontId="14" fillId="6" borderId="16" xfId="0" applyNumberFormat="1" applyFont="1" applyFill="1" applyBorder="1" applyAlignment="1" applyProtection="1">
      <protection locked="0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49" fontId="2" fillId="5" borderId="23" xfId="0" applyNumberFormat="1" applyFont="1" applyFill="1" applyBorder="1" applyAlignment="1" applyProtection="1">
      <alignment shrinkToFit="1"/>
      <protection locked="0"/>
    </xf>
    <xf numFmtId="49" fontId="14" fillId="0" borderId="1" xfId="0" applyNumberFormat="1" applyFont="1" applyFill="1" applyBorder="1" applyAlignment="1" applyProtection="1">
      <alignment shrinkToFit="1"/>
      <protection locked="0"/>
    </xf>
    <xf numFmtId="49" fontId="14" fillId="0" borderId="24" xfId="0" applyNumberFormat="1" applyFont="1" applyFill="1" applyBorder="1" applyAlignment="1" applyProtection="1">
      <alignment shrinkToFit="1"/>
      <protection locked="0"/>
    </xf>
    <xf numFmtId="1" fontId="2" fillId="5" borderId="23" xfId="0" quotePrefix="1" applyNumberFormat="1" applyFont="1" applyFill="1" applyBorder="1" applyAlignment="1" applyProtection="1">
      <alignment shrinkToFit="1"/>
      <protection locked="0"/>
    </xf>
    <xf numFmtId="0" fontId="14" fillId="0" borderId="1" xfId="0" applyFont="1" applyFill="1" applyBorder="1" applyAlignment="1" applyProtection="1">
      <alignment shrinkToFit="1"/>
      <protection locked="0"/>
    </xf>
    <xf numFmtId="0" fontId="14" fillId="0" borderId="24" xfId="0" applyFont="1" applyFill="1" applyBorder="1" applyAlignment="1" applyProtection="1">
      <alignment shrinkToFit="1"/>
      <protection locked="0"/>
    </xf>
    <xf numFmtId="3" fontId="14" fillId="5" borderId="23" xfId="0" applyNumberFormat="1" applyFont="1" applyFill="1" applyBorder="1" applyAlignment="1" applyProtection="1">
      <alignment shrinkToFit="1"/>
      <protection locked="0"/>
    </xf>
    <xf numFmtId="3" fontId="14" fillId="0" borderId="1" xfId="0" applyNumberFormat="1" applyFont="1" applyFill="1" applyBorder="1" applyAlignment="1" applyProtection="1">
      <alignment shrinkToFit="1"/>
      <protection locked="0"/>
    </xf>
    <xf numFmtId="3" fontId="14" fillId="0" borderId="24" xfId="0" applyNumberFormat="1" applyFont="1" applyFill="1" applyBorder="1" applyAlignment="1" applyProtection="1">
      <alignment shrinkToFit="1"/>
      <protection locked="0"/>
    </xf>
    <xf numFmtId="169" fontId="2" fillId="5" borderId="23" xfId="0" applyNumberFormat="1" applyFont="1" applyFill="1" applyBorder="1" applyAlignment="1" applyProtection="1">
      <alignment shrinkToFit="1"/>
      <protection locked="0"/>
    </xf>
    <xf numFmtId="169" fontId="14" fillId="0" borderId="1" xfId="0" applyNumberFormat="1" applyFont="1" applyFill="1" applyBorder="1" applyAlignment="1" applyProtection="1">
      <alignment shrinkToFit="1"/>
      <protection locked="0"/>
    </xf>
    <xf numFmtId="169" fontId="14" fillId="0" borderId="24" xfId="0" applyNumberFormat="1" applyFont="1" applyFill="1" applyBorder="1" applyAlignment="1" applyProtection="1">
      <alignment shrinkToFit="1"/>
      <protection locked="0"/>
    </xf>
    <xf numFmtId="49" fontId="19" fillId="5" borderId="23" xfId="13" applyNumberFormat="1" applyFont="1" applyFill="1" applyBorder="1" applyAlignment="1" applyProtection="1">
      <alignment shrinkToFit="1"/>
      <protection locked="0"/>
    </xf>
    <xf numFmtId="49" fontId="14" fillId="5" borderId="1" xfId="0" applyNumberFormat="1" applyFont="1" applyFill="1" applyBorder="1" applyAlignment="1" applyProtection="1">
      <alignment shrinkToFit="1"/>
      <protection locked="0"/>
    </xf>
    <xf numFmtId="0" fontId="20" fillId="0" borderId="0" xfId="0" applyFont="1" applyFill="1" applyBorder="1" applyAlignment="1">
      <alignment vertical="justify" wrapText="1"/>
    </xf>
    <xf numFmtId="0" fontId="21" fillId="0" borderId="0" xfId="0" applyFont="1" applyFill="1" applyBorder="1" applyAlignment="1">
      <alignment vertical="justify" wrapText="1"/>
    </xf>
    <xf numFmtId="0" fontId="21" fillId="0" borderId="0" xfId="0" applyFont="1" applyFill="1" applyBorder="1" applyAlignment="1"/>
    <xf numFmtId="49" fontId="14" fillId="5" borderId="23" xfId="0" applyNumberFormat="1" applyFont="1" applyFill="1" applyBorder="1" applyAlignment="1" applyProtection="1">
      <alignment shrinkToFit="1"/>
      <protection locked="0"/>
    </xf>
    <xf numFmtId="0" fontId="14" fillId="0" borderId="1" xfId="0" applyNumberFormat="1" applyFont="1" applyFill="1" applyBorder="1" applyAlignment="1" applyProtection="1">
      <alignment shrinkToFit="1"/>
      <protection locked="0"/>
    </xf>
    <xf numFmtId="0" fontId="14" fillId="0" borderId="24" xfId="0" applyNumberFormat="1" applyFont="1" applyFill="1" applyBorder="1" applyAlignment="1" applyProtection="1">
      <alignment shrinkToFit="1"/>
      <protection locked="0"/>
    </xf>
    <xf numFmtId="49" fontId="14" fillId="6" borderId="15" xfId="0" applyNumberFormat="1" applyFont="1" applyFill="1" applyBorder="1" applyAlignment="1" applyProtection="1">
      <protection locked="0"/>
    </xf>
    <xf numFmtId="1" fontId="14" fillId="5" borderId="23" xfId="0" applyNumberFormat="1" applyFont="1" applyFill="1" applyBorder="1" applyAlignment="1" applyProtection="1">
      <alignment shrinkToFit="1"/>
      <protection locked="0"/>
    </xf>
    <xf numFmtId="169" fontId="14" fillId="5" borderId="23" xfId="0" applyNumberFormat="1" applyFont="1" applyFill="1" applyBorder="1" applyAlignment="1" applyProtection="1">
      <alignment shrinkToFit="1"/>
      <protection locked="0"/>
    </xf>
    <xf numFmtId="49" fontId="26" fillId="5" borderId="23" xfId="13" applyNumberFormat="1" applyFont="1" applyFill="1" applyBorder="1" applyAlignment="1" applyProtection="1">
      <alignment shrinkToFit="1"/>
      <protection locked="0"/>
    </xf>
    <xf numFmtId="49" fontId="2" fillId="9" borderId="23" xfId="0" applyNumberFormat="1" applyFont="1" applyFill="1" applyBorder="1" applyAlignment="1" applyProtection="1">
      <alignment shrinkToFit="1"/>
      <protection locked="0"/>
    </xf>
    <xf numFmtId="49" fontId="2" fillId="0" borderId="1" xfId="0" applyNumberFormat="1" applyFont="1" applyFill="1" applyBorder="1" applyAlignment="1" applyProtection="1">
      <alignment shrinkToFit="1"/>
      <protection locked="0"/>
    </xf>
    <xf numFmtId="49" fontId="2" fillId="0" borderId="24" xfId="0" applyNumberFormat="1" applyFont="1" applyFill="1" applyBorder="1" applyAlignment="1" applyProtection="1">
      <alignment shrinkToFit="1"/>
      <protection locked="0"/>
    </xf>
    <xf numFmtId="1" fontId="2" fillId="9" borderId="23" xfId="0" quotePrefix="1" applyNumberFormat="1" applyFont="1" applyFill="1" applyBorder="1" applyAlignment="1" applyProtection="1">
      <alignment shrinkToFit="1"/>
      <protection locked="0"/>
    </xf>
    <xf numFmtId="0" fontId="2" fillId="0" borderId="1" xfId="0" applyFont="1" applyFill="1" applyBorder="1" applyAlignment="1" applyProtection="1">
      <alignment shrinkToFit="1"/>
      <protection locked="0"/>
    </xf>
    <xf numFmtId="0" fontId="2" fillId="0" borderId="24" xfId="0" applyFont="1" applyFill="1" applyBorder="1" applyAlignment="1" applyProtection="1">
      <alignment shrinkToFit="1"/>
      <protection locked="0"/>
    </xf>
    <xf numFmtId="3" fontId="2" fillId="9" borderId="23" xfId="0" applyNumberFormat="1" applyFont="1" applyFill="1" applyBorder="1" applyAlignment="1" applyProtection="1">
      <alignment shrinkToFit="1"/>
      <protection locked="0"/>
    </xf>
    <xf numFmtId="3" fontId="2" fillId="0" borderId="1" xfId="0" applyNumberFormat="1" applyFont="1" applyFill="1" applyBorder="1" applyAlignment="1" applyProtection="1">
      <alignment shrinkToFit="1"/>
      <protection locked="0"/>
    </xf>
    <xf numFmtId="3" fontId="2" fillId="0" borderId="24" xfId="0" applyNumberFormat="1" applyFont="1" applyFill="1" applyBorder="1" applyAlignment="1" applyProtection="1">
      <alignment shrinkToFit="1"/>
      <protection locked="0"/>
    </xf>
    <xf numFmtId="169" fontId="2" fillId="9" borderId="23" xfId="0" applyNumberFormat="1" applyFont="1" applyFill="1" applyBorder="1" applyAlignment="1" applyProtection="1">
      <alignment shrinkToFit="1"/>
      <protection locked="0"/>
    </xf>
    <xf numFmtId="169" fontId="2" fillId="0" borderId="1" xfId="0" applyNumberFormat="1" applyFont="1" applyFill="1" applyBorder="1" applyAlignment="1" applyProtection="1">
      <alignment shrinkToFit="1"/>
      <protection locked="0"/>
    </xf>
    <xf numFmtId="169" fontId="2" fillId="0" borderId="24" xfId="0" applyNumberFormat="1" applyFont="1" applyFill="1" applyBorder="1" applyAlignment="1" applyProtection="1">
      <alignment shrinkToFit="1"/>
      <protection locked="0"/>
    </xf>
    <xf numFmtId="49" fontId="19" fillId="9" borderId="23" xfId="13" applyNumberFormat="1" applyFont="1" applyFill="1" applyBorder="1" applyAlignment="1" applyProtection="1">
      <alignment shrinkToFit="1"/>
      <protection locked="0"/>
    </xf>
    <xf numFmtId="49" fontId="2" fillId="9" borderId="1" xfId="0" applyNumberFormat="1" applyFont="1" applyFill="1" applyBorder="1" applyAlignment="1" applyProtection="1">
      <alignment shrinkToFit="1"/>
      <protection locked="0"/>
    </xf>
    <xf numFmtId="49" fontId="2" fillId="6" borderId="1" xfId="0" applyNumberFormat="1" applyFont="1" applyFill="1" applyBorder="1" applyAlignment="1" applyProtection="1">
      <protection locked="0"/>
    </xf>
    <xf numFmtId="49" fontId="2" fillId="6" borderId="24" xfId="0" applyNumberFormat="1" applyFont="1" applyFill="1" applyBorder="1" applyAlignment="1" applyProtection="1">
      <protection locked="0"/>
    </xf>
    <xf numFmtId="0" fontId="2" fillId="0" borderId="16" xfId="0" applyFont="1" applyFill="1" applyBorder="1" applyAlignment="1">
      <alignment wrapText="1"/>
    </xf>
    <xf numFmtId="49" fontId="2" fillId="6" borderId="16" xfId="0" applyNumberFormat="1" applyFont="1" applyFill="1" applyBorder="1" applyAlignment="1" applyProtection="1">
      <protection locked="0"/>
    </xf>
    <xf numFmtId="49" fontId="2" fillId="6" borderId="4" xfId="0" applyNumberFormat="1" applyFont="1" applyFill="1" applyBorder="1" applyAlignment="1" applyProtection="1">
      <protection locked="0"/>
    </xf>
    <xf numFmtId="0" fontId="2" fillId="6" borderId="23" xfId="0" applyFont="1" applyFill="1" applyBorder="1"/>
    <xf numFmtId="0" fontId="2" fillId="6" borderId="1" xfId="0" applyFont="1" applyFill="1" applyBorder="1"/>
    <xf numFmtId="0" fontId="2" fillId="6" borderId="24" xfId="0" applyFont="1" applyFill="1" applyBorder="1"/>
    <xf numFmtId="49" fontId="19" fillId="5" borderId="1" xfId="13" applyNumberFormat="1" applyFont="1" applyFill="1" applyBorder="1" applyAlignment="1" applyProtection="1">
      <alignment shrinkToFit="1"/>
      <protection locked="0"/>
    </xf>
    <xf numFmtId="0" fontId="13" fillId="0" borderId="0" xfId="0" applyFont="1" applyFill="1" applyBorder="1"/>
    <xf numFmtId="49" fontId="2" fillId="5" borderId="1" xfId="0" applyNumberFormat="1" applyFont="1" applyFill="1" applyBorder="1" applyAlignment="1" applyProtection="1">
      <alignment shrinkToFit="1"/>
      <protection locked="0"/>
    </xf>
    <xf numFmtId="49" fontId="2" fillId="5" borderId="24" xfId="0" applyNumberFormat="1" applyFont="1" applyFill="1" applyBorder="1" applyAlignment="1" applyProtection="1">
      <alignment shrinkToFit="1"/>
      <protection locked="0"/>
    </xf>
    <xf numFmtId="1" fontId="2" fillId="5" borderId="1" xfId="0" quotePrefix="1" applyNumberFormat="1" applyFont="1" applyFill="1" applyBorder="1" applyAlignment="1" applyProtection="1">
      <alignment shrinkToFit="1"/>
      <protection locked="0"/>
    </xf>
    <xf numFmtId="1" fontId="2" fillId="5" borderId="24" xfId="0" quotePrefix="1" applyNumberFormat="1" applyFont="1" applyFill="1" applyBorder="1" applyAlignment="1" applyProtection="1">
      <alignment shrinkToFit="1"/>
      <protection locked="0"/>
    </xf>
    <xf numFmtId="3" fontId="2" fillId="5" borderId="23" xfId="0" applyNumberFormat="1" applyFont="1" applyFill="1" applyBorder="1" applyAlignment="1" applyProtection="1">
      <alignment shrinkToFit="1"/>
      <protection locked="0"/>
    </xf>
    <xf numFmtId="3" fontId="2" fillId="5" borderId="1" xfId="0" applyNumberFormat="1" applyFont="1" applyFill="1" applyBorder="1" applyAlignment="1" applyProtection="1">
      <alignment shrinkToFit="1"/>
      <protection locked="0"/>
    </xf>
    <xf numFmtId="3" fontId="2" fillId="5" borderId="24" xfId="0" applyNumberFormat="1" applyFont="1" applyFill="1" applyBorder="1" applyAlignment="1" applyProtection="1">
      <alignment shrinkToFit="1"/>
      <protection locked="0"/>
    </xf>
    <xf numFmtId="169" fontId="2" fillId="5" borderId="1" xfId="0" applyNumberFormat="1" applyFont="1" applyFill="1" applyBorder="1" applyAlignment="1" applyProtection="1">
      <alignment shrinkToFit="1"/>
      <protection locked="0"/>
    </xf>
    <xf numFmtId="169" fontId="2" fillId="5" borderId="24" xfId="0" applyNumberFormat="1" applyFont="1" applyFill="1" applyBorder="1" applyAlignment="1" applyProtection="1">
      <alignment shrinkToFit="1"/>
      <protection locked="0"/>
    </xf>
    <xf numFmtId="49" fontId="2" fillId="6" borderId="15" xfId="6" applyNumberFormat="1" applyFont="1" applyFill="1" applyBorder="1" applyAlignment="1" applyProtection="1">
      <protection locked="0"/>
    </xf>
    <xf numFmtId="49" fontId="2" fillId="6" borderId="16" xfId="6" applyNumberFormat="1" applyFont="1" applyFill="1" applyBorder="1" applyAlignment="1" applyProtection="1">
      <protection locked="0"/>
    </xf>
    <xf numFmtId="49" fontId="2" fillId="6" borderId="24" xfId="6" applyNumberFormat="1" applyFont="1" applyFill="1" applyBorder="1" applyAlignment="1" applyProtection="1">
      <protection locked="0"/>
    </xf>
    <xf numFmtId="1" fontId="14" fillId="5" borderId="23" xfId="0" quotePrefix="1" applyNumberFormat="1" applyFont="1" applyFill="1" applyBorder="1" applyAlignment="1" applyProtection="1">
      <alignment shrinkToFit="1"/>
      <protection locked="0"/>
    </xf>
    <xf numFmtId="49" fontId="2" fillId="6" borderId="23" xfId="18" applyNumberFormat="1" applyFont="1" applyFill="1" applyBorder="1" applyAlignment="1" applyProtection="1">
      <protection locked="0"/>
    </xf>
    <xf numFmtId="49" fontId="2" fillId="6" borderId="1" xfId="18" applyNumberFormat="1" applyFont="1" applyFill="1" applyBorder="1" applyAlignment="1" applyProtection="1">
      <protection locked="0"/>
    </xf>
    <xf numFmtId="49" fontId="2" fillId="6" borderId="24" xfId="18" applyNumberFormat="1" applyFont="1" applyFill="1" applyBorder="1" applyAlignment="1" applyProtection="1">
      <protection locked="0"/>
    </xf>
    <xf numFmtId="0" fontId="2" fillId="0" borderId="0" xfId="18" applyFont="1" applyFill="1" applyBorder="1" applyAlignment="1"/>
    <xf numFmtId="0" fontId="15" fillId="0" borderId="16" xfId="18" applyFont="1" applyFill="1" applyBorder="1" applyAlignment="1">
      <alignment wrapText="1"/>
    </xf>
    <xf numFmtId="0" fontId="2" fillId="0" borderId="16" xfId="18" applyFont="1" applyFill="1" applyBorder="1" applyAlignment="1">
      <alignment wrapText="1"/>
    </xf>
    <xf numFmtId="49" fontId="2" fillId="6" borderId="15" xfId="18" applyNumberFormat="1" applyFont="1" applyFill="1" applyBorder="1" applyAlignment="1" applyProtection="1">
      <protection locked="0"/>
    </xf>
    <xf numFmtId="49" fontId="2" fillId="6" borderId="16" xfId="18" applyNumberFormat="1" applyFont="1" applyFill="1" applyBorder="1" applyAlignment="1" applyProtection="1">
      <protection locked="0"/>
    </xf>
    <xf numFmtId="0" fontId="15" fillId="0" borderId="0" xfId="18" applyFont="1" applyFill="1" applyBorder="1" applyAlignment="1">
      <alignment horizontal="center"/>
    </xf>
    <xf numFmtId="0" fontId="17" fillId="0" borderId="0" xfId="18" applyFont="1" applyFill="1" applyBorder="1" applyAlignment="1">
      <alignment horizontal="center"/>
    </xf>
    <xf numFmtId="49" fontId="2" fillId="5" borderId="23" xfId="18" applyNumberFormat="1" applyFont="1" applyFill="1" applyBorder="1" applyAlignment="1" applyProtection="1">
      <alignment shrinkToFit="1"/>
      <protection locked="0"/>
    </xf>
    <xf numFmtId="49" fontId="2" fillId="0" borderId="1" xfId="18" applyNumberFormat="1" applyFont="1" applyFill="1" applyBorder="1" applyAlignment="1" applyProtection="1">
      <alignment shrinkToFit="1"/>
      <protection locked="0"/>
    </xf>
    <xf numFmtId="49" fontId="2" fillId="0" borderId="24" xfId="18" applyNumberFormat="1" applyFont="1" applyFill="1" applyBorder="1" applyAlignment="1" applyProtection="1">
      <alignment shrinkToFit="1"/>
      <protection locked="0"/>
    </xf>
    <xf numFmtId="1" fontId="2" fillId="5" borderId="23" xfId="18" applyNumberFormat="1" applyFont="1" applyFill="1" applyBorder="1" applyAlignment="1" applyProtection="1">
      <alignment shrinkToFit="1"/>
      <protection locked="0"/>
    </xf>
    <xf numFmtId="0" fontId="2" fillId="0" borderId="1" xfId="18" applyFont="1" applyFill="1" applyBorder="1" applyAlignment="1" applyProtection="1">
      <alignment shrinkToFit="1"/>
      <protection locked="0"/>
    </xf>
    <xf numFmtId="0" fontId="2" fillId="0" borderId="24" xfId="18" applyFont="1" applyFill="1" applyBorder="1" applyAlignment="1" applyProtection="1">
      <alignment shrinkToFit="1"/>
      <protection locked="0"/>
    </xf>
    <xf numFmtId="3" fontId="2" fillId="5" borderId="23" xfId="18" applyNumberFormat="1" applyFont="1" applyFill="1" applyBorder="1" applyAlignment="1" applyProtection="1">
      <alignment horizontal="left" shrinkToFit="1"/>
      <protection locked="0"/>
    </xf>
    <xf numFmtId="3" fontId="2" fillId="0" borderId="1" xfId="18" applyNumberFormat="1" applyFont="1" applyFill="1" applyBorder="1" applyAlignment="1" applyProtection="1">
      <alignment horizontal="left" shrinkToFit="1"/>
      <protection locked="0"/>
    </xf>
    <xf numFmtId="3" fontId="2" fillId="0" borderId="24" xfId="18" applyNumberFormat="1" applyFont="1" applyFill="1" applyBorder="1" applyAlignment="1" applyProtection="1">
      <alignment horizontal="left" shrinkToFit="1"/>
      <protection locked="0"/>
    </xf>
    <xf numFmtId="169" fontId="2" fillId="5" borderId="23" xfId="18" applyNumberFormat="1" applyFont="1" applyFill="1" applyBorder="1" applyAlignment="1" applyProtection="1">
      <alignment shrinkToFit="1"/>
      <protection locked="0"/>
    </xf>
    <xf numFmtId="169" fontId="2" fillId="0" borderId="1" xfId="18" applyNumberFormat="1" applyFont="1" applyFill="1" applyBorder="1" applyAlignment="1" applyProtection="1">
      <alignment shrinkToFit="1"/>
      <protection locked="0"/>
    </xf>
    <xf numFmtId="169" fontId="2" fillId="0" borderId="24" xfId="18" applyNumberFormat="1" applyFont="1" applyFill="1" applyBorder="1" applyAlignment="1" applyProtection="1">
      <alignment shrinkToFit="1"/>
      <protection locked="0"/>
    </xf>
    <xf numFmtId="49" fontId="2" fillId="5" borderId="1" xfId="18" applyNumberFormat="1" applyFont="1" applyFill="1" applyBorder="1" applyAlignment="1" applyProtection="1">
      <alignment shrinkToFit="1"/>
      <protection locked="0"/>
    </xf>
    <xf numFmtId="0" fontId="17" fillId="0" borderId="0" xfId="18" applyFont="1" applyFill="1" applyBorder="1" applyAlignment="1">
      <alignment vertical="justify" wrapText="1"/>
    </xf>
    <xf numFmtId="0" fontId="2" fillId="0" borderId="0" xfId="18" applyFont="1" applyFill="1" applyBorder="1" applyAlignment="1">
      <alignment vertical="justify" wrapText="1"/>
    </xf>
    <xf numFmtId="1" fontId="2" fillId="5" borderId="23" xfId="0" applyNumberFormat="1" applyFont="1" applyFill="1" applyBorder="1" applyAlignment="1" applyProtection="1">
      <alignment shrinkToFit="1"/>
      <protection locked="0"/>
    </xf>
    <xf numFmtId="3" fontId="2" fillId="5" borderId="23" xfId="0" quotePrefix="1" applyNumberFormat="1" applyFont="1" applyFill="1" applyBorder="1" applyAlignment="1" applyProtection="1">
      <alignment shrinkToFit="1"/>
      <protection locked="0"/>
    </xf>
    <xf numFmtId="169" fontId="2" fillId="5" borderId="23" xfId="6" applyNumberFormat="1" applyFont="1" applyFill="1" applyBorder="1" applyAlignment="1" applyProtection="1">
      <alignment shrinkToFit="1"/>
      <protection locked="0"/>
    </xf>
    <xf numFmtId="169" fontId="2" fillId="0" borderId="1" xfId="6" applyNumberFormat="1" applyFont="1" applyFill="1" applyBorder="1" applyAlignment="1" applyProtection="1">
      <alignment shrinkToFit="1"/>
      <protection locked="0"/>
    </xf>
    <xf numFmtId="169" fontId="2" fillId="0" borderId="24" xfId="6" applyNumberFormat="1" applyFont="1" applyFill="1" applyBorder="1" applyAlignment="1" applyProtection="1">
      <alignment shrinkToFit="1"/>
      <protection locked="0"/>
    </xf>
    <xf numFmtId="0" fontId="16" fillId="0" borderId="0" xfId="6" applyFont="1" applyFill="1" applyBorder="1" applyAlignment="1">
      <alignment horizontal="center"/>
    </xf>
    <xf numFmtId="0" fontId="17" fillId="0" borderId="0" xfId="6" applyFont="1" applyFill="1" applyBorder="1" applyAlignment="1">
      <alignment horizontal="center"/>
    </xf>
    <xf numFmtId="49" fontId="2" fillId="5" borderId="23" xfId="6" applyNumberFormat="1" applyFont="1" applyFill="1" applyBorder="1" applyAlignment="1" applyProtection="1">
      <alignment shrinkToFit="1"/>
      <protection locked="0"/>
    </xf>
    <xf numFmtId="49" fontId="2" fillId="0" borderId="1" xfId="6" applyNumberFormat="1" applyFont="1" applyFill="1" applyBorder="1" applyAlignment="1" applyProtection="1">
      <alignment shrinkToFit="1"/>
      <protection locked="0"/>
    </xf>
    <xf numFmtId="49" fontId="2" fillId="0" borderId="24" xfId="6" applyNumberFormat="1" applyFont="1" applyFill="1" applyBorder="1" applyAlignment="1" applyProtection="1">
      <alignment shrinkToFit="1"/>
      <protection locked="0"/>
    </xf>
    <xf numFmtId="1" fontId="2" fillId="5" borderId="23" xfId="6" quotePrefix="1" applyNumberFormat="1" applyFont="1" applyFill="1" applyBorder="1" applyAlignment="1" applyProtection="1">
      <alignment shrinkToFit="1"/>
      <protection locked="0"/>
    </xf>
    <xf numFmtId="1" fontId="2" fillId="5" borderId="1" xfId="6" quotePrefix="1" applyNumberFormat="1" applyFont="1" applyFill="1" applyBorder="1" applyAlignment="1" applyProtection="1">
      <alignment shrinkToFit="1"/>
      <protection locked="0"/>
    </xf>
    <xf numFmtId="1" fontId="2" fillId="5" borderId="24" xfId="6" quotePrefix="1" applyNumberFormat="1" applyFont="1" applyFill="1" applyBorder="1" applyAlignment="1" applyProtection="1">
      <alignment shrinkToFit="1"/>
      <protection locked="0"/>
    </xf>
    <xf numFmtId="3" fontId="2" fillId="5" borderId="23" xfId="6" applyNumberFormat="1" applyFont="1" applyFill="1" applyBorder="1" applyAlignment="1" applyProtection="1">
      <alignment shrinkToFit="1"/>
      <protection locked="0"/>
    </xf>
    <xf numFmtId="3" fontId="2" fillId="0" borderId="1" xfId="6" applyNumberFormat="1" applyFont="1" applyFill="1" applyBorder="1" applyAlignment="1" applyProtection="1">
      <alignment shrinkToFit="1"/>
      <protection locked="0"/>
    </xf>
    <xf numFmtId="3" fontId="2" fillId="0" borderId="24" xfId="6" applyNumberFormat="1" applyFont="1" applyFill="1" applyBorder="1" applyAlignment="1" applyProtection="1">
      <alignment shrinkToFit="1"/>
      <protection locked="0"/>
    </xf>
    <xf numFmtId="49" fontId="30" fillId="5" borderId="23" xfId="13" applyNumberFormat="1" applyFont="1" applyFill="1" applyBorder="1" applyAlignment="1" applyProtection="1">
      <alignment shrinkToFit="1"/>
      <protection locked="0"/>
    </xf>
    <xf numFmtId="49" fontId="2" fillId="5" borderId="1" xfId="6" applyNumberFormat="1" applyFont="1" applyFill="1" applyBorder="1" applyAlignment="1" applyProtection="1">
      <alignment shrinkToFit="1"/>
      <protection locked="0"/>
    </xf>
    <xf numFmtId="0" fontId="20" fillId="0" borderId="0" xfId="6" applyFont="1" applyFill="1" applyBorder="1" applyAlignment="1">
      <alignment vertical="justify" wrapText="1"/>
    </xf>
    <xf numFmtId="0" fontId="21" fillId="0" borderId="0" xfId="6" applyFont="1" applyFill="1" applyBorder="1" applyAlignment="1">
      <alignment vertical="justify" wrapText="1"/>
    </xf>
    <xf numFmtId="0" fontId="21" fillId="0" borderId="0" xfId="6" applyFont="1" applyFill="1" applyBorder="1" applyAlignment="1"/>
    <xf numFmtId="49" fontId="22" fillId="6" borderId="23" xfId="6" applyNumberFormat="1" applyFont="1" applyFill="1" applyBorder="1" applyAlignment="1" applyProtection="1">
      <protection locked="0"/>
    </xf>
    <xf numFmtId="49" fontId="22" fillId="6" borderId="1" xfId="6" applyNumberFormat="1" applyFont="1" applyFill="1" applyBorder="1" applyAlignment="1" applyProtection="1">
      <protection locked="0"/>
    </xf>
    <xf numFmtId="49" fontId="22" fillId="6" borderId="24" xfId="6" applyNumberFormat="1" applyFont="1" applyFill="1" applyBorder="1" applyAlignment="1" applyProtection="1">
      <protection locked="0"/>
    </xf>
    <xf numFmtId="0" fontId="2" fillId="0" borderId="0" xfId="6" applyFont="1" applyFill="1" applyBorder="1" applyAlignment="1"/>
    <xf numFmtId="0" fontId="15" fillId="0" borderId="16" xfId="6" applyFont="1" applyFill="1" applyBorder="1" applyAlignment="1">
      <alignment wrapText="1"/>
    </xf>
    <xf numFmtId="0" fontId="2" fillId="0" borderId="16" xfId="6" applyFont="1" applyFill="1" applyBorder="1" applyAlignment="1">
      <alignment wrapText="1"/>
    </xf>
    <xf numFmtId="49" fontId="2" fillId="6" borderId="23" xfId="6" applyNumberFormat="1" applyFont="1" applyFill="1" applyBorder="1" applyAlignment="1" applyProtection="1">
      <protection locked="0"/>
    </xf>
    <xf numFmtId="49" fontId="2" fillId="6" borderId="1" xfId="6" applyNumberFormat="1" applyFont="1" applyFill="1" applyBorder="1" applyAlignment="1" applyProtection="1">
      <protection locked="0"/>
    </xf>
    <xf numFmtId="0" fontId="31" fillId="6" borderId="23" xfId="0" applyFont="1" applyFill="1" applyBorder="1" applyAlignment="1">
      <alignment horizontal="left" wrapText="1" shrinkToFit="1"/>
    </xf>
    <xf numFmtId="0" fontId="11" fillId="0" borderId="1" xfId="0" applyFont="1" applyFill="1" applyBorder="1" applyAlignment="1"/>
    <xf numFmtId="0" fontId="11" fillId="0" borderId="24" xfId="0" applyFont="1" applyFill="1" applyBorder="1" applyAlignment="1"/>
    <xf numFmtId="0" fontId="11" fillId="6" borderId="1" xfId="0" applyFont="1" applyFill="1" applyBorder="1" applyAlignment="1"/>
    <xf numFmtId="0" fontId="11" fillId="6" borderId="24" xfId="0" applyFont="1" applyFill="1" applyBorder="1" applyAlignment="1"/>
    <xf numFmtId="0" fontId="32" fillId="5" borderId="4" xfId="0" applyFont="1" applyFill="1" applyBorder="1" applyAlignment="1"/>
    <xf numFmtId="0" fontId="1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3" fontId="32" fillId="5" borderId="4" xfId="0" applyNumberFormat="1" applyFont="1" applyFill="1" applyBorder="1" applyAlignment="1"/>
    <xf numFmtId="0" fontId="32" fillId="5" borderId="0" xfId="0" applyFont="1" applyFill="1" applyBorder="1" applyAlignment="1"/>
    <xf numFmtId="0" fontId="15" fillId="0" borderId="0" xfId="6" applyFont="1" applyFill="1" applyBorder="1" applyAlignment="1">
      <alignment horizontal="center"/>
    </xf>
    <xf numFmtId="0" fontId="2" fillId="0" borderId="16" xfId="6" applyFont="1" applyFill="1" applyBorder="1" applyAlignment="1"/>
    <xf numFmtId="169" fontId="2" fillId="5" borderId="1" xfId="6" applyNumberFormat="1" applyFont="1" applyFill="1" applyBorder="1" applyAlignment="1" applyProtection="1">
      <alignment shrinkToFit="1"/>
      <protection locked="0"/>
    </xf>
    <xf numFmtId="169" fontId="2" fillId="5" borderId="24" xfId="6" applyNumberFormat="1" applyFont="1" applyFill="1" applyBorder="1" applyAlignment="1" applyProtection="1">
      <alignment shrinkToFit="1"/>
      <protection locked="0"/>
    </xf>
    <xf numFmtId="49" fontId="2" fillId="5" borderId="24" xfId="6" applyNumberFormat="1" applyFont="1" applyFill="1" applyBorder="1" applyAlignment="1" applyProtection="1">
      <alignment shrinkToFit="1"/>
      <protection locked="0"/>
    </xf>
    <xf numFmtId="3" fontId="2" fillId="5" borderId="23" xfId="6" applyNumberFormat="1" applyFont="1" applyFill="1" applyBorder="1" applyAlignment="1" applyProtection="1">
      <alignment horizontal="left" shrinkToFit="1"/>
      <protection locked="0"/>
    </xf>
    <xf numFmtId="3" fontId="2" fillId="5" borderId="1" xfId="6" applyNumberFormat="1" applyFont="1" applyFill="1" applyBorder="1" applyAlignment="1" applyProtection="1">
      <alignment horizontal="left" shrinkToFit="1"/>
      <protection locked="0"/>
    </xf>
    <xf numFmtId="3" fontId="2" fillId="5" borderId="24" xfId="6" applyNumberFormat="1" applyFont="1" applyFill="1" applyBorder="1" applyAlignment="1" applyProtection="1">
      <alignment horizontal="left" shrinkToFit="1"/>
      <protection locked="0"/>
    </xf>
    <xf numFmtId="1" fontId="5" fillId="5" borderId="4" xfId="0" quotePrefix="1" applyNumberFormat="1" applyFont="1" applyFill="1" applyBorder="1" applyAlignment="1" applyProtection="1">
      <alignment horizontal="right"/>
      <protection locked="0"/>
    </xf>
    <xf numFmtId="0" fontId="5" fillId="0" borderId="4" xfId="0" applyFont="1" applyFill="1" applyBorder="1" applyAlignment="1">
      <alignment horizontal="right"/>
    </xf>
    <xf numFmtId="1" fontId="14" fillId="5" borderId="30" xfId="0" quotePrefix="1" applyNumberFormat="1" applyFont="1" applyFill="1" applyBorder="1" applyAlignment="1" applyProtection="1">
      <alignment horizontal="right"/>
      <protection locked="0"/>
    </xf>
    <xf numFmtId="0" fontId="14" fillId="0" borderId="14" xfId="0" applyFont="1" applyFill="1" applyBorder="1" applyAlignment="1">
      <alignment horizontal="right"/>
    </xf>
    <xf numFmtId="0" fontId="14" fillId="0" borderId="31" xfId="0" applyFont="1" applyFill="1" applyBorder="1" applyAlignment="1">
      <alignment horizontal="right"/>
    </xf>
    <xf numFmtId="1" fontId="14" fillId="5" borderId="4" xfId="0" quotePrefix="1" applyNumberFormat="1" applyFont="1" applyFill="1" applyBorder="1" applyAlignment="1" applyProtection="1">
      <alignment horizontal="right"/>
      <protection locked="0"/>
    </xf>
    <xf numFmtId="0" fontId="14" fillId="0" borderId="4" xfId="0" applyFont="1" applyFill="1" applyBorder="1" applyAlignment="1">
      <alignment horizontal="right"/>
    </xf>
    <xf numFmtId="3" fontId="14" fillId="5" borderId="23" xfId="0" applyNumberFormat="1" applyFont="1" applyFill="1" applyBorder="1" applyAlignment="1" applyProtection="1">
      <alignment horizontal="left" shrinkToFit="1"/>
      <protection locked="0"/>
    </xf>
    <xf numFmtId="3" fontId="14" fillId="0" borderId="1" xfId="0" applyNumberFormat="1" applyFont="1" applyFill="1" applyBorder="1" applyAlignment="1" applyProtection="1">
      <alignment horizontal="left" shrinkToFit="1"/>
      <protection locked="0"/>
    </xf>
    <xf numFmtId="3" fontId="14" fillId="0" borderId="24" xfId="0" applyNumberFormat="1" applyFont="1" applyFill="1" applyBorder="1" applyAlignment="1" applyProtection="1">
      <alignment horizontal="left" shrinkToFit="1"/>
      <protection locked="0"/>
    </xf>
    <xf numFmtId="49" fontId="29" fillId="5" borderId="23" xfId="13" applyNumberFormat="1" applyFont="1" applyFill="1" applyBorder="1" applyAlignment="1" applyProtection="1">
      <alignment shrinkToFit="1"/>
      <protection locked="0"/>
    </xf>
    <xf numFmtId="49" fontId="14" fillId="5" borderId="23" xfId="0" applyNumberFormat="1" applyFont="1" applyFill="1" applyBorder="1" applyAlignment="1" applyProtection="1">
      <alignment horizontal="right" shrinkToFit="1"/>
      <protection locked="0"/>
    </xf>
    <xf numFmtId="49" fontId="14" fillId="0" borderId="1" xfId="0" applyNumberFormat="1" applyFont="1" applyFill="1" applyBorder="1" applyAlignment="1" applyProtection="1">
      <alignment horizontal="right" shrinkToFit="1"/>
      <protection locked="0"/>
    </xf>
    <xf numFmtId="49" fontId="14" fillId="0" borderId="24" xfId="0" applyNumberFormat="1" applyFont="1" applyFill="1" applyBorder="1" applyAlignment="1" applyProtection="1">
      <alignment horizontal="right" shrinkToFit="1"/>
      <protection locked="0"/>
    </xf>
    <xf numFmtId="49" fontId="19" fillId="5" borderId="23" xfId="13" applyNumberFormat="1" applyFont="1" applyFill="1" applyBorder="1" applyAlignment="1" applyProtection="1">
      <alignment horizontal="center" shrinkToFit="1"/>
      <protection locked="0"/>
    </xf>
    <xf numFmtId="49" fontId="19" fillId="5" borderId="1" xfId="13" applyNumberFormat="1" applyFont="1" applyFill="1" applyBorder="1" applyAlignment="1" applyProtection="1">
      <alignment horizontal="center" shrinkToFit="1"/>
      <protection locked="0"/>
    </xf>
    <xf numFmtId="49" fontId="2" fillId="5" borderId="23" xfId="0" applyNumberFormat="1" applyFont="1" applyFill="1" applyBorder="1" applyAlignment="1" applyProtection="1">
      <alignment horizontal="center" shrinkToFit="1"/>
      <protection locked="0"/>
    </xf>
    <xf numFmtId="49" fontId="2" fillId="5" borderId="1" xfId="0" applyNumberFormat="1" applyFont="1" applyFill="1" applyBorder="1" applyAlignment="1" applyProtection="1">
      <alignment horizontal="center" shrinkToFit="1"/>
      <protection locked="0"/>
    </xf>
    <xf numFmtId="49" fontId="2" fillId="5" borderId="24" xfId="0" applyNumberFormat="1" applyFont="1" applyFill="1" applyBorder="1" applyAlignment="1" applyProtection="1">
      <alignment horizontal="center" shrinkToFit="1"/>
      <protection locked="0"/>
    </xf>
    <xf numFmtId="1" fontId="2" fillId="5" borderId="23" xfId="0" applyNumberFormat="1" applyFont="1" applyFill="1" applyBorder="1" applyAlignment="1" applyProtection="1">
      <alignment horizontal="center" shrinkToFit="1"/>
      <protection locked="0"/>
    </xf>
    <xf numFmtId="1" fontId="2" fillId="5" borderId="1" xfId="0" applyNumberFormat="1" applyFont="1" applyFill="1" applyBorder="1" applyAlignment="1" applyProtection="1">
      <alignment horizontal="center" shrinkToFit="1"/>
      <protection locked="0"/>
    </xf>
    <xf numFmtId="1" fontId="2" fillId="5" borderId="24" xfId="0" applyNumberFormat="1" applyFont="1" applyFill="1" applyBorder="1" applyAlignment="1" applyProtection="1">
      <alignment horizontal="center" shrinkToFit="1"/>
      <protection locked="0"/>
    </xf>
    <xf numFmtId="3" fontId="2" fillId="5" borderId="23" xfId="0" applyNumberFormat="1" applyFont="1" applyFill="1" applyBorder="1" applyAlignment="1" applyProtection="1">
      <alignment horizontal="center" shrinkToFit="1"/>
      <protection locked="0"/>
    </xf>
    <xf numFmtId="3" fontId="2" fillId="5" borderId="1" xfId="0" applyNumberFormat="1" applyFont="1" applyFill="1" applyBorder="1" applyAlignment="1" applyProtection="1">
      <alignment horizontal="center" shrinkToFit="1"/>
      <protection locked="0"/>
    </xf>
    <xf numFmtId="3" fontId="2" fillId="5" borderId="24" xfId="0" applyNumberFormat="1" applyFont="1" applyFill="1" applyBorder="1" applyAlignment="1" applyProtection="1">
      <alignment horizontal="center" shrinkToFit="1"/>
      <protection locked="0"/>
    </xf>
    <xf numFmtId="169" fontId="2" fillId="5" borderId="23" xfId="0" applyNumberFormat="1" applyFont="1" applyFill="1" applyBorder="1" applyAlignment="1" applyProtection="1">
      <alignment horizontal="center" shrinkToFit="1"/>
      <protection locked="0"/>
    </xf>
    <xf numFmtId="169" fontId="2" fillId="5" borderId="1" xfId="0" applyNumberFormat="1" applyFont="1" applyFill="1" applyBorder="1" applyAlignment="1" applyProtection="1">
      <alignment horizontal="center" shrinkToFit="1"/>
      <protection locked="0"/>
    </xf>
    <xf numFmtId="169" fontId="2" fillId="5" borderId="24" xfId="0" applyNumberFormat="1" applyFont="1" applyFill="1" applyBorder="1" applyAlignment="1" applyProtection="1">
      <alignment horizontal="center" shrinkToFit="1"/>
      <protection locked="0"/>
    </xf>
    <xf numFmtId="169" fontId="11" fillId="5" borderId="23" xfId="0" applyNumberFormat="1" applyFont="1" applyFill="1" applyBorder="1" applyAlignment="1" applyProtection="1">
      <alignment shrinkToFit="1"/>
      <protection locked="0"/>
    </xf>
    <xf numFmtId="169" fontId="11" fillId="0" borderId="1" xfId="0" applyNumberFormat="1" applyFont="1" applyFill="1" applyBorder="1" applyAlignment="1" applyProtection="1">
      <alignment shrinkToFit="1"/>
      <protection locked="0"/>
    </xf>
    <xf numFmtId="169" fontId="11" fillId="0" borderId="24" xfId="0" applyNumberFormat="1" applyFont="1" applyFill="1" applyBorder="1" applyAlignment="1" applyProtection="1">
      <alignment shrinkToFit="1"/>
      <protection locked="0"/>
    </xf>
    <xf numFmtId="49" fontId="11" fillId="5" borderId="23" xfId="0" applyNumberFormat="1" applyFont="1" applyFill="1" applyBorder="1" applyAlignment="1" applyProtection="1">
      <alignment shrinkToFit="1"/>
      <protection locked="0"/>
    </xf>
    <xf numFmtId="49" fontId="11" fillId="0" borderId="1" xfId="0" applyNumberFormat="1" applyFont="1" applyFill="1" applyBorder="1" applyAlignment="1" applyProtection="1">
      <alignment shrinkToFit="1"/>
      <protection locked="0"/>
    </xf>
    <xf numFmtId="49" fontId="11" fillId="0" borderId="24" xfId="0" applyNumberFormat="1" applyFont="1" applyFill="1" applyBorder="1" applyAlignment="1" applyProtection="1">
      <alignment shrinkToFit="1"/>
      <protection locked="0"/>
    </xf>
    <xf numFmtId="1" fontId="11" fillId="5" borderId="23" xfId="0" quotePrefix="1" applyNumberFormat="1" applyFont="1" applyFill="1" applyBorder="1" applyAlignment="1" applyProtection="1">
      <alignment shrinkToFit="1"/>
      <protection locked="0"/>
    </xf>
    <xf numFmtId="0" fontId="11" fillId="0" borderId="1" xfId="0" applyFont="1" applyFill="1" applyBorder="1" applyAlignment="1" applyProtection="1">
      <alignment shrinkToFit="1"/>
      <protection locked="0"/>
    </xf>
    <xf numFmtId="0" fontId="11" fillId="0" borderId="24" xfId="0" applyFont="1" applyFill="1" applyBorder="1" applyAlignment="1" applyProtection="1">
      <alignment shrinkToFit="1"/>
      <protection locked="0"/>
    </xf>
    <xf numFmtId="3" fontId="11" fillId="5" borderId="23" xfId="0" applyNumberFormat="1" applyFont="1" applyFill="1" applyBorder="1" applyAlignment="1" applyProtection="1">
      <alignment shrinkToFit="1"/>
      <protection locked="0"/>
    </xf>
    <xf numFmtId="3" fontId="11" fillId="0" borderId="1" xfId="0" applyNumberFormat="1" applyFont="1" applyFill="1" applyBorder="1" applyAlignment="1" applyProtection="1">
      <alignment shrinkToFit="1"/>
      <protection locked="0"/>
    </xf>
    <xf numFmtId="3" fontId="11" fillId="0" borderId="24" xfId="0" applyNumberFormat="1" applyFont="1" applyFill="1" applyBorder="1" applyAlignment="1" applyProtection="1">
      <alignment shrinkToFit="1"/>
      <protection locked="0"/>
    </xf>
    <xf numFmtId="0" fontId="11" fillId="0" borderId="0" xfId="0" applyFont="1" applyFill="1" applyBorder="1" applyAlignment="1"/>
    <xf numFmtId="49" fontId="11" fillId="5" borderId="1" xfId="0" applyNumberFormat="1" applyFont="1" applyFill="1" applyBorder="1" applyAlignment="1" applyProtection="1">
      <alignment shrinkToFit="1"/>
      <protection locked="0"/>
    </xf>
    <xf numFmtId="0" fontId="11" fillId="0" borderId="16" xfId="0" applyFont="1" applyFill="1" applyBorder="1" applyAlignment="1">
      <alignment wrapText="1"/>
    </xf>
    <xf numFmtId="49" fontId="11" fillId="6" borderId="23" xfId="0" applyNumberFormat="1" applyFont="1" applyFill="1" applyBorder="1" applyAlignment="1" applyProtection="1">
      <protection locked="0"/>
    </xf>
    <xf numFmtId="49" fontId="11" fillId="6" borderId="1" xfId="0" applyNumberFormat="1" applyFont="1" applyFill="1" applyBorder="1" applyAlignment="1" applyProtection="1">
      <protection locked="0"/>
    </xf>
    <xf numFmtId="49" fontId="11" fillId="6" borderId="24" xfId="0" applyNumberFormat="1" applyFont="1" applyFill="1" applyBorder="1" applyAlignment="1" applyProtection="1">
      <protection locked="0"/>
    </xf>
    <xf numFmtId="169" fontId="2" fillId="10" borderId="23" xfId="0" applyNumberFormat="1" applyFont="1" applyFill="1" applyBorder="1" applyAlignment="1" applyProtection="1">
      <alignment horizontal="center" shrinkToFit="1"/>
      <protection locked="0"/>
    </xf>
    <xf numFmtId="169" fontId="2" fillId="10" borderId="1" xfId="0" applyNumberFormat="1" applyFont="1" applyFill="1" applyBorder="1" applyAlignment="1" applyProtection="1">
      <alignment horizontal="center" shrinkToFit="1"/>
      <protection locked="0"/>
    </xf>
    <xf numFmtId="169" fontId="2" fillId="10" borderId="24" xfId="0" applyNumberFormat="1" applyFont="1" applyFill="1" applyBorder="1" applyAlignment="1" applyProtection="1">
      <alignment horizontal="center" shrinkToFit="1"/>
      <protection locked="0"/>
    </xf>
    <xf numFmtId="49" fontId="0" fillId="10" borderId="23" xfId="0" applyNumberFormat="1" applyFill="1" applyBorder="1" applyAlignment="1" applyProtection="1">
      <alignment horizontal="center" shrinkToFit="1"/>
      <protection locked="0"/>
    </xf>
    <xf numFmtId="49" fontId="0" fillId="10" borderId="1" xfId="0" applyNumberFormat="1" applyFill="1" applyBorder="1" applyAlignment="1" applyProtection="1">
      <alignment horizontal="center" shrinkToFit="1"/>
      <protection locked="0"/>
    </xf>
    <xf numFmtId="49" fontId="0" fillId="10" borderId="24" xfId="0" applyNumberFormat="1" applyFill="1" applyBorder="1" applyAlignment="1" applyProtection="1">
      <alignment horizontal="center" shrinkToFit="1"/>
      <protection locked="0"/>
    </xf>
    <xf numFmtId="1" fontId="0" fillId="10" borderId="23" xfId="0" quotePrefix="1" applyNumberFormat="1" applyFill="1" applyBorder="1" applyAlignment="1" applyProtection="1">
      <alignment horizontal="center" shrinkToFit="1"/>
      <protection locked="0"/>
    </xf>
    <xf numFmtId="1" fontId="0" fillId="10" borderId="1" xfId="0" quotePrefix="1" applyNumberFormat="1" applyFill="1" applyBorder="1" applyAlignment="1" applyProtection="1">
      <alignment horizontal="center" shrinkToFit="1"/>
      <protection locked="0"/>
    </xf>
    <xf numFmtId="1" fontId="0" fillId="10" borderId="24" xfId="0" quotePrefix="1" applyNumberFormat="1" applyFill="1" applyBorder="1" applyAlignment="1" applyProtection="1">
      <alignment horizontal="center" shrinkToFit="1"/>
      <protection locked="0"/>
    </xf>
    <xf numFmtId="3" fontId="0" fillId="10" borderId="23" xfId="0" applyNumberFormat="1" applyFill="1" applyBorder="1" applyAlignment="1" applyProtection="1">
      <alignment horizontal="center" shrinkToFit="1"/>
      <protection locked="0"/>
    </xf>
    <xf numFmtId="3" fontId="0" fillId="10" borderId="1" xfId="0" applyNumberFormat="1" applyFill="1" applyBorder="1" applyAlignment="1" applyProtection="1">
      <alignment horizontal="center" shrinkToFit="1"/>
      <protection locked="0"/>
    </xf>
    <xf numFmtId="3" fontId="0" fillId="10" borderId="24" xfId="0" applyNumberFormat="1" applyFill="1" applyBorder="1" applyAlignment="1" applyProtection="1">
      <alignment horizontal="center" shrinkToFit="1"/>
      <protection locked="0"/>
    </xf>
    <xf numFmtId="49" fontId="2" fillId="10" borderId="23" xfId="0" applyNumberFormat="1" applyFont="1" applyFill="1" applyBorder="1" applyAlignment="1" applyProtection="1">
      <alignment horizontal="center" shrinkToFit="1"/>
      <protection locked="0"/>
    </xf>
    <xf numFmtId="49" fontId="2" fillId="10" borderId="1" xfId="0" applyNumberFormat="1" applyFont="1" applyFill="1" applyBorder="1" applyAlignment="1" applyProtection="1">
      <alignment horizontal="center" shrinkToFit="1"/>
      <protection locked="0"/>
    </xf>
    <xf numFmtId="49" fontId="2" fillId="10" borderId="24" xfId="0" applyNumberFormat="1" applyFont="1" applyFill="1" applyBorder="1" applyAlignment="1" applyProtection="1">
      <alignment horizontal="center" shrinkToFit="1"/>
      <protection locked="0"/>
    </xf>
  </cellXfs>
  <cellStyles count="19">
    <cellStyle name="Comma" xfId="15" builtinId="3"/>
    <cellStyle name="Comma 2" xfId="1"/>
    <cellStyle name="Comma 3" xfId="2"/>
    <cellStyle name="Currency" xfId="16" builtinId="4"/>
    <cellStyle name="Currency 2" xfId="3"/>
    <cellStyle name="Currency 2 2" xfId="4"/>
    <cellStyle name="Hyperlink" xfId="13" builtinId="8"/>
    <cellStyle name="Normal" xfId="0" builtinId="0"/>
    <cellStyle name="Normal - Style1" xfId="5"/>
    <cellStyle name="Normal 2" xfId="6"/>
    <cellStyle name="Normal 3" xfId="7"/>
    <cellStyle name="Normal 3 2" xfId="8"/>
    <cellStyle name="Normal 4" xfId="9"/>
    <cellStyle name="Normal 6" xfId="18"/>
    <cellStyle name="Percent" xfId="17" builtinId="5"/>
    <cellStyle name="Percent 10" xfId="14"/>
    <cellStyle name="Percent 2" xfId="10"/>
    <cellStyle name="Percent 3" xfId="11"/>
    <cellStyle name="Percent 4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7.xml"/><Relationship Id="rId68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2.xml"/><Relationship Id="rId66" Type="http://schemas.openxmlformats.org/officeDocument/2006/relationships/externalLink" Target="externalLinks/externalLink10.xml"/><Relationship Id="rId7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8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3.xml"/><Relationship Id="rId67" Type="http://schemas.openxmlformats.org/officeDocument/2006/relationships/externalLink" Target="externalLinks/externalLink1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6.xml"/><Relationship Id="rId70" Type="http://schemas.openxmlformats.org/officeDocument/2006/relationships/styles" Target="styles.xml"/><Relationship Id="rId75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4.xml"/><Relationship Id="rId65" Type="http://schemas.openxmlformats.org/officeDocument/2006/relationships/externalLink" Target="externalLinks/externalLink9.xml"/><Relationship Id="rId73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FY13 Percent of CB expenditures with and without rate support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Percent of Total CB Expenditures</c:v>
                </c:pt>
              </c:strCache>
            </c:strRef>
          </c:tx>
          <c:spPr>
            <a:gradFill>
              <a:gsLst>
                <a:gs pos="100000">
                  <a:schemeClr val="accent1">
                    <a:alpha val="0"/>
                  </a:schemeClr>
                </a:gs>
                <a:gs pos="50000">
                  <a:schemeClr val="accent1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Charts!$A$2:$A$11</c:f>
              <c:strCache>
                <c:ptCount val="10"/>
                <c:pt idx="0">
                  <c:v>Charity Care</c:v>
                </c:pt>
                <c:pt idx="1">
                  <c:v>Health Professions Education</c:v>
                </c:pt>
                <c:pt idx="2">
                  <c:v>Mission Driven Health Services</c:v>
                </c:pt>
                <c:pt idx="3">
                  <c:v>Community Health Services</c:v>
                </c:pt>
                <c:pt idx="4">
                  <c:v>Unreimbursed Medicaid Cost</c:v>
                </c:pt>
                <c:pt idx="5">
                  <c:v>Financial Contributions</c:v>
                </c:pt>
                <c:pt idx="6">
                  <c:v>Community Building</c:v>
                </c:pt>
                <c:pt idx="7">
                  <c:v>Community Benefit Operations</c:v>
                </c:pt>
                <c:pt idx="8">
                  <c:v>Research</c:v>
                </c:pt>
                <c:pt idx="9">
                  <c:v>Foundation</c:v>
                </c:pt>
              </c:strCache>
            </c:strRef>
          </c:cat>
          <c:val>
            <c:numRef>
              <c:f>Charts!$B$2:$B$11</c:f>
              <c:numCache>
                <c:formatCode>0%</c:formatCode>
                <c:ptCount val="10"/>
                <c:pt idx="0">
                  <c:v>0.34396739023571621</c:v>
                </c:pt>
                <c:pt idx="1">
                  <c:v>0.27467138701618676</c:v>
                </c:pt>
                <c:pt idx="2">
                  <c:v>0.25183550213807576</c:v>
                </c:pt>
                <c:pt idx="3">
                  <c:v>5.5493641917948228E-2</c:v>
                </c:pt>
                <c:pt idx="4">
                  <c:v>3.7486749080872336E-2</c:v>
                </c:pt>
                <c:pt idx="5">
                  <c:v>1.33242898641829E-2</c:v>
                </c:pt>
                <c:pt idx="6">
                  <c:v>1.1221615490013307E-2</c:v>
                </c:pt>
                <c:pt idx="7">
                  <c:v>5.4341821869378307E-3</c:v>
                </c:pt>
                <c:pt idx="8">
                  <c:v>5.2824415644726497E-3</c:v>
                </c:pt>
                <c:pt idx="9">
                  <c:v>1.2828005055940544E-3</c:v>
                </c:pt>
              </c:numCache>
            </c:numRef>
          </c:val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Percent of Total CB Expenditures w/o Rate Support</c:v>
                </c:pt>
              </c:strCache>
            </c:strRef>
          </c:tx>
          <c:spPr>
            <a:gradFill>
              <a:gsLst>
                <a:gs pos="100000">
                  <a:schemeClr val="accent2">
                    <a:alpha val="0"/>
                  </a:schemeClr>
                </a:gs>
                <a:gs pos="50000">
                  <a:schemeClr val="accent2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Charts!$A$2:$A$11</c:f>
              <c:strCache>
                <c:ptCount val="10"/>
                <c:pt idx="0">
                  <c:v>Charity Care</c:v>
                </c:pt>
                <c:pt idx="1">
                  <c:v>Health Professions Education</c:v>
                </c:pt>
                <c:pt idx="2">
                  <c:v>Mission Driven Health Services</c:v>
                </c:pt>
                <c:pt idx="3">
                  <c:v>Community Health Services</c:v>
                </c:pt>
                <c:pt idx="4">
                  <c:v>Unreimbursed Medicaid Cost</c:v>
                </c:pt>
                <c:pt idx="5">
                  <c:v>Financial Contributions</c:v>
                </c:pt>
                <c:pt idx="6">
                  <c:v>Community Building</c:v>
                </c:pt>
                <c:pt idx="7">
                  <c:v>Community Benefit Operations</c:v>
                </c:pt>
                <c:pt idx="8">
                  <c:v>Research</c:v>
                </c:pt>
                <c:pt idx="9">
                  <c:v>Foundation</c:v>
                </c:pt>
              </c:strCache>
            </c:strRef>
          </c:cat>
          <c:val>
            <c:numRef>
              <c:f>Charts!$C$2:$C$11</c:f>
              <c:numCache>
                <c:formatCode>0%</c:formatCode>
                <c:ptCount val="10"/>
                <c:pt idx="0">
                  <c:v>7.7187619527959675E-2</c:v>
                </c:pt>
                <c:pt idx="1">
                  <c:v>0.11759287225314911</c:v>
                </c:pt>
                <c:pt idx="2">
                  <c:v>0.53173434289522514</c:v>
                </c:pt>
                <c:pt idx="3">
                  <c:v>0.11717122871708777</c:v>
                </c:pt>
                <c:pt idx="4">
                  <c:v>7.9150841404668285E-2</c:v>
                </c:pt>
                <c:pt idx="5">
                  <c:v>2.8133374585098278E-2</c:v>
                </c:pt>
                <c:pt idx="6">
                  <c:v>2.3693713905093405E-2</c:v>
                </c:pt>
                <c:pt idx="7">
                  <c:v>1.1473923532671952E-2</c:v>
                </c:pt>
                <c:pt idx="8">
                  <c:v>1.1153533041688686E-2</c:v>
                </c:pt>
                <c:pt idx="9">
                  <c:v>2.7085501373580439E-3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0"/>
        <c:shape val="box"/>
        <c:axId val="139251072"/>
        <c:axId val="139261056"/>
        <c:axId val="0"/>
      </c:bar3DChart>
      <c:catAx>
        <c:axId val="1392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261056"/>
        <c:crosses val="autoZero"/>
        <c:auto val="1"/>
        <c:lblAlgn val="ctr"/>
        <c:lblOffset val="100"/>
        <c:noMultiLvlLbl val="0"/>
      </c:catAx>
      <c:valAx>
        <c:axId val="13926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2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FY2008 - FY2013 Rate Support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/>
              <a:t>(in millions)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Charts!$B$31</c:f>
              <c:strCache>
                <c:ptCount val="1"/>
                <c:pt idx="0">
                  <c:v>Charity Care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Charts!$A$32:$A$37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Charts!$B$32:$B$37</c:f>
              <c:numCache>
                <c:formatCode>"$"#,##0_);[Red]\("$"#,##0\)</c:formatCode>
                <c:ptCount val="6"/>
                <c:pt idx="0">
                  <c:v>256.01314300000001</c:v>
                </c:pt>
                <c:pt idx="1">
                  <c:v>256.01314300000001</c:v>
                </c:pt>
                <c:pt idx="2">
                  <c:v>213.94957400000001</c:v>
                </c:pt>
                <c:pt idx="3">
                  <c:v>374.89863100000002</c:v>
                </c:pt>
                <c:pt idx="4">
                  <c:v>442.00888400000002</c:v>
                </c:pt>
                <c:pt idx="5">
                  <c:v>462.590418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Charts!$C$31</c:f>
              <c:strCache>
                <c:ptCount val="1"/>
                <c:pt idx="0">
                  <c:v>DME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Charts!$A$32:$A$37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Charts!$C$32:$C$37</c:f>
              <c:numCache>
                <c:formatCode>"$"#,##0_);[Red]\("$"#,##0\)</c:formatCode>
                <c:ptCount val="6"/>
                <c:pt idx="0">
                  <c:v>179.09372200000001</c:v>
                </c:pt>
                <c:pt idx="1">
                  <c:v>213.57390000000001</c:v>
                </c:pt>
                <c:pt idx="2">
                  <c:v>211.86369999999999</c:v>
                </c:pt>
                <c:pt idx="3">
                  <c:v>235.386426</c:v>
                </c:pt>
                <c:pt idx="4">
                  <c:v>272.34654399999999</c:v>
                </c:pt>
                <c:pt idx="5">
                  <c:v>316.213911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Charts!$D$31</c:f>
              <c:strCache>
                <c:ptCount val="1"/>
                <c:pt idx="0">
                  <c:v>NSP (1)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Charts!$A$32:$A$37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Charts!$D$32:$D$37</c:f>
              <c:numCache>
                <c:formatCode>"$"#,##0_);[Red]\("$"#,##0\)</c:formatCode>
                <c:ptCount val="6"/>
                <c:pt idx="0">
                  <c:v>10.019409</c:v>
                </c:pt>
                <c:pt idx="1">
                  <c:v>10.641292999999999</c:v>
                </c:pt>
                <c:pt idx="2">
                  <c:v>11.676030000000001</c:v>
                </c:pt>
                <c:pt idx="3">
                  <c:v>12.317156000000001</c:v>
                </c:pt>
                <c:pt idx="4">
                  <c:v>12.259686</c:v>
                </c:pt>
                <c:pt idx="5">
                  <c:v>13.303674000000001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418240"/>
        <c:axId val="139420032"/>
      </c:lineChart>
      <c:catAx>
        <c:axId val="13941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420032"/>
        <c:crosses val="autoZero"/>
        <c:auto val="1"/>
        <c:lblAlgn val="ctr"/>
        <c:lblOffset val="100"/>
        <c:noMultiLvlLbl val="0"/>
      </c:catAx>
      <c:valAx>
        <c:axId val="13942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41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FY2008-FY2013</a:t>
            </a:r>
            <a:r>
              <a:rPr lang="en-US" baseline="0"/>
              <a:t> CB Expense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aseline="0"/>
              <a:t>(in millions)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Charts!$D$52</c:f>
              <c:strCache>
                <c:ptCount val="1"/>
                <c:pt idx="0">
                  <c:v>CB Expense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Charts!$C$53:$C$58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Charts!$D$53:$D$58</c:f>
              <c:numCache>
                <c:formatCode>"$"#,##0_);[Red]\("$"#,##0\)</c:formatCode>
                <c:ptCount val="6"/>
                <c:pt idx="0">
                  <c:v>861.08739800000001</c:v>
                </c:pt>
                <c:pt idx="1">
                  <c:v>946.23816399999998</c:v>
                </c:pt>
                <c:pt idx="2">
                  <c:v>1051.0517500000001</c:v>
                </c:pt>
                <c:pt idx="3">
                  <c:v>1203.017693</c:v>
                </c:pt>
                <c:pt idx="4">
                  <c:v>1378.3019300000001</c:v>
                </c:pt>
                <c:pt idx="5">
                  <c:v>1503.717335</c:v>
                </c:pt>
              </c:numCache>
            </c:numRef>
          </c:val>
        </c:ser>
        <c:ser>
          <c:idx val="1"/>
          <c:order val="1"/>
          <c:tx>
            <c:strRef>
              <c:f>Charts!$E$52</c:f>
              <c:strCache>
                <c:ptCount val="1"/>
                <c:pt idx="0">
                  <c:v>CB Expense Less Rate Support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Charts!$C$53:$C$58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Charts!$E$53:$E$58</c:f>
              <c:numCache>
                <c:formatCode>"$"#,##0_);[Red]\("$"#,##0\)</c:formatCode>
                <c:ptCount val="6"/>
                <c:pt idx="0">
                  <c:v>415.96112399999998</c:v>
                </c:pt>
                <c:pt idx="1">
                  <c:v>466.00982799999997</c:v>
                </c:pt>
                <c:pt idx="2">
                  <c:v>613.56244600000014</c:v>
                </c:pt>
                <c:pt idx="3">
                  <c:v>580.41548</c:v>
                </c:pt>
                <c:pt idx="4">
                  <c:v>651.68681600000002</c:v>
                </c:pt>
                <c:pt idx="5">
                  <c:v>711.60933199999999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445376"/>
        <c:axId val="139446912"/>
      </c:barChart>
      <c:catAx>
        <c:axId val="1394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446912"/>
        <c:crosses val="autoZero"/>
        <c:auto val="1"/>
        <c:lblAlgn val="ctr"/>
        <c:lblOffset val="100"/>
        <c:noMultiLvlLbl val="0"/>
      </c:catAx>
      <c:valAx>
        <c:axId val="13944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44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FY2008-FY2013     </a:t>
            </a:r>
          </a:p>
          <a:p>
            <a:pPr algn="ctr" rtl="0">
              <a:def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 % of Operating Expense</a:t>
            </a:r>
          </a:p>
        </c:rich>
      </c:tx>
      <c:layout>
        <c:manualLayout>
          <c:xMode val="edge"/>
          <c:yMode val="edge"/>
          <c:x val="0.28395122484689411"/>
          <c:y val="3.240740740740740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Charts!$B$71</c:f>
              <c:strCache>
                <c:ptCount val="1"/>
                <c:pt idx="0">
                  <c:v>% of Operating Expense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Charts!$A$72:$A$77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Charts!$B$72:$B$77</c:f>
              <c:numCache>
                <c:formatCode>0.0%</c:formatCode>
                <c:ptCount val="6"/>
                <c:pt idx="0">
                  <c:v>7.2237367461567545E-2</c:v>
                </c:pt>
                <c:pt idx="1">
                  <c:v>7.6047485517995533E-2</c:v>
                </c:pt>
                <c:pt idx="2">
                  <c:v>8.3101643371110215E-2</c:v>
                </c:pt>
                <c:pt idx="3">
                  <c:v>9.0909090909090912E-2</c:v>
                </c:pt>
                <c:pt idx="4">
                  <c:v>0.10185384600209137</c:v>
                </c:pt>
                <c:pt idx="5">
                  <c:v>0.11048835823917169</c:v>
                </c:pt>
              </c:numCache>
            </c:numRef>
          </c:val>
        </c:ser>
        <c:ser>
          <c:idx val="1"/>
          <c:order val="1"/>
          <c:tx>
            <c:strRef>
              <c:f>Charts!$C$71</c:f>
              <c:strCache>
                <c:ptCount val="1"/>
                <c:pt idx="0">
                  <c:v>% of Operating Expense less rate support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Charts!$A$72:$A$77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Charts!$C$72:$C$77</c:f>
              <c:numCache>
                <c:formatCode>0.0%</c:formatCode>
                <c:ptCount val="6"/>
                <c:pt idx="0">
                  <c:v>3.4895338886511799E-2</c:v>
                </c:pt>
                <c:pt idx="1">
                  <c:v>3.7452384605017458E-2</c:v>
                </c:pt>
                <c:pt idx="2">
                  <c:v>4.8511453002573923E-2</c:v>
                </c:pt>
                <c:pt idx="3">
                  <c:v>4.386057158044112E-2</c:v>
                </c:pt>
                <c:pt idx="4">
                  <c:v>4.8158394872491579E-2</c:v>
                </c:pt>
                <c:pt idx="5">
                  <c:v>5.2286786199983303E-2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396096"/>
        <c:axId val="145397632"/>
      </c:barChart>
      <c:catAx>
        <c:axId val="1453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97632"/>
        <c:crosses val="autoZero"/>
        <c:auto val="1"/>
        <c:lblAlgn val="ctr"/>
        <c:lblOffset val="100"/>
        <c:noMultiLvlLbl val="0"/>
      </c:catAx>
      <c:valAx>
        <c:axId val="14539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5400000" scaled="0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247651</xdr:colOff>
      <xdr:row>1</xdr:row>
      <xdr:rowOff>171450</xdr:rowOff>
    </xdr:from>
    <xdr:to>
      <xdr:col>19</xdr:col>
      <xdr:colOff>76200</xdr:colOff>
      <xdr:row>27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190500</xdr:colOff>
      <xdr:row>29</xdr:row>
      <xdr:rowOff>128587</xdr:rowOff>
    </xdr:from>
    <xdr:to>
      <xdr:col>13</xdr:col>
      <xdr:colOff>495300</xdr:colOff>
      <xdr:row>44</xdr:row>
      <xdr:rowOff>14287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490536</xdr:colOff>
      <xdr:row>48</xdr:row>
      <xdr:rowOff>114300</xdr:rowOff>
    </xdr:from>
    <xdr:to>
      <xdr:col>14</xdr:col>
      <xdr:colOff>190499</xdr:colOff>
      <xdr:row>61</xdr:row>
      <xdr:rowOff>33336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481012</xdr:colOff>
      <xdr:row>62</xdr:row>
      <xdr:rowOff>157162</xdr:rowOff>
    </xdr:from>
    <xdr:to>
      <xdr:col>14</xdr:col>
      <xdr:colOff>176212</xdr:colOff>
      <xdr:row>75</xdr:row>
      <xdr:rowOff>42862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waugustin\Local%20Settings\Temp\DOCUME~1\GHEMIN~1\LOCALS~1\Temp\UMMS_BudBk_FY06_draft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unity%20Benefit\Community%20Benefit%20SFY%202013\Direct%20Costs%20201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reene\AppData\Local\Microsoft\Windows\Temporary%20Internet%20Files\Content.Outlook\SF2NTA9D\4%20SH%20FY%202013%20Comparison%20and%20Inventory%20Report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unity%20Benefits\2013%20CBR\Chester%20River\Final%20Drafts\CRH%20Inventory%202013%20Draft%20Final%20FY13%201126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MAS\MASTER\FY03\Control%20Structure\Control%20Structure%20FY03%20060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9%20HSCRC\Annual%20Report%202009\Submission%202009\0010%20DGH%20AF_2009%20Submission%201103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ANU_FILE\FY%202008\JLK\JLK%20-%20AF_2008%20(Volume%20Adjustment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reene\AppData\Local\Microsoft\Windows\Temporary%20Internet%20Files\Content.Outlook\SF2NTA9D\refy2013al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spallitta.HSCRC\Documents\Copy%20of%20Community%20Benefits%20Report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anda\CommunityBenefitsReports\fy11%20Reports\FY11CB_tota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unity%20Benefits\2013%20CBR\inventory\Copy%20of%20SHS%20MHE%20DGH%20Inventory%202013%20FF%20FY13%20Final%20Draft%201126201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unity%20Benefit\Community%20Benefit%20SFY%202013\WAH%20CB%20List%202013%20(sort%20by%20category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6 BUD IS"/>
      <sheetName val="p7 CONS IS"/>
      <sheetName val="p8 CONS BS"/>
      <sheetName val="p9 NARF"/>
      <sheetName val="p10 CF"/>
      <sheetName val="p11 EBIDA"/>
      <sheetName val="p12 RATIOS"/>
      <sheetName val="p13 SRCS"/>
      <sheetName val="p14 USES"/>
      <sheetName val="p26 UMSH IS"/>
      <sheetName val="p27 JLK IS"/>
      <sheetName val="p28 MGHS IS"/>
      <sheetName val="p29 NAHS IS"/>
      <sheetName val="is fy01"/>
      <sheetName val="is fy02"/>
      <sheetName val="is fy03"/>
      <sheetName val="is fy04"/>
      <sheetName val="proj bs"/>
      <sheetName val="bud bs"/>
      <sheetName val="proj is"/>
      <sheetName val="bud is"/>
      <sheetName val="GAAP JE"/>
      <sheetName val="ELIMS"/>
      <sheetName val="Ummcsh"/>
      <sheetName val="UMMCSH ratios for hank"/>
      <sheetName val="UCare"/>
      <sheetName val="Kernan"/>
      <sheetName val="Kern End"/>
      <sheetName val="MGHS"/>
      <sheetName val="NAHS"/>
      <sheetName val="Fdtn"/>
      <sheetName val="Shiple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_101_RUN121613"/>
      <sheetName val="P&amp;L_101"/>
      <sheetName val="P&amp;L_121 "/>
      <sheetName val="P&amp;L_401"/>
      <sheetName val="P&amp;L_102_RUN121613"/>
      <sheetName val="P&amp;L_102"/>
      <sheetName val="P&amp;L_402"/>
      <sheetName val="F70_9403_GovtRel"/>
      <sheetName val="A_9407_Grants"/>
      <sheetName val="9408_Research"/>
      <sheetName val="A_9835 _PastoralCare"/>
      <sheetName val="A Community Health Services_13"/>
      <sheetName val="A_001-9308_CtrHlthDisp"/>
      <sheetName val="A_1015050_SGMatCtr"/>
      <sheetName val="A_101-9470_CasMgt"/>
      <sheetName val="C_P&amp;L_102-3240PAs "/>
      <sheetName val="F_P&amp;L_002_9375ACES"/>
      <sheetName val="B_1022007GRDEXT"/>
      <sheetName val="B_101_4450RADSCH"/>
      <sheetName val="C_101-3017 "/>
      <sheetName val="C_101_OB_CALL_COVERAGE"/>
      <sheetName val="C_101_PSYCH_ASMTS"/>
      <sheetName val="C_P&amp;L_101-3240PAs "/>
      <sheetName val="B_1024450RADSCH "/>
      <sheetName val="D_1014225 "/>
      <sheetName val="D_1024225"/>
      <sheetName val="D_0029408B"/>
      <sheetName val="Dynamis"/>
      <sheetName val="G_Avalere"/>
      <sheetName val="WAH_2009-0020"/>
      <sheetName val="WAH_2009-0044"/>
      <sheetName val="A_DECO"/>
      <sheetName val="GenesisChaplain13"/>
      <sheetName val="A_102-9470_CaseMgt_13"/>
      <sheetName val="B_101-9450ML"/>
      <sheetName val="B_102-9450ML "/>
      <sheetName val="A_PtTransport"/>
      <sheetName val="A Community Health Services"/>
      <sheetName val="G_Assigned Staff"/>
      <sheetName val="G_LYONSOFTWARE"/>
      <sheetName val="NP Hrs"/>
      <sheetName val="InKind"/>
      <sheetName val="IRB"/>
      <sheetName val="CampusReuse WAH Only"/>
      <sheetName val="FitnessCtr WAH Only"/>
      <sheetName val="AP_Vdrs"/>
      <sheetName val="Disaster"/>
      <sheetName val="Donations"/>
      <sheetName val="A Community Health Services_old"/>
      <sheetName val="Grad Intern"/>
      <sheetName val="Various B_C_D"/>
      <sheetName val="Various B_C_D SG and SC only"/>
      <sheetName val="Sch A Comparison 2009-2010"/>
      <sheetName val="Encounters"/>
      <sheetName val="OB Call Coverage 9000"/>
      <sheetName val="OB Call Coverage"/>
      <sheetName val="Sheet3"/>
      <sheetName val="B_MedEd"/>
      <sheetName val="001+002+107 TB"/>
      <sheetName val="Sheet1"/>
      <sheetName val="FY TB 2010"/>
      <sheetName val="sql"/>
      <sheetName val="DEL_Various B_C_D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K47">
            <v>204582963.06600001</v>
          </cell>
        </row>
        <row r="67">
          <cell r="K67">
            <v>4979097.6300000008</v>
          </cell>
        </row>
        <row r="326">
          <cell r="K326">
            <v>220596102.37799999</v>
          </cell>
        </row>
        <row r="344">
          <cell r="K344">
            <v>-997359.4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rect Cost Ratio"/>
      <sheetName val="Detailed Analysis"/>
      <sheetName val="12 vs 13 Analysis"/>
      <sheetName val="Inventory Sheet"/>
    </sheetNames>
    <sheetDataSet>
      <sheetData sheetId="0" refreshError="1">
        <row r="23">
          <cell r="C23">
            <v>0.61670337802028063</v>
          </cell>
          <cell r="E23">
            <v>0.20779826639304638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H Com Ben Rpt 2013"/>
      <sheetName val="CRH CBR FY2013"/>
      <sheetName val="CRH"/>
      <sheetName val="UMMS FSS FIN DATA 2013"/>
      <sheetName val="SHS MHE DGH 2012"/>
    </sheetNames>
    <sheetDataSet>
      <sheetData sheetId="0">
        <row r="27">
          <cell r="E27">
            <v>463</v>
          </cell>
          <cell r="F27">
            <v>3699</v>
          </cell>
          <cell r="G27">
            <v>18892.868709737631</v>
          </cell>
          <cell r="H27">
            <v>15865.023243299096</v>
          </cell>
          <cell r="I27">
            <v>0</v>
          </cell>
        </row>
        <row r="32">
          <cell r="E32">
            <v>187</v>
          </cell>
          <cell r="F32">
            <v>603</v>
          </cell>
          <cell r="G32">
            <v>8630.5970814707052</v>
          </cell>
          <cell r="H32">
            <v>7247.4236392967332</v>
          </cell>
          <cell r="I32">
            <v>0</v>
          </cell>
        </row>
        <row r="33">
          <cell r="G33">
            <v>0</v>
          </cell>
        </row>
        <row r="37">
          <cell r="E37">
            <v>8</v>
          </cell>
          <cell r="F37">
            <v>50</v>
          </cell>
          <cell r="G37">
            <v>326.44265589179486</v>
          </cell>
          <cell r="H37">
            <v>274.12567159048109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5">
          <cell r="E45">
            <v>0</v>
          </cell>
          <cell r="F45">
            <v>0</v>
          </cell>
          <cell r="G45">
            <v>25000</v>
          </cell>
          <cell r="H45">
            <v>20993.401646730938</v>
          </cell>
          <cell r="I45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50">
          <cell r="E50">
            <v>98.8</v>
          </cell>
          <cell r="F50">
            <v>183</v>
          </cell>
          <cell r="G50">
            <v>38581.566800263667</v>
          </cell>
          <cell r="I50">
            <v>0</v>
          </cell>
        </row>
        <row r="51">
          <cell r="E51">
            <v>129</v>
          </cell>
          <cell r="F51">
            <v>9</v>
          </cell>
          <cell r="G51">
            <v>5363.8878262551925</v>
          </cell>
          <cell r="H51">
            <v>4504.2500609834315</v>
          </cell>
        </row>
        <row r="57">
          <cell r="E57">
            <v>0</v>
          </cell>
          <cell r="F57">
            <v>0</v>
          </cell>
          <cell r="G57">
            <v>23400</v>
          </cell>
          <cell r="H57">
            <v>19649.823941340157</v>
          </cell>
          <cell r="I57">
            <v>0</v>
          </cell>
        </row>
        <row r="62">
          <cell r="E62">
            <v>42</v>
          </cell>
          <cell r="F62">
            <v>0</v>
          </cell>
          <cell r="G62">
            <v>1713.823943431923</v>
          </cell>
          <cell r="H62">
            <v>1439.1597758500257</v>
          </cell>
          <cell r="I62">
            <v>0</v>
          </cell>
        </row>
        <row r="64">
          <cell r="E64">
            <v>472</v>
          </cell>
          <cell r="F64">
            <v>0</v>
          </cell>
          <cell r="G64">
            <v>19260.1166976159</v>
          </cell>
          <cell r="H64">
            <v>16173.414623838387</v>
          </cell>
          <cell r="I64">
            <v>0</v>
          </cell>
        </row>
        <row r="71">
          <cell r="E71">
            <v>104</v>
          </cell>
          <cell r="F71">
            <v>0</v>
          </cell>
          <cell r="G71">
            <v>4243.754526593334</v>
          </cell>
          <cell r="H71">
            <v>3563.6337306762548</v>
          </cell>
          <cell r="I71">
            <v>0</v>
          </cell>
        </row>
        <row r="74">
          <cell r="E74">
            <v>163.5</v>
          </cell>
          <cell r="F74">
            <v>0</v>
          </cell>
          <cell r="G74">
            <v>6671.6717797885585</v>
          </cell>
          <cell r="H74">
            <v>5602.4434131304579</v>
          </cell>
          <cell r="I74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E79">
            <v>260</v>
          </cell>
          <cell r="G79">
            <v>10609.386316483335</v>
          </cell>
          <cell r="H79">
            <v>8909.0843266906377</v>
          </cell>
        </row>
        <row r="87">
          <cell r="E87">
            <v>240</v>
          </cell>
          <cell r="F87">
            <v>0</v>
          </cell>
          <cell r="G87">
            <v>9793.2796767538475</v>
          </cell>
          <cell r="H87">
            <v>8223.7701477144346</v>
          </cell>
          <cell r="I87">
            <v>0</v>
          </cell>
        </row>
      </sheetData>
      <sheetData sheetId="1"/>
      <sheetData sheetId="2">
        <row r="28">
          <cell r="F28">
            <v>0</v>
          </cell>
          <cell r="H28">
            <v>0</v>
          </cell>
        </row>
        <row r="29">
          <cell r="H29">
            <v>0</v>
          </cell>
        </row>
        <row r="32">
          <cell r="E32">
            <v>0</v>
          </cell>
        </row>
        <row r="90">
          <cell r="L90">
            <v>864462</v>
          </cell>
          <cell r="N90">
            <v>1428.8628099173554</v>
          </cell>
        </row>
        <row r="91">
          <cell r="N91">
            <v>1071.6471074380165</v>
          </cell>
        </row>
        <row r="93">
          <cell r="K93">
            <v>0</v>
          </cell>
        </row>
        <row r="94">
          <cell r="K94">
            <v>2767088.26</v>
          </cell>
        </row>
        <row r="95">
          <cell r="N95">
            <v>15260</v>
          </cell>
        </row>
        <row r="96">
          <cell r="N96">
            <v>10950</v>
          </cell>
        </row>
        <row r="97">
          <cell r="N97">
            <v>0</v>
          </cell>
        </row>
        <row r="98">
          <cell r="N98">
            <v>0</v>
          </cell>
        </row>
        <row r="100">
          <cell r="I100">
            <v>2317943.2400000002</v>
          </cell>
        </row>
        <row r="105">
          <cell r="I105">
            <v>749070.60000000009</v>
          </cell>
        </row>
        <row r="107">
          <cell r="I107">
            <v>380920.26</v>
          </cell>
        </row>
        <row r="108">
          <cell r="I108">
            <v>198154.31</v>
          </cell>
        </row>
        <row r="114">
          <cell r="I114">
            <v>95664.91</v>
          </cell>
        </row>
        <row r="119">
          <cell r="K119">
            <v>63</v>
          </cell>
        </row>
        <row r="120">
          <cell r="K120">
            <v>20402.66599323718</v>
          </cell>
        </row>
        <row r="121">
          <cell r="K121">
            <v>500</v>
          </cell>
        </row>
        <row r="125">
          <cell r="K125">
            <v>17132.854474405071</v>
          </cell>
        </row>
        <row r="279">
          <cell r="D279">
            <v>1438947</v>
          </cell>
          <cell r="E279">
            <v>1682732</v>
          </cell>
        </row>
      </sheetData>
      <sheetData sheetId="3">
        <row r="8">
          <cell r="Q8">
            <v>51376000</v>
          </cell>
        </row>
        <row r="9">
          <cell r="Q9">
            <v>304000</v>
          </cell>
        </row>
        <row r="12">
          <cell r="Q12">
            <v>51866000</v>
          </cell>
        </row>
        <row r="16">
          <cell r="Q16">
            <v>1252000</v>
          </cell>
          <cell r="AZ16">
            <v>0.83973606586923755</v>
          </cell>
        </row>
        <row r="27">
          <cell r="Q27">
            <v>4169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UMH"/>
      <sheetName val="CC"/>
      <sheetName val="STC"/>
      <sheetName val="CORP"/>
    </sheetNames>
    <sheetDataSet>
      <sheetData sheetId="0" refreshError="1"/>
      <sheetData sheetId="1">
        <row r="976">
          <cell r="A976" t="str">
            <v>0167532</v>
          </cell>
          <cell r="B976" t="str">
            <v xml:space="preserve">  Transitional Rehab Center</v>
          </cell>
          <cell r="C976">
            <v>123</v>
          </cell>
          <cell r="E976" t="str">
            <v>D</v>
          </cell>
          <cell r="F976" t="str">
            <v xml:space="preserve"> </v>
          </cell>
          <cell r="G976" t="str">
            <v xml:space="preserve"> </v>
          </cell>
          <cell r="H976" t="str">
            <v>1INAC</v>
          </cell>
          <cell r="I976" t="str">
            <v>Zhang, Lingwei</v>
          </cell>
          <cell r="J976" t="str">
            <v>Walt Augustin</v>
          </cell>
          <cell r="L976" t="str">
            <v/>
          </cell>
          <cell r="M976" t="str">
            <v/>
          </cell>
          <cell r="N976" t="str">
            <v/>
          </cell>
          <cell r="O976" t="str">
            <v/>
          </cell>
          <cell r="P976" t="str">
            <v/>
          </cell>
          <cell r="Q976" t="str">
            <v/>
          </cell>
          <cell r="R976" t="str">
            <v>Augustin, W</v>
          </cell>
          <cell r="S976" t="str">
            <v/>
          </cell>
          <cell r="T976" t="str">
            <v>Franey, Hank</v>
          </cell>
          <cell r="U976" t="str">
            <v>Schimpff, Stephen</v>
          </cell>
          <cell r="V976" t="str">
            <v>Ashworth, John</v>
          </cell>
          <cell r="W976" t="str">
            <v>Inactive</v>
          </cell>
        </row>
        <row r="977">
          <cell r="A977" t="str">
            <v>0168212</v>
          </cell>
          <cell r="B977" t="str">
            <v xml:space="preserve">  Joslin at Shipleys</v>
          </cell>
          <cell r="C977">
            <v>128</v>
          </cell>
          <cell r="E977" t="str">
            <v>D</v>
          </cell>
          <cell r="F977" t="str">
            <v xml:space="preserve"> </v>
          </cell>
          <cell r="G977" t="str">
            <v xml:space="preserve"> </v>
          </cell>
          <cell r="H977" t="str">
            <v>1INAC</v>
          </cell>
          <cell r="I977" t="str">
            <v>Zhang, Lingwei</v>
          </cell>
          <cell r="J977" t="str">
            <v>Walt Augustin</v>
          </cell>
          <cell r="L977" t="str">
            <v/>
          </cell>
          <cell r="M977" t="str">
            <v/>
          </cell>
          <cell r="N977" t="str">
            <v/>
          </cell>
          <cell r="O977" t="str">
            <v/>
          </cell>
          <cell r="P977" t="str">
            <v/>
          </cell>
          <cell r="Q977" t="str">
            <v/>
          </cell>
          <cell r="R977" t="str">
            <v>Augustin, W</v>
          </cell>
          <cell r="S977" t="str">
            <v/>
          </cell>
          <cell r="T977" t="str">
            <v>Franey, Hank</v>
          </cell>
          <cell r="U977" t="str">
            <v>Schimpff, Stephen</v>
          </cell>
          <cell r="V977" t="str">
            <v>Ashworth, John</v>
          </cell>
          <cell r="W977" t="str">
            <v>Inactive</v>
          </cell>
        </row>
        <row r="978">
          <cell r="A978" t="str">
            <v>0176027</v>
          </cell>
          <cell r="B978" t="str">
            <v xml:space="preserve">  SRGN Acute 10 South</v>
          </cell>
          <cell r="C978">
            <v>146</v>
          </cell>
          <cell r="E978" t="str">
            <v>D</v>
          </cell>
          <cell r="F978" t="str">
            <v xml:space="preserve"> </v>
          </cell>
          <cell r="G978" t="str">
            <v xml:space="preserve"> </v>
          </cell>
          <cell r="H978" t="str">
            <v>1INAC</v>
          </cell>
          <cell r="I978" t="str">
            <v>Zhang, Lingwei</v>
          </cell>
          <cell r="J978" t="str">
            <v>Walt Augustin</v>
          </cell>
          <cell r="L978" t="str">
            <v/>
          </cell>
          <cell r="M978" t="str">
            <v/>
          </cell>
          <cell r="N978" t="str">
            <v/>
          </cell>
          <cell r="O978" t="str">
            <v/>
          </cell>
          <cell r="P978" t="str">
            <v/>
          </cell>
          <cell r="Q978" t="str">
            <v/>
          </cell>
          <cell r="R978" t="str">
            <v>Augustin, W</v>
          </cell>
          <cell r="S978" t="str">
            <v/>
          </cell>
          <cell r="T978" t="str">
            <v>Franey, Hank</v>
          </cell>
          <cell r="U978" t="str">
            <v>Schimpff, Stephen</v>
          </cell>
          <cell r="V978" t="str">
            <v>Ashworth, John</v>
          </cell>
          <cell r="W978" t="str">
            <v>Inactive</v>
          </cell>
        </row>
        <row r="979">
          <cell r="A979" t="str">
            <v>0176053</v>
          </cell>
          <cell r="B979" t="str">
            <v xml:space="preserve">  SRGN SICU/SD GUD 4W</v>
          </cell>
          <cell r="C979">
            <v>147</v>
          </cell>
          <cell r="E979" t="str">
            <v>D</v>
          </cell>
          <cell r="F979" t="str">
            <v xml:space="preserve"> </v>
          </cell>
          <cell r="G979" t="str">
            <v xml:space="preserve"> </v>
          </cell>
          <cell r="H979" t="str">
            <v>1INAC</v>
          </cell>
          <cell r="I979" t="str">
            <v>Zhang, Lingwei</v>
          </cell>
          <cell r="J979" t="str">
            <v>Walt Augustin</v>
          </cell>
          <cell r="L979" t="str">
            <v/>
          </cell>
          <cell r="M979" t="str">
            <v/>
          </cell>
          <cell r="N979" t="str">
            <v/>
          </cell>
          <cell r="O979" t="str">
            <v/>
          </cell>
          <cell r="P979" t="str">
            <v/>
          </cell>
          <cell r="Q979" t="str">
            <v/>
          </cell>
          <cell r="R979" t="str">
            <v>Augustin, W</v>
          </cell>
          <cell r="S979" t="str">
            <v/>
          </cell>
          <cell r="T979" t="str">
            <v>Franey, Hank</v>
          </cell>
          <cell r="U979" t="str">
            <v>Schimpff, Stephen</v>
          </cell>
          <cell r="V979" t="str">
            <v>Ashworth, John</v>
          </cell>
          <cell r="W979" t="str">
            <v>Inactive</v>
          </cell>
        </row>
        <row r="980">
          <cell r="A980" t="str">
            <v>0176105</v>
          </cell>
          <cell r="B980" t="str">
            <v xml:space="preserve">  Peds GI Clinic</v>
          </cell>
          <cell r="C980">
            <v>149</v>
          </cell>
          <cell r="E980" t="str">
            <v>D</v>
          </cell>
          <cell r="F980" t="str">
            <v xml:space="preserve"> </v>
          </cell>
          <cell r="G980" t="str">
            <v xml:space="preserve"> </v>
          </cell>
          <cell r="H980" t="str">
            <v>1INAC</v>
          </cell>
          <cell r="I980" t="str">
            <v>Zhang, Lingwei</v>
          </cell>
          <cell r="J980" t="str">
            <v>Walt Augustin</v>
          </cell>
          <cell r="L980" t="str">
            <v/>
          </cell>
          <cell r="M980" t="str">
            <v/>
          </cell>
          <cell r="N980" t="str">
            <v/>
          </cell>
          <cell r="O980" t="str">
            <v/>
          </cell>
          <cell r="P980" t="str">
            <v>Hernandez, Alexis</v>
          </cell>
          <cell r="Q980" t="str">
            <v/>
          </cell>
          <cell r="R980" t="str">
            <v>Augustin, W</v>
          </cell>
          <cell r="S980" t="str">
            <v/>
          </cell>
          <cell r="T980" t="str">
            <v>Franey, Hank</v>
          </cell>
          <cell r="U980" t="str">
            <v>Schimpff, Stephen</v>
          </cell>
          <cell r="V980" t="str">
            <v>Ashworth, John</v>
          </cell>
          <cell r="W980" t="str">
            <v>Inactive</v>
          </cell>
        </row>
        <row r="981">
          <cell r="A981" t="str">
            <v>0176270</v>
          </cell>
          <cell r="B981" t="str">
            <v xml:space="preserve">  SRGN Step Down</v>
          </cell>
          <cell r="C981">
            <v>169</v>
          </cell>
          <cell r="E981" t="str">
            <v>D</v>
          </cell>
          <cell r="F981" t="str">
            <v xml:space="preserve"> </v>
          </cell>
          <cell r="G981" t="str">
            <v xml:space="preserve"> </v>
          </cell>
          <cell r="H981" t="str">
            <v>1INAC</v>
          </cell>
          <cell r="I981" t="str">
            <v>Zhang, Lingwei</v>
          </cell>
          <cell r="J981" t="str">
            <v>Walt Augustin</v>
          </cell>
          <cell r="L981" t="str">
            <v/>
          </cell>
          <cell r="M981" t="str">
            <v/>
          </cell>
          <cell r="N981" t="str">
            <v/>
          </cell>
          <cell r="O981" t="str">
            <v/>
          </cell>
          <cell r="P981" t="str">
            <v/>
          </cell>
          <cell r="Q981" t="str">
            <v/>
          </cell>
          <cell r="R981" t="str">
            <v>Augustin, W</v>
          </cell>
          <cell r="S981" t="str">
            <v/>
          </cell>
          <cell r="T981" t="str">
            <v>Franey, Hank</v>
          </cell>
          <cell r="U981" t="str">
            <v>Schimpff, Stephen</v>
          </cell>
          <cell r="V981" t="str">
            <v>Ashworth, John</v>
          </cell>
          <cell r="W981" t="str">
            <v>Inactive</v>
          </cell>
        </row>
        <row r="982">
          <cell r="A982" t="str">
            <v>0176357</v>
          </cell>
          <cell r="B982" t="str">
            <v xml:space="preserve">  PEDN PICU Step Down</v>
          </cell>
          <cell r="C982">
            <v>171</v>
          </cell>
          <cell r="E982" t="str">
            <v>D</v>
          </cell>
          <cell r="F982" t="str">
            <v xml:space="preserve"> </v>
          </cell>
          <cell r="G982" t="str">
            <v xml:space="preserve"> </v>
          </cell>
          <cell r="H982" t="str">
            <v>1INAC</v>
          </cell>
          <cell r="I982" t="str">
            <v>Zhang, Lingwei</v>
          </cell>
          <cell r="J982" t="str">
            <v>Walt Augustin</v>
          </cell>
          <cell r="L982" t="str">
            <v/>
          </cell>
          <cell r="M982" t="str">
            <v/>
          </cell>
          <cell r="N982" t="str">
            <v/>
          </cell>
          <cell r="O982" t="str">
            <v/>
          </cell>
          <cell r="P982" t="str">
            <v/>
          </cell>
          <cell r="Q982" t="str">
            <v/>
          </cell>
          <cell r="R982" t="str">
            <v>Augustin, W</v>
          </cell>
          <cell r="S982" t="str">
            <v/>
          </cell>
          <cell r="T982" t="str">
            <v>Franey, Hank</v>
          </cell>
          <cell r="U982" t="str">
            <v>Schimpff, Stephen</v>
          </cell>
          <cell r="V982" t="str">
            <v>Ashworth, John</v>
          </cell>
          <cell r="W982" t="str">
            <v>Inactive</v>
          </cell>
        </row>
        <row r="983">
          <cell r="A983" t="str">
            <v>0176513</v>
          </cell>
          <cell r="B983" t="str">
            <v xml:space="preserve">  PEDN Transport</v>
          </cell>
          <cell r="C983">
            <v>173</v>
          </cell>
          <cell r="E983" t="str">
            <v>D</v>
          </cell>
          <cell r="F983" t="str">
            <v xml:space="preserve"> </v>
          </cell>
          <cell r="G983" t="str">
            <v xml:space="preserve"> </v>
          </cell>
          <cell r="H983" t="str">
            <v>1INAC</v>
          </cell>
          <cell r="I983" t="str">
            <v>Zhang, Lingwei</v>
          </cell>
          <cell r="J983" t="str">
            <v>Walt Augustin</v>
          </cell>
          <cell r="L983" t="str">
            <v/>
          </cell>
          <cell r="M983" t="str">
            <v/>
          </cell>
          <cell r="N983" t="str">
            <v/>
          </cell>
          <cell r="O983" t="str">
            <v/>
          </cell>
          <cell r="P983" t="str">
            <v/>
          </cell>
          <cell r="Q983" t="str">
            <v/>
          </cell>
          <cell r="R983" t="str">
            <v>Augustin, W</v>
          </cell>
          <cell r="S983" t="str">
            <v/>
          </cell>
          <cell r="T983" t="str">
            <v>Franey, Hank</v>
          </cell>
          <cell r="U983" t="str">
            <v>Schimpff, Stephen</v>
          </cell>
          <cell r="V983" t="str">
            <v>Ashworth, John</v>
          </cell>
          <cell r="W983" t="str">
            <v>Inactive</v>
          </cell>
        </row>
        <row r="984">
          <cell r="A984" t="str">
            <v>0177241</v>
          </cell>
          <cell r="B984" t="str">
            <v xml:space="preserve">  LABA Neuropathology</v>
          </cell>
          <cell r="C984">
            <v>227</v>
          </cell>
          <cell r="E984" t="str">
            <v>D</v>
          </cell>
          <cell r="F984" t="str">
            <v xml:space="preserve"> </v>
          </cell>
          <cell r="G984" t="str">
            <v xml:space="preserve"> </v>
          </cell>
          <cell r="H984" t="str">
            <v>1INAC</v>
          </cell>
          <cell r="I984" t="str">
            <v>Zhang, Lingwei</v>
          </cell>
          <cell r="J984" t="str">
            <v>Walt Augustin</v>
          </cell>
          <cell r="L984" t="str">
            <v/>
          </cell>
          <cell r="M984" t="str">
            <v/>
          </cell>
          <cell r="N984" t="str">
            <v/>
          </cell>
          <cell r="O984" t="str">
            <v/>
          </cell>
          <cell r="P984" t="str">
            <v/>
          </cell>
          <cell r="Q984" t="str">
            <v/>
          </cell>
          <cell r="R984" t="str">
            <v>Augustin, W</v>
          </cell>
          <cell r="S984" t="str">
            <v/>
          </cell>
          <cell r="T984" t="str">
            <v>Franey, Hank</v>
          </cell>
          <cell r="U984" t="str">
            <v>Schimpff, Stephen</v>
          </cell>
          <cell r="V984" t="str">
            <v>Ashworth, John</v>
          </cell>
          <cell r="W984" t="str">
            <v>Inactive</v>
          </cell>
        </row>
        <row r="985">
          <cell r="A985" t="str">
            <v>0177329</v>
          </cell>
          <cell r="B985" t="str">
            <v xml:space="preserve">  Rad Peds Card Cath</v>
          </cell>
          <cell r="C985">
            <v>238</v>
          </cell>
          <cell r="E985" t="str">
            <v>D</v>
          </cell>
          <cell r="F985" t="str">
            <v xml:space="preserve"> </v>
          </cell>
          <cell r="G985" t="str">
            <v xml:space="preserve"> </v>
          </cell>
          <cell r="H985" t="str">
            <v>1INAC</v>
          </cell>
          <cell r="I985" t="str">
            <v>Zhang, Lingwei</v>
          </cell>
          <cell r="J985" t="str">
            <v>Walt Augustin</v>
          </cell>
          <cell r="L985" t="str">
            <v/>
          </cell>
          <cell r="M985" t="str">
            <v/>
          </cell>
          <cell r="N985" t="str">
            <v/>
          </cell>
          <cell r="O985" t="str">
            <v/>
          </cell>
          <cell r="P985" t="str">
            <v/>
          </cell>
          <cell r="Q985" t="str">
            <v/>
          </cell>
          <cell r="R985" t="str">
            <v>Augustin, W</v>
          </cell>
          <cell r="S985" t="str">
            <v/>
          </cell>
          <cell r="T985" t="str">
            <v>Franey, Hank</v>
          </cell>
          <cell r="U985" t="str">
            <v>Schimpff, Stephen</v>
          </cell>
          <cell r="V985" t="str">
            <v>Ashworth, John</v>
          </cell>
          <cell r="W985" t="str">
            <v>Inactive</v>
          </cell>
        </row>
        <row r="986">
          <cell r="A986" t="str">
            <v>0177600</v>
          </cell>
          <cell r="B986" t="str">
            <v xml:space="preserve">  Dermatology</v>
          </cell>
          <cell r="C986">
            <v>252</v>
          </cell>
          <cell r="E986" t="str">
            <v>D</v>
          </cell>
          <cell r="F986" t="str">
            <v xml:space="preserve"> </v>
          </cell>
          <cell r="G986" t="str">
            <v xml:space="preserve"> </v>
          </cell>
          <cell r="H986" t="str">
            <v>1INAC</v>
          </cell>
          <cell r="I986" t="str">
            <v>Zhang, Lingwei</v>
          </cell>
          <cell r="J986" t="str">
            <v>Walt Augustin</v>
          </cell>
          <cell r="L986" t="str">
            <v/>
          </cell>
          <cell r="M986" t="str">
            <v/>
          </cell>
          <cell r="N986" t="str">
            <v/>
          </cell>
          <cell r="O986" t="str">
            <v/>
          </cell>
          <cell r="P986" t="str">
            <v/>
          </cell>
          <cell r="Q986" t="str">
            <v/>
          </cell>
          <cell r="R986" t="str">
            <v>Augustin, W</v>
          </cell>
          <cell r="S986" t="str">
            <v/>
          </cell>
          <cell r="T986" t="str">
            <v>Franey, Hank</v>
          </cell>
          <cell r="U986" t="str">
            <v>Schimpff, Stephen</v>
          </cell>
          <cell r="V986" t="str">
            <v>Ashworth, John</v>
          </cell>
          <cell r="W986" t="str">
            <v>Inactive</v>
          </cell>
        </row>
        <row r="987">
          <cell r="A987" t="str">
            <v>0178608</v>
          </cell>
          <cell r="B987" t="str">
            <v xml:space="preserve">  Post Acute Services Administration</v>
          </cell>
          <cell r="C987">
            <v>292</v>
          </cell>
          <cell r="E987" t="str">
            <v>D</v>
          </cell>
          <cell r="F987" t="str">
            <v xml:space="preserve"> </v>
          </cell>
          <cell r="G987" t="str">
            <v xml:space="preserve"> </v>
          </cell>
          <cell r="H987" t="str">
            <v>1INAC</v>
          </cell>
          <cell r="I987" t="str">
            <v>Zhang, Lingwei</v>
          </cell>
          <cell r="J987" t="str">
            <v>Walt Augustin</v>
          </cell>
          <cell r="L987" t="str">
            <v/>
          </cell>
          <cell r="M987" t="str">
            <v/>
          </cell>
          <cell r="N987" t="str">
            <v/>
          </cell>
          <cell r="O987" t="str">
            <v/>
          </cell>
          <cell r="P987" t="str">
            <v/>
          </cell>
          <cell r="Q987" t="str">
            <v/>
          </cell>
          <cell r="R987" t="str">
            <v>Augustin, W</v>
          </cell>
          <cell r="S987" t="str">
            <v/>
          </cell>
          <cell r="T987" t="str">
            <v>Franey, Hank</v>
          </cell>
          <cell r="U987" t="str">
            <v>Schimpff, Stephen</v>
          </cell>
          <cell r="V987" t="str">
            <v>Ashworth, John</v>
          </cell>
          <cell r="W987" t="str">
            <v>Inactive</v>
          </cell>
        </row>
        <row r="988">
          <cell r="A988" t="str">
            <v>0178740</v>
          </cell>
          <cell r="B988" t="str">
            <v xml:space="preserve">  Administration </v>
          </cell>
          <cell r="C988">
            <v>313</v>
          </cell>
          <cell r="E988" t="str">
            <v>D</v>
          </cell>
          <cell r="F988" t="str">
            <v xml:space="preserve"> </v>
          </cell>
          <cell r="G988" t="str">
            <v xml:space="preserve"> </v>
          </cell>
          <cell r="H988" t="str">
            <v>1INAC</v>
          </cell>
          <cell r="I988" t="str">
            <v>Zhang, Lingwei</v>
          </cell>
          <cell r="J988" t="str">
            <v>Walt Augustin</v>
          </cell>
          <cell r="L988" t="str">
            <v/>
          </cell>
          <cell r="M988" t="str">
            <v/>
          </cell>
          <cell r="N988" t="str">
            <v/>
          </cell>
          <cell r="O988" t="str">
            <v/>
          </cell>
          <cell r="P988" t="str">
            <v/>
          </cell>
          <cell r="Q988" t="str">
            <v/>
          </cell>
          <cell r="R988" t="str">
            <v>Augustin, W</v>
          </cell>
          <cell r="S988" t="str">
            <v/>
          </cell>
          <cell r="T988" t="str">
            <v>Franey, Hank</v>
          </cell>
          <cell r="U988" t="str">
            <v>Schimpff, Stephen</v>
          </cell>
          <cell r="V988" t="str">
            <v>Ashworth, John</v>
          </cell>
          <cell r="W988" t="str">
            <v>Inactive</v>
          </cell>
        </row>
        <row r="989">
          <cell r="A989" t="str">
            <v>0178769</v>
          </cell>
          <cell r="B989" t="str">
            <v xml:space="preserve">  Perioperative Nursing Plan Reduction</v>
          </cell>
          <cell r="C989">
            <v>327</v>
          </cell>
          <cell r="E989" t="str">
            <v>D</v>
          </cell>
          <cell r="F989" t="str">
            <v xml:space="preserve"> </v>
          </cell>
          <cell r="G989" t="str">
            <v xml:space="preserve"> </v>
          </cell>
          <cell r="H989" t="str">
            <v>1INAC</v>
          </cell>
          <cell r="I989" t="str">
            <v>Zhang, Lingwei</v>
          </cell>
          <cell r="J989" t="str">
            <v>Walt Augustin</v>
          </cell>
          <cell r="L989" t="str">
            <v/>
          </cell>
          <cell r="M989" t="str">
            <v/>
          </cell>
          <cell r="N989" t="str">
            <v/>
          </cell>
          <cell r="O989" t="str">
            <v/>
          </cell>
          <cell r="P989" t="str">
            <v/>
          </cell>
          <cell r="Q989" t="str">
            <v/>
          </cell>
          <cell r="R989" t="str">
            <v>Augustin, W</v>
          </cell>
          <cell r="S989" t="str">
            <v/>
          </cell>
          <cell r="T989" t="str">
            <v>Franey, Hank</v>
          </cell>
          <cell r="U989" t="str">
            <v>Schimpff, Stephen</v>
          </cell>
          <cell r="V989" t="str">
            <v>Ashworth, John</v>
          </cell>
          <cell r="W989" t="str">
            <v>Inactive</v>
          </cell>
        </row>
        <row r="990">
          <cell r="A990" t="str">
            <v>0178770</v>
          </cell>
          <cell r="B990" t="str">
            <v xml:space="preserve">  Neuro Care Plan Reduction</v>
          </cell>
          <cell r="C990">
            <v>328</v>
          </cell>
          <cell r="E990" t="str">
            <v>D</v>
          </cell>
          <cell r="F990" t="str">
            <v xml:space="preserve"> </v>
          </cell>
          <cell r="G990" t="str">
            <v xml:space="preserve"> </v>
          </cell>
          <cell r="H990" t="str">
            <v>1INAC</v>
          </cell>
          <cell r="I990" t="str">
            <v>Zhang, Lingwei</v>
          </cell>
          <cell r="J990" t="str">
            <v>Walt Augustin</v>
          </cell>
          <cell r="L990" t="str">
            <v/>
          </cell>
          <cell r="M990" t="str">
            <v/>
          </cell>
          <cell r="N990" t="str">
            <v/>
          </cell>
          <cell r="O990" t="str">
            <v/>
          </cell>
          <cell r="P990" t="str">
            <v/>
          </cell>
          <cell r="Q990" t="str">
            <v/>
          </cell>
          <cell r="R990" t="str">
            <v>Augustin, W</v>
          </cell>
          <cell r="S990" t="str">
            <v/>
          </cell>
          <cell r="T990" t="str">
            <v>Franey, Hank</v>
          </cell>
          <cell r="U990" t="str">
            <v>Schimpff, Stephen</v>
          </cell>
          <cell r="V990" t="str">
            <v>Ashworth, John</v>
          </cell>
          <cell r="W990" t="str">
            <v>Inactive</v>
          </cell>
        </row>
        <row r="991">
          <cell r="A991" t="str">
            <v>0188414</v>
          </cell>
          <cell r="B991" t="str">
            <v xml:space="preserve">  FAC Building Systems</v>
          </cell>
          <cell r="C991">
            <v>354</v>
          </cell>
          <cell r="E991" t="str">
            <v>D</v>
          </cell>
          <cell r="F991" t="str">
            <v xml:space="preserve"> </v>
          </cell>
          <cell r="G991" t="str">
            <v xml:space="preserve"> </v>
          </cell>
          <cell r="H991" t="str">
            <v>1INAC</v>
          </cell>
          <cell r="I991" t="str">
            <v>Zhang, Lingwei</v>
          </cell>
          <cell r="J991" t="str">
            <v>Walt Augustin</v>
          </cell>
          <cell r="L991" t="str">
            <v/>
          </cell>
          <cell r="M991" t="str">
            <v/>
          </cell>
          <cell r="N991" t="str">
            <v/>
          </cell>
          <cell r="O991" t="str">
            <v/>
          </cell>
          <cell r="P991" t="str">
            <v/>
          </cell>
          <cell r="Q991" t="str">
            <v/>
          </cell>
          <cell r="R991" t="str">
            <v>Augustin, W</v>
          </cell>
          <cell r="S991" t="str">
            <v/>
          </cell>
          <cell r="T991" t="str">
            <v>Franey, Hank</v>
          </cell>
          <cell r="U991" t="str">
            <v>Schimpff, Stephen</v>
          </cell>
          <cell r="V991" t="str">
            <v>Ashworth, John</v>
          </cell>
          <cell r="W991" t="str">
            <v>Inactive</v>
          </cell>
        </row>
        <row r="992">
          <cell r="A992" t="str">
            <v>0188517</v>
          </cell>
          <cell r="B992" t="str">
            <v xml:space="preserve">  Finance Admin Adj</v>
          </cell>
          <cell r="C992">
            <v>417</v>
          </cell>
          <cell r="F992" t="str">
            <v xml:space="preserve"> </v>
          </cell>
          <cell r="G992" t="str">
            <v xml:space="preserve"> </v>
          </cell>
          <cell r="H992" t="str">
            <v>1INAC</v>
          </cell>
          <cell r="I992" t="str">
            <v>Zhang, Lingwei</v>
          </cell>
          <cell r="J992" t="str">
            <v>Walt Augustin</v>
          </cell>
          <cell r="L992" t="str">
            <v/>
          </cell>
          <cell r="M992" t="str">
            <v/>
          </cell>
          <cell r="N992" t="str">
            <v/>
          </cell>
          <cell r="O992" t="str">
            <v/>
          </cell>
          <cell r="P992" t="str">
            <v/>
          </cell>
          <cell r="Q992" t="str">
            <v/>
          </cell>
          <cell r="R992" t="str">
            <v>Augustin, W</v>
          </cell>
          <cell r="S992" t="str">
            <v/>
          </cell>
          <cell r="T992" t="str">
            <v>Franey, Hank</v>
          </cell>
          <cell r="U992" t="str">
            <v>Schimpff, Stephen</v>
          </cell>
          <cell r="V992" t="str">
            <v>Ashworth, John</v>
          </cell>
          <cell r="W992" t="str">
            <v>Inactive</v>
          </cell>
        </row>
        <row r="993">
          <cell r="A993" t="str">
            <v>0188519</v>
          </cell>
          <cell r="B993" t="str">
            <v xml:space="preserve">  Shipley's PT</v>
          </cell>
          <cell r="C993">
            <v>419</v>
          </cell>
          <cell r="E993" t="str">
            <v>D</v>
          </cell>
          <cell r="F993" t="str">
            <v xml:space="preserve"> </v>
          </cell>
          <cell r="G993" t="str">
            <v xml:space="preserve"> </v>
          </cell>
          <cell r="H993" t="str">
            <v>1INAC</v>
          </cell>
          <cell r="I993" t="str">
            <v>Zhang, Lingwei</v>
          </cell>
          <cell r="J993" t="str">
            <v>Walt Augustin</v>
          </cell>
          <cell r="L993" t="str">
            <v/>
          </cell>
          <cell r="M993" t="str">
            <v/>
          </cell>
          <cell r="N993" t="str">
            <v/>
          </cell>
          <cell r="O993" t="str">
            <v/>
          </cell>
          <cell r="P993" t="str">
            <v/>
          </cell>
          <cell r="Q993" t="str">
            <v/>
          </cell>
          <cell r="R993" t="str">
            <v>Augustin, W</v>
          </cell>
          <cell r="S993" t="str">
            <v/>
          </cell>
          <cell r="T993" t="str">
            <v>Franey, Hank</v>
          </cell>
          <cell r="U993" t="str">
            <v>Schimpff, Stephen</v>
          </cell>
          <cell r="V993" t="str">
            <v>Ashworth, John</v>
          </cell>
          <cell r="W993" t="str">
            <v>Inactive</v>
          </cell>
        </row>
        <row r="994">
          <cell r="A994" t="str">
            <v>0188531</v>
          </cell>
          <cell r="B994" t="str">
            <v xml:space="preserve">  Business Practices Management</v>
          </cell>
          <cell r="C994">
            <v>431</v>
          </cell>
          <cell r="E994" t="str">
            <v>D</v>
          </cell>
          <cell r="F994" t="str">
            <v xml:space="preserve"> </v>
          </cell>
          <cell r="G994" t="str">
            <v xml:space="preserve"> </v>
          </cell>
          <cell r="H994" t="str">
            <v>1INAC</v>
          </cell>
          <cell r="I994" t="str">
            <v>Zhang, Lingwei</v>
          </cell>
          <cell r="J994" t="str">
            <v>Walt Augustin</v>
          </cell>
          <cell r="L994" t="str">
            <v/>
          </cell>
          <cell r="M994" t="str">
            <v/>
          </cell>
          <cell r="N994" t="str">
            <v/>
          </cell>
          <cell r="O994" t="str">
            <v/>
          </cell>
          <cell r="P994" t="str">
            <v/>
          </cell>
          <cell r="Q994" t="str">
            <v/>
          </cell>
          <cell r="R994" t="str">
            <v>Augustin, W</v>
          </cell>
          <cell r="S994" t="str">
            <v/>
          </cell>
          <cell r="T994" t="str">
            <v>Franey, Hank</v>
          </cell>
          <cell r="U994" t="str">
            <v>Schimpff, Stephen</v>
          </cell>
          <cell r="V994" t="str">
            <v>Ashworth, John</v>
          </cell>
          <cell r="W994" t="str">
            <v>Inactive</v>
          </cell>
        </row>
        <row r="995">
          <cell r="A995" t="str">
            <v>0188601</v>
          </cell>
          <cell r="B995" t="str">
            <v xml:space="preserve">  Corporate Rehabilitation</v>
          </cell>
          <cell r="C995">
            <v>444</v>
          </cell>
          <cell r="E995" t="str">
            <v>D</v>
          </cell>
          <cell r="F995" t="str">
            <v xml:space="preserve"> </v>
          </cell>
          <cell r="G995" t="str">
            <v xml:space="preserve"> </v>
          </cell>
          <cell r="H995" t="str">
            <v>1INAC</v>
          </cell>
          <cell r="I995" t="str">
            <v>Zhang, Lingwei</v>
          </cell>
          <cell r="J995" t="str">
            <v>Walt Augustin</v>
          </cell>
          <cell r="L995" t="str">
            <v/>
          </cell>
          <cell r="M995" t="str">
            <v/>
          </cell>
          <cell r="N995" t="str">
            <v/>
          </cell>
          <cell r="O995" t="str">
            <v/>
          </cell>
          <cell r="P995" t="str">
            <v/>
          </cell>
          <cell r="Q995" t="str">
            <v/>
          </cell>
          <cell r="R995" t="str">
            <v>Augustin, W</v>
          </cell>
          <cell r="S995" t="str">
            <v/>
          </cell>
          <cell r="T995" t="str">
            <v>Franey, Hank</v>
          </cell>
          <cell r="U995" t="str">
            <v>Schimpff, Stephen</v>
          </cell>
          <cell r="V995" t="str">
            <v>Ashworth, John</v>
          </cell>
          <cell r="W995" t="str">
            <v>Inactive</v>
          </cell>
        </row>
        <row r="996">
          <cell r="A996" t="str">
            <v>0188602</v>
          </cell>
          <cell r="B996" t="str">
            <v xml:space="preserve">  PLNA Strategic Development</v>
          </cell>
          <cell r="C996">
            <v>445</v>
          </cell>
          <cell r="E996" t="str">
            <v>D</v>
          </cell>
          <cell r="F996" t="str">
            <v xml:space="preserve"> </v>
          </cell>
          <cell r="G996" t="str">
            <v xml:space="preserve"> </v>
          </cell>
          <cell r="H996" t="str">
            <v>1INAC</v>
          </cell>
          <cell r="I996" t="str">
            <v>Zhang, Lingwei</v>
          </cell>
          <cell r="J996" t="str">
            <v>Walt Augustin</v>
          </cell>
          <cell r="L996" t="str">
            <v/>
          </cell>
          <cell r="M996" t="str">
            <v/>
          </cell>
          <cell r="N996" t="str">
            <v/>
          </cell>
          <cell r="O996" t="str">
            <v/>
          </cell>
          <cell r="P996" t="str">
            <v/>
          </cell>
          <cell r="Q996" t="str">
            <v/>
          </cell>
          <cell r="R996" t="str">
            <v>Augustin, W</v>
          </cell>
          <cell r="S996" t="str">
            <v/>
          </cell>
          <cell r="T996" t="str">
            <v>Franey, Hank</v>
          </cell>
          <cell r="U996" t="str">
            <v>Schimpff, Stephen</v>
          </cell>
          <cell r="V996" t="str">
            <v>Ashworth, John</v>
          </cell>
          <cell r="W996" t="str">
            <v>Inactive</v>
          </cell>
        </row>
        <row r="997">
          <cell r="A997" t="str">
            <v>0188637</v>
          </cell>
          <cell r="B997" t="str">
            <v xml:space="preserve">  PHO Development</v>
          </cell>
          <cell r="C997">
            <v>472</v>
          </cell>
          <cell r="E997" t="str">
            <v>D</v>
          </cell>
          <cell r="F997" t="str">
            <v xml:space="preserve"> </v>
          </cell>
          <cell r="G997" t="str">
            <v xml:space="preserve"> </v>
          </cell>
          <cell r="H997" t="str">
            <v>1INAC</v>
          </cell>
          <cell r="I997" t="str">
            <v>Zhang, Lingwei</v>
          </cell>
          <cell r="J997" t="str">
            <v>Walt Augustin</v>
          </cell>
          <cell r="L997" t="str">
            <v/>
          </cell>
          <cell r="M997" t="str">
            <v/>
          </cell>
          <cell r="N997" t="str">
            <v/>
          </cell>
          <cell r="O997" t="str">
            <v/>
          </cell>
          <cell r="P997" t="str">
            <v/>
          </cell>
          <cell r="Q997" t="str">
            <v/>
          </cell>
          <cell r="R997" t="str">
            <v>Augustin, W</v>
          </cell>
          <cell r="S997" t="str">
            <v/>
          </cell>
          <cell r="T997" t="str">
            <v>Franey, Hank</v>
          </cell>
          <cell r="U997" t="str">
            <v>Schimpff, Stephen</v>
          </cell>
          <cell r="V997" t="str">
            <v>Ashworth, John</v>
          </cell>
          <cell r="W997" t="str">
            <v>Inactive</v>
          </cell>
        </row>
        <row r="998">
          <cell r="A998" t="str">
            <v>0188758</v>
          </cell>
          <cell r="B998" t="str">
            <v xml:space="preserve">  QPPD Recruitment</v>
          </cell>
          <cell r="C998">
            <v>502</v>
          </cell>
          <cell r="E998" t="str">
            <v>D</v>
          </cell>
          <cell r="F998" t="str">
            <v xml:space="preserve"> </v>
          </cell>
          <cell r="G998" t="str">
            <v xml:space="preserve"> </v>
          </cell>
          <cell r="H998" t="str">
            <v>1INAC</v>
          </cell>
          <cell r="I998" t="str">
            <v>Zhang, Lingwei</v>
          </cell>
          <cell r="J998" t="str">
            <v>Walt Augustin</v>
          </cell>
          <cell r="L998" t="str">
            <v/>
          </cell>
          <cell r="M998" t="str">
            <v/>
          </cell>
          <cell r="N998" t="str">
            <v/>
          </cell>
          <cell r="O998" t="str">
            <v/>
          </cell>
          <cell r="P998" t="str">
            <v/>
          </cell>
          <cell r="Q998" t="str">
            <v/>
          </cell>
          <cell r="R998" t="str">
            <v>Augustin, W</v>
          </cell>
          <cell r="S998" t="str">
            <v/>
          </cell>
          <cell r="T998" t="str">
            <v>Franey, Hank</v>
          </cell>
          <cell r="U998" t="str">
            <v>Schimpff, Stephen</v>
          </cell>
          <cell r="V998" t="str">
            <v>Ashworth, John</v>
          </cell>
          <cell r="W998" t="str">
            <v>Inactive</v>
          </cell>
        </row>
        <row r="999">
          <cell r="A999" t="str">
            <v>0199500</v>
          </cell>
          <cell r="B999" t="str">
            <v xml:space="preserve">  Univcare/Edmondson</v>
          </cell>
          <cell r="C999">
            <v>591</v>
          </cell>
          <cell r="E999" t="str">
            <v>D</v>
          </cell>
          <cell r="F999" t="str">
            <v xml:space="preserve"> </v>
          </cell>
          <cell r="G999" t="str">
            <v xml:space="preserve"> </v>
          </cell>
          <cell r="H999" t="str">
            <v>1INAC</v>
          </cell>
          <cell r="I999" t="str">
            <v>Zhang, Lingwei</v>
          </cell>
          <cell r="J999" t="str">
            <v>Walt Augustin</v>
          </cell>
          <cell r="L999" t="str">
            <v/>
          </cell>
          <cell r="M999" t="str">
            <v/>
          </cell>
          <cell r="N999" t="str">
            <v/>
          </cell>
          <cell r="O999" t="str">
            <v/>
          </cell>
          <cell r="P999" t="str">
            <v/>
          </cell>
          <cell r="Q999" t="str">
            <v/>
          </cell>
          <cell r="R999" t="str">
            <v>Augustin, W</v>
          </cell>
          <cell r="S999" t="str">
            <v/>
          </cell>
          <cell r="T999" t="str">
            <v>Franey, Hank</v>
          </cell>
          <cell r="U999" t="str">
            <v>Schimpff, Stephen</v>
          </cell>
          <cell r="V999" t="str">
            <v>Ashworth, John</v>
          </cell>
          <cell r="W999" t="str">
            <v>Inactive</v>
          </cell>
        </row>
        <row r="1000">
          <cell r="A1000" t="str">
            <v>0199520</v>
          </cell>
          <cell r="B1000" t="str">
            <v xml:space="preserve">  Univcare/Westside</v>
          </cell>
          <cell r="C1000">
            <v>592</v>
          </cell>
          <cell r="E1000" t="str">
            <v>D</v>
          </cell>
          <cell r="F1000" t="str">
            <v xml:space="preserve"> </v>
          </cell>
          <cell r="G1000" t="str">
            <v xml:space="preserve"> </v>
          </cell>
          <cell r="H1000" t="str">
            <v>1INAC</v>
          </cell>
          <cell r="I1000" t="str">
            <v>Zhang, Lingwei</v>
          </cell>
          <cell r="J1000" t="str">
            <v>Walt Augustin</v>
          </cell>
          <cell r="L1000" t="str">
            <v/>
          </cell>
          <cell r="M1000" t="str">
            <v/>
          </cell>
          <cell r="N1000" t="str">
            <v/>
          </cell>
          <cell r="O1000" t="str">
            <v/>
          </cell>
          <cell r="P1000" t="str">
            <v/>
          </cell>
          <cell r="Q1000" t="str">
            <v/>
          </cell>
          <cell r="R1000" t="str">
            <v>Augustin, W</v>
          </cell>
          <cell r="S1000" t="str">
            <v/>
          </cell>
          <cell r="T1000" t="str">
            <v>Franey, Hank</v>
          </cell>
          <cell r="U1000" t="str">
            <v>Schimpff, Stephen</v>
          </cell>
          <cell r="V1000" t="str">
            <v>Ashworth, John</v>
          </cell>
          <cell r="W1000" t="str">
            <v>Inactive</v>
          </cell>
        </row>
        <row r="1001">
          <cell r="A1001" t="str">
            <v>0199530</v>
          </cell>
          <cell r="B1001" t="str">
            <v xml:space="preserve">  Univcare/Waxter</v>
          </cell>
          <cell r="C1001">
            <v>593</v>
          </cell>
          <cell r="E1001" t="str">
            <v>D</v>
          </cell>
          <cell r="F1001" t="str">
            <v xml:space="preserve"> </v>
          </cell>
          <cell r="G1001" t="str">
            <v xml:space="preserve"> </v>
          </cell>
          <cell r="H1001" t="str">
            <v>1INAC</v>
          </cell>
          <cell r="I1001" t="str">
            <v>Zhang, Lingwei</v>
          </cell>
          <cell r="J1001" t="str">
            <v>Walt Augustin</v>
          </cell>
          <cell r="L1001" t="str">
            <v/>
          </cell>
          <cell r="M1001" t="str">
            <v/>
          </cell>
          <cell r="N1001" t="str">
            <v/>
          </cell>
          <cell r="O1001" t="str">
            <v/>
          </cell>
          <cell r="P1001" t="str">
            <v/>
          </cell>
          <cell r="Q1001" t="str">
            <v/>
          </cell>
          <cell r="R1001" t="str">
            <v>Augustin, W</v>
          </cell>
          <cell r="S1001" t="str">
            <v/>
          </cell>
          <cell r="T1001" t="str">
            <v>Franey, Hank</v>
          </cell>
          <cell r="U1001" t="str">
            <v>Schimpff, Stephen</v>
          </cell>
          <cell r="V1001" t="str">
            <v>Ashworth, John</v>
          </cell>
          <cell r="W1001" t="str">
            <v>Inactive</v>
          </cell>
        </row>
        <row r="1002">
          <cell r="A1002" t="str">
            <v>0199540</v>
          </cell>
          <cell r="B1002" t="str">
            <v xml:space="preserve">  Univcare/Administration</v>
          </cell>
          <cell r="C1002">
            <v>594</v>
          </cell>
          <cell r="E1002" t="str">
            <v>D</v>
          </cell>
          <cell r="F1002" t="str">
            <v xml:space="preserve"> </v>
          </cell>
          <cell r="G1002" t="str">
            <v xml:space="preserve"> </v>
          </cell>
          <cell r="H1002" t="str">
            <v>1INAC</v>
          </cell>
          <cell r="I1002" t="str">
            <v>Zhang, Lingwei</v>
          </cell>
          <cell r="J1002" t="str">
            <v>Walt Augustin</v>
          </cell>
          <cell r="L1002" t="str">
            <v/>
          </cell>
          <cell r="M1002" t="str">
            <v/>
          </cell>
          <cell r="N1002" t="str">
            <v/>
          </cell>
          <cell r="O1002" t="str">
            <v/>
          </cell>
          <cell r="P1002" t="str">
            <v/>
          </cell>
          <cell r="Q1002" t="str">
            <v/>
          </cell>
          <cell r="R1002" t="str">
            <v>Augustin, W</v>
          </cell>
          <cell r="S1002" t="str">
            <v/>
          </cell>
          <cell r="T1002" t="str">
            <v>Franey, Hank</v>
          </cell>
          <cell r="U1002" t="str">
            <v>Schimpff, Stephen</v>
          </cell>
          <cell r="V1002" t="str">
            <v>Ashworth, John</v>
          </cell>
          <cell r="W1002" t="str">
            <v>Inactive</v>
          </cell>
        </row>
        <row r="1003">
          <cell r="A1003" t="str">
            <v>0199550</v>
          </cell>
          <cell r="B1003" t="str">
            <v xml:space="preserve">  Univcare/Opengates</v>
          </cell>
          <cell r="C1003">
            <v>595</v>
          </cell>
          <cell r="E1003" t="str">
            <v>D</v>
          </cell>
          <cell r="F1003" t="str">
            <v xml:space="preserve"> </v>
          </cell>
          <cell r="G1003" t="str">
            <v xml:space="preserve"> </v>
          </cell>
          <cell r="H1003" t="str">
            <v>1INAC</v>
          </cell>
          <cell r="I1003" t="str">
            <v>Zhang, Lingwei</v>
          </cell>
          <cell r="J1003" t="str">
            <v>Walt Augustin</v>
          </cell>
          <cell r="L1003" t="str">
            <v/>
          </cell>
          <cell r="M1003" t="str">
            <v/>
          </cell>
          <cell r="N1003" t="str">
            <v/>
          </cell>
          <cell r="O1003" t="str">
            <v/>
          </cell>
          <cell r="P1003" t="str">
            <v/>
          </cell>
          <cell r="Q1003" t="str">
            <v/>
          </cell>
          <cell r="R1003" t="str">
            <v>Augustin, W</v>
          </cell>
          <cell r="S1003" t="str">
            <v/>
          </cell>
          <cell r="T1003" t="str">
            <v>Franey, Hank</v>
          </cell>
          <cell r="U1003" t="str">
            <v>Schimpff, Stephen</v>
          </cell>
          <cell r="V1003" t="str">
            <v>Ashworth, John</v>
          </cell>
          <cell r="W1003" t="str">
            <v>Inactive</v>
          </cell>
        </row>
        <row r="1004">
          <cell r="A1004" t="str">
            <v>0199570</v>
          </cell>
          <cell r="B1004" t="str">
            <v xml:space="preserve">  Univcare/Howard Park</v>
          </cell>
          <cell r="C1004">
            <v>596</v>
          </cell>
          <cell r="E1004" t="str">
            <v>D</v>
          </cell>
          <cell r="F1004" t="str">
            <v xml:space="preserve"> </v>
          </cell>
          <cell r="G1004" t="str">
            <v xml:space="preserve"> </v>
          </cell>
          <cell r="H1004" t="str">
            <v>1INAC</v>
          </cell>
          <cell r="I1004" t="str">
            <v>Zhang, Lingwei</v>
          </cell>
          <cell r="J1004" t="str">
            <v>Walt Augustin</v>
          </cell>
          <cell r="L1004" t="str">
            <v/>
          </cell>
          <cell r="M1004" t="str">
            <v/>
          </cell>
          <cell r="N1004" t="str">
            <v/>
          </cell>
          <cell r="O1004" t="str">
            <v/>
          </cell>
          <cell r="P1004" t="str">
            <v/>
          </cell>
          <cell r="Q1004" t="str">
            <v/>
          </cell>
          <cell r="R1004" t="str">
            <v>Augustin, W</v>
          </cell>
          <cell r="S1004" t="str">
            <v/>
          </cell>
          <cell r="T1004" t="str">
            <v>Franey, Hank</v>
          </cell>
          <cell r="U1004" t="str">
            <v>Schimpff, Stephen</v>
          </cell>
          <cell r="V1004" t="str">
            <v>Ashworth, John</v>
          </cell>
          <cell r="W1004" t="str">
            <v>Inactive</v>
          </cell>
        </row>
        <row r="1005">
          <cell r="A1005" t="str">
            <v>0199580</v>
          </cell>
          <cell r="B1005" t="str">
            <v xml:space="preserve">  Univcare/Shipleys</v>
          </cell>
          <cell r="C1005">
            <v>597</v>
          </cell>
          <cell r="E1005" t="str">
            <v>D</v>
          </cell>
          <cell r="F1005" t="str">
            <v xml:space="preserve"> </v>
          </cell>
          <cell r="G1005" t="str">
            <v xml:space="preserve"> </v>
          </cell>
          <cell r="H1005" t="str">
            <v>1INAC</v>
          </cell>
          <cell r="I1005" t="str">
            <v>Zhang, Lingwei</v>
          </cell>
          <cell r="J1005" t="str">
            <v>Walt Augustin</v>
          </cell>
          <cell r="L1005" t="str">
            <v/>
          </cell>
          <cell r="M1005" t="str">
            <v/>
          </cell>
          <cell r="N1005" t="str">
            <v/>
          </cell>
          <cell r="O1005" t="str">
            <v/>
          </cell>
          <cell r="P1005" t="str">
            <v/>
          </cell>
          <cell r="Q1005" t="str">
            <v/>
          </cell>
          <cell r="R1005" t="str">
            <v>Augustin, W</v>
          </cell>
          <cell r="S1005" t="str">
            <v/>
          </cell>
          <cell r="T1005" t="str">
            <v>Franey, Hank</v>
          </cell>
          <cell r="U1005" t="str">
            <v>Schimpff, Stephen</v>
          </cell>
          <cell r="V1005" t="str">
            <v>Ashworth, John</v>
          </cell>
          <cell r="W1005" t="str">
            <v>Inactive</v>
          </cell>
        </row>
        <row r="1006">
          <cell r="A1006" t="str">
            <v>0199898</v>
          </cell>
          <cell r="B1006" t="str">
            <v xml:space="preserve">  Error/Suspense</v>
          </cell>
          <cell r="C1006">
            <v>598</v>
          </cell>
          <cell r="E1006" t="str">
            <v>D</v>
          </cell>
          <cell r="F1006" t="str">
            <v xml:space="preserve"> </v>
          </cell>
          <cell r="G1006" t="str">
            <v xml:space="preserve"> </v>
          </cell>
          <cell r="H1006" t="str">
            <v>1INAC</v>
          </cell>
          <cell r="I1006" t="str">
            <v>Zhang, Lingwei</v>
          </cell>
          <cell r="J1006" t="str">
            <v>Walt Augustin</v>
          </cell>
          <cell r="L1006" t="str">
            <v/>
          </cell>
          <cell r="M1006" t="str">
            <v/>
          </cell>
          <cell r="N1006" t="str">
            <v/>
          </cell>
          <cell r="O1006" t="str">
            <v/>
          </cell>
          <cell r="P1006" t="str">
            <v/>
          </cell>
          <cell r="Q1006" t="str">
            <v/>
          </cell>
          <cell r="R1006" t="str">
            <v>Augustin, W</v>
          </cell>
          <cell r="S1006" t="str">
            <v/>
          </cell>
          <cell r="T1006" t="str">
            <v>Franey, Hank</v>
          </cell>
          <cell r="U1006" t="str">
            <v>Schimpff, Stephen</v>
          </cell>
          <cell r="V1006" t="str">
            <v>Ashworth, John</v>
          </cell>
          <cell r="W1006" t="str">
            <v>Inactive</v>
          </cell>
        </row>
        <row r="1007">
          <cell r="A1007" t="str">
            <v>0248302</v>
          </cell>
          <cell r="B1007" t="str">
            <v xml:space="preserve">  Inpatient Revenue</v>
          </cell>
          <cell r="C1007">
            <v>599</v>
          </cell>
          <cell r="E1007" t="str">
            <v>D</v>
          </cell>
          <cell r="F1007" t="str">
            <v xml:space="preserve"> </v>
          </cell>
          <cell r="G1007" t="str">
            <v xml:space="preserve"> </v>
          </cell>
          <cell r="H1007" t="str">
            <v>9SNF</v>
          </cell>
          <cell r="I1007" t="str">
            <v>Zhang, Lingwei</v>
          </cell>
          <cell r="J1007" t="str">
            <v>Walt Augustin</v>
          </cell>
          <cell r="L1007" t="str">
            <v/>
          </cell>
          <cell r="M1007" t="str">
            <v/>
          </cell>
          <cell r="N1007" t="str">
            <v/>
          </cell>
          <cell r="O1007" t="str">
            <v/>
          </cell>
          <cell r="P1007" t="str">
            <v/>
          </cell>
          <cell r="Q1007" t="str">
            <v/>
          </cell>
          <cell r="R1007" t="str">
            <v>Augustin, W</v>
          </cell>
          <cell r="S1007" t="str">
            <v/>
          </cell>
          <cell r="T1007" t="str">
            <v>Franey, Hank</v>
          </cell>
          <cell r="U1007" t="str">
            <v>Schimpff, Stephen</v>
          </cell>
          <cell r="V1007" t="str">
            <v>Ashworth, John</v>
          </cell>
          <cell r="W1007" t="str">
            <v>Inactive</v>
          </cell>
        </row>
        <row r="1008">
          <cell r="A1008" t="str">
            <v>0258304</v>
          </cell>
          <cell r="B1008" t="str">
            <v xml:space="preserve">  Contractuals</v>
          </cell>
          <cell r="C1008">
            <v>600</v>
          </cell>
          <cell r="E1008" t="str">
            <v>D</v>
          </cell>
          <cell r="F1008" t="str">
            <v xml:space="preserve"> </v>
          </cell>
          <cell r="G1008" t="str">
            <v xml:space="preserve"> </v>
          </cell>
          <cell r="H1008" t="str">
            <v>9SNF</v>
          </cell>
          <cell r="I1008" t="str">
            <v>Zhang, Lingwei</v>
          </cell>
          <cell r="J1008" t="str">
            <v>Walt Augustin</v>
          </cell>
          <cell r="L1008" t="str">
            <v/>
          </cell>
          <cell r="M1008" t="str">
            <v/>
          </cell>
          <cell r="N1008" t="str">
            <v/>
          </cell>
          <cell r="O1008" t="str">
            <v/>
          </cell>
          <cell r="P1008" t="str">
            <v/>
          </cell>
          <cell r="Q1008" t="str">
            <v/>
          </cell>
          <cell r="R1008" t="str">
            <v>Augustin, W</v>
          </cell>
          <cell r="S1008" t="str">
            <v/>
          </cell>
          <cell r="T1008" t="str">
            <v>Franey, Hank</v>
          </cell>
          <cell r="U1008" t="str">
            <v>Schimpff, Stephen</v>
          </cell>
          <cell r="V1008" t="str">
            <v>Ashworth, John</v>
          </cell>
          <cell r="W1008" t="str">
            <v>Inactive</v>
          </cell>
        </row>
        <row r="1009">
          <cell r="A1009" t="str">
            <v>0258306</v>
          </cell>
          <cell r="B1009" t="str">
            <v xml:space="preserve">  Other Revenue</v>
          </cell>
          <cell r="C1009">
            <v>601</v>
          </cell>
          <cell r="E1009" t="str">
            <v>D</v>
          </cell>
          <cell r="F1009" t="str">
            <v xml:space="preserve"> </v>
          </cell>
          <cell r="G1009" t="str">
            <v xml:space="preserve"> </v>
          </cell>
          <cell r="H1009" t="str">
            <v>9SNF</v>
          </cell>
          <cell r="I1009" t="str">
            <v>Zhang, Lingwei</v>
          </cell>
          <cell r="J1009" t="str">
            <v>Walt Augustin</v>
          </cell>
          <cell r="L1009" t="str">
            <v/>
          </cell>
          <cell r="M1009" t="str">
            <v/>
          </cell>
          <cell r="N1009" t="str">
            <v/>
          </cell>
          <cell r="O1009" t="str">
            <v/>
          </cell>
          <cell r="P1009" t="str">
            <v/>
          </cell>
          <cell r="Q1009" t="str">
            <v/>
          </cell>
          <cell r="R1009" t="str">
            <v>Augustin, W</v>
          </cell>
          <cell r="S1009" t="str">
            <v/>
          </cell>
          <cell r="T1009" t="str">
            <v>Franey, Hank</v>
          </cell>
          <cell r="U1009" t="str">
            <v>Schimpff, Stephen</v>
          </cell>
          <cell r="V1009" t="str">
            <v>Ashworth, John</v>
          </cell>
          <cell r="W1009" t="str">
            <v>Inactive</v>
          </cell>
        </row>
        <row r="1010">
          <cell r="A1010" t="str">
            <v>0258334</v>
          </cell>
          <cell r="B1010" t="str">
            <v xml:space="preserve">  Bad Debt</v>
          </cell>
          <cell r="C1010">
            <v>602</v>
          </cell>
          <cell r="E1010" t="str">
            <v>D</v>
          </cell>
          <cell r="F1010" t="str">
            <v xml:space="preserve"> </v>
          </cell>
          <cell r="G1010" t="str">
            <v xml:space="preserve"> </v>
          </cell>
          <cell r="H1010" t="str">
            <v>9SNF</v>
          </cell>
          <cell r="I1010" t="str">
            <v>Zhang, Lingwei</v>
          </cell>
          <cell r="J1010" t="str">
            <v>Walt Augustin</v>
          </cell>
          <cell r="L1010" t="str">
            <v/>
          </cell>
          <cell r="M1010" t="str">
            <v/>
          </cell>
          <cell r="N1010" t="str">
            <v/>
          </cell>
          <cell r="O1010" t="str">
            <v/>
          </cell>
          <cell r="P1010" t="str">
            <v/>
          </cell>
          <cell r="Q1010" t="str">
            <v/>
          </cell>
          <cell r="R1010" t="str">
            <v>Augustin, W</v>
          </cell>
          <cell r="S1010" t="str">
            <v/>
          </cell>
          <cell r="T1010" t="str">
            <v>Franey, Hank</v>
          </cell>
          <cell r="U1010" t="str">
            <v>Schimpff, Stephen</v>
          </cell>
          <cell r="V1010" t="str">
            <v>Ashworth, John</v>
          </cell>
          <cell r="W1010" t="str">
            <v>Inactive</v>
          </cell>
        </row>
        <row r="1011">
          <cell r="A1011" t="str">
            <v>0278320</v>
          </cell>
          <cell r="B1011" t="str">
            <v xml:space="preserve">  Nursing Care Services</v>
          </cell>
          <cell r="C1011">
            <v>603</v>
          </cell>
          <cell r="E1011" t="str">
            <v>D</v>
          </cell>
          <cell r="F1011" t="str">
            <v xml:space="preserve"> </v>
          </cell>
          <cell r="G1011" t="str">
            <v xml:space="preserve"> </v>
          </cell>
          <cell r="H1011" t="str">
            <v>9SNF</v>
          </cell>
          <cell r="I1011" t="str">
            <v>Zhang, Lingwei</v>
          </cell>
          <cell r="J1011" t="str">
            <v>Walt Augustin</v>
          </cell>
          <cell r="L1011" t="str">
            <v/>
          </cell>
          <cell r="M1011" t="str">
            <v/>
          </cell>
          <cell r="N1011" t="str">
            <v/>
          </cell>
          <cell r="O1011" t="str">
            <v/>
          </cell>
          <cell r="P1011" t="str">
            <v/>
          </cell>
          <cell r="Q1011" t="str">
            <v/>
          </cell>
          <cell r="R1011" t="str">
            <v>Augustin, W</v>
          </cell>
          <cell r="S1011" t="str">
            <v/>
          </cell>
          <cell r="T1011" t="str">
            <v>Franey, Hank</v>
          </cell>
          <cell r="U1011" t="str">
            <v>Schimpff, Stephen</v>
          </cell>
          <cell r="V1011" t="str">
            <v>Ashworth, John</v>
          </cell>
          <cell r="W1011" t="str">
            <v>Inactive</v>
          </cell>
        </row>
        <row r="1012">
          <cell r="A1012" t="str">
            <v>0278322</v>
          </cell>
          <cell r="B1012" t="str">
            <v xml:space="preserve">  Other Patient Care</v>
          </cell>
          <cell r="C1012">
            <v>604</v>
          </cell>
          <cell r="E1012" t="str">
            <v>D</v>
          </cell>
          <cell r="F1012" t="str">
            <v xml:space="preserve"> </v>
          </cell>
          <cell r="G1012" t="str">
            <v xml:space="preserve"> </v>
          </cell>
          <cell r="H1012" t="str">
            <v>9SNF</v>
          </cell>
          <cell r="I1012" t="str">
            <v>Zhang, Lingwei</v>
          </cell>
          <cell r="J1012" t="str">
            <v>Walt Augustin</v>
          </cell>
          <cell r="L1012" t="str">
            <v/>
          </cell>
          <cell r="M1012" t="str">
            <v/>
          </cell>
          <cell r="N1012" t="str">
            <v/>
          </cell>
          <cell r="O1012" t="str">
            <v/>
          </cell>
          <cell r="P1012" t="str">
            <v/>
          </cell>
          <cell r="Q1012" t="str">
            <v/>
          </cell>
          <cell r="R1012" t="str">
            <v>Augustin, W</v>
          </cell>
          <cell r="S1012" t="str">
            <v/>
          </cell>
          <cell r="T1012" t="str">
            <v>Franey, Hank</v>
          </cell>
          <cell r="U1012" t="str">
            <v>Schimpff, Stephen</v>
          </cell>
          <cell r="V1012" t="str">
            <v>Ashworth, John</v>
          </cell>
          <cell r="W1012" t="str">
            <v>Inactive</v>
          </cell>
        </row>
        <row r="1013">
          <cell r="A1013" t="str">
            <v>0278324</v>
          </cell>
          <cell r="B1013" t="str">
            <v xml:space="preserve">  Routine Services</v>
          </cell>
          <cell r="C1013">
            <v>605</v>
          </cell>
          <cell r="E1013" t="str">
            <v>D</v>
          </cell>
          <cell r="F1013" t="str">
            <v xml:space="preserve"> </v>
          </cell>
          <cell r="G1013" t="str">
            <v xml:space="preserve"> </v>
          </cell>
          <cell r="H1013" t="str">
            <v>9SNF</v>
          </cell>
          <cell r="I1013" t="str">
            <v>Zhang, Lingwei</v>
          </cell>
          <cell r="J1013" t="str">
            <v>Walt Augustin</v>
          </cell>
          <cell r="L1013" t="str">
            <v/>
          </cell>
          <cell r="M1013" t="str">
            <v/>
          </cell>
          <cell r="N1013" t="str">
            <v/>
          </cell>
          <cell r="O1013" t="str">
            <v/>
          </cell>
          <cell r="P1013" t="str">
            <v/>
          </cell>
          <cell r="Q1013" t="str">
            <v/>
          </cell>
          <cell r="R1013" t="str">
            <v>Augustin, W</v>
          </cell>
          <cell r="S1013" t="str">
            <v/>
          </cell>
          <cell r="T1013" t="str">
            <v>Franey, Hank</v>
          </cell>
          <cell r="U1013" t="str">
            <v>Schimpff, Stephen</v>
          </cell>
          <cell r="V1013" t="str">
            <v>Ashworth, John</v>
          </cell>
          <cell r="W1013" t="str">
            <v>Inactive</v>
          </cell>
        </row>
        <row r="1014">
          <cell r="A1014" t="str">
            <v>0278330</v>
          </cell>
          <cell r="B1014" t="str">
            <v xml:space="preserve">  Other Ancillary Cost</v>
          </cell>
          <cell r="C1014">
            <v>606</v>
          </cell>
          <cell r="E1014" t="str">
            <v>D</v>
          </cell>
          <cell r="F1014" t="str">
            <v xml:space="preserve"> </v>
          </cell>
          <cell r="G1014" t="str">
            <v xml:space="preserve"> </v>
          </cell>
          <cell r="H1014" t="str">
            <v>9SNF</v>
          </cell>
          <cell r="I1014" t="str">
            <v>Zhang, Lingwei</v>
          </cell>
          <cell r="J1014" t="str">
            <v>Walt Augustin</v>
          </cell>
          <cell r="L1014" t="str">
            <v/>
          </cell>
          <cell r="M1014" t="str">
            <v/>
          </cell>
          <cell r="N1014" t="str">
            <v/>
          </cell>
          <cell r="O1014" t="str">
            <v/>
          </cell>
          <cell r="P1014" t="str">
            <v/>
          </cell>
          <cell r="Q1014" t="str">
            <v/>
          </cell>
          <cell r="R1014" t="str">
            <v>Augustin, W</v>
          </cell>
          <cell r="S1014" t="str">
            <v/>
          </cell>
          <cell r="T1014" t="str">
            <v>Franey, Hank</v>
          </cell>
          <cell r="U1014" t="str">
            <v>Schimpff, Stephen</v>
          </cell>
          <cell r="V1014" t="str">
            <v>Ashworth, John</v>
          </cell>
          <cell r="W1014" t="str">
            <v>Inactive</v>
          </cell>
        </row>
        <row r="1015">
          <cell r="A1015" t="str">
            <v>0278332</v>
          </cell>
          <cell r="B1015" t="str">
            <v xml:space="preserve">  Medical Supplies &amp; Drugs</v>
          </cell>
          <cell r="C1015">
            <v>607</v>
          </cell>
          <cell r="E1015" t="str">
            <v>D</v>
          </cell>
          <cell r="F1015" t="str">
            <v xml:space="preserve"> </v>
          </cell>
          <cell r="G1015" t="str">
            <v xml:space="preserve"> </v>
          </cell>
          <cell r="H1015" t="str">
            <v>9SNF</v>
          </cell>
          <cell r="I1015" t="str">
            <v>Zhang, Lingwei</v>
          </cell>
          <cell r="J1015" t="str">
            <v>Walt Augustin</v>
          </cell>
          <cell r="L1015" t="str">
            <v/>
          </cell>
          <cell r="M1015" t="str">
            <v/>
          </cell>
          <cell r="N1015" t="str">
            <v/>
          </cell>
          <cell r="O1015" t="str">
            <v/>
          </cell>
          <cell r="P1015" t="str">
            <v/>
          </cell>
          <cell r="Q1015" t="str">
            <v/>
          </cell>
          <cell r="R1015" t="str">
            <v>Augustin, W</v>
          </cell>
          <cell r="S1015" t="str">
            <v/>
          </cell>
          <cell r="T1015" t="str">
            <v>Franey, Hank</v>
          </cell>
          <cell r="U1015" t="str">
            <v>Schimpff, Stephen</v>
          </cell>
          <cell r="V1015" t="str">
            <v>Ashworth, John</v>
          </cell>
          <cell r="W1015" t="str">
            <v>Inactive</v>
          </cell>
        </row>
        <row r="1016">
          <cell r="A1016" t="str">
            <v>0288326</v>
          </cell>
          <cell r="B1016" t="str">
            <v xml:space="preserve">  Administrative Services</v>
          </cell>
          <cell r="C1016">
            <v>608</v>
          </cell>
          <cell r="E1016" t="str">
            <v>D</v>
          </cell>
          <cell r="F1016" t="str">
            <v xml:space="preserve"> </v>
          </cell>
          <cell r="G1016" t="str">
            <v xml:space="preserve"> </v>
          </cell>
          <cell r="H1016" t="str">
            <v>9SNF</v>
          </cell>
          <cell r="I1016" t="str">
            <v>Zhang, Lingwei</v>
          </cell>
          <cell r="J1016" t="str">
            <v>Walt Augustin</v>
          </cell>
          <cell r="L1016" t="str">
            <v/>
          </cell>
          <cell r="M1016" t="str">
            <v/>
          </cell>
          <cell r="N1016" t="str">
            <v/>
          </cell>
          <cell r="O1016" t="str">
            <v/>
          </cell>
          <cell r="P1016" t="str">
            <v/>
          </cell>
          <cell r="Q1016" t="str">
            <v/>
          </cell>
          <cell r="R1016" t="str">
            <v>Augustin, W</v>
          </cell>
          <cell r="S1016" t="str">
            <v/>
          </cell>
          <cell r="T1016" t="str">
            <v>Franey, Hank</v>
          </cell>
          <cell r="U1016" t="str">
            <v>Schimpff, Stephen</v>
          </cell>
          <cell r="V1016" t="str">
            <v>Ashworth, John</v>
          </cell>
          <cell r="W1016" t="str">
            <v>Inactive</v>
          </cell>
        </row>
        <row r="1017">
          <cell r="A1017" t="str">
            <v>0288328</v>
          </cell>
          <cell r="B1017" t="str">
            <v xml:space="preserve">  Admin/Capital Costs</v>
          </cell>
          <cell r="C1017">
            <v>609</v>
          </cell>
          <cell r="E1017" t="str">
            <v>D</v>
          </cell>
          <cell r="F1017" t="str">
            <v xml:space="preserve"> </v>
          </cell>
          <cell r="G1017" t="str">
            <v xml:space="preserve"> </v>
          </cell>
          <cell r="H1017" t="str">
            <v>9SNF</v>
          </cell>
          <cell r="I1017" t="str">
            <v>Zhang, Lingwei</v>
          </cell>
          <cell r="J1017" t="str">
            <v>Walt Augustin</v>
          </cell>
          <cell r="L1017" t="str">
            <v/>
          </cell>
          <cell r="M1017" t="str">
            <v/>
          </cell>
          <cell r="N1017" t="str">
            <v/>
          </cell>
          <cell r="O1017" t="str">
            <v/>
          </cell>
          <cell r="P1017" t="str">
            <v/>
          </cell>
          <cell r="Q1017" t="str">
            <v/>
          </cell>
          <cell r="R1017" t="str">
            <v>Augustin, W</v>
          </cell>
          <cell r="S1017" t="str">
            <v/>
          </cell>
          <cell r="T1017" t="str">
            <v>Franey, Hank</v>
          </cell>
          <cell r="U1017" t="str">
            <v>Schimpff, Stephen</v>
          </cell>
          <cell r="V1017" t="str">
            <v>Ashworth, John</v>
          </cell>
          <cell r="W1017" t="str">
            <v>Inactive</v>
          </cell>
        </row>
        <row r="1018">
          <cell r="A1018" t="str">
            <v>0298308</v>
          </cell>
          <cell r="B1018" t="str">
            <v xml:space="preserve">  Non-Operating Revenue</v>
          </cell>
          <cell r="C1018">
            <v>610</v>
          </cell>
          <cell r="E1018" t="str">
            <v>D</v>
          </cell>
          <cell r="F1018" t="str">
            <v xml:space="preserve"> </v>
          </cell>
          <cell r="G1018" t="str">
            <v xml:space="preserve"> </v>
          </cell>
          <cell r="H1018" t="str">
            <v>9SNF</v>
          </cell>
          <cell r="I1018" t="str">
            <v>Zhang, Lingwei</v>
          </cell>
          <cell r="J1018" t="str">
            <v>Walt Augustin</v>
          </cell>
          <cell r="L1018" t="str">
            <v/>
          </cell>
          <cell r="M1018" t="str">
            <v/>
          </cell>
          <cell r="N1018" t="str">
            <v/>
          </cell>
          <cell r="O1018" t="str">
            <v/>
          </cell>
          <cell r="P1018" t="str">
            <v/>
          </cell>
          <cell r="Q1018" t="str">
            <v/>
          </cell>
          <cell r="R1018" t="str">
            <v>Augustin, W</v>
          </cell>
          <cell r="S1018" t="str">
            <v/>
          </cell>
          <cell r="T1018" t="str">
            <v>Franey, Hank</v>
          </cell>
          <cell r="U1018" t="str">
            <v>Schimpff, Stephen</v>
          </cell>
          <cell r="V1018" t="str">
            <v>Ashworth, John</v>
          </cell>
          <cell r="W1018" t="str">
            <v>Inactive</v>
          </cell>
        </row>
        <row r="1019">
          <cell r="A1019" t="str">
            <v>0298336</v>
          </cell>
          <cell r="B1019" t="str">
            <v xml:space="preserve">  Insurance</v>
          </cell>
          <cell r="C1019">
            <v>611</v>
          </cell>
          <cell r="E1019" t="str">
            <v>D</v>
          </cell>
          <cell r="F1019" t="str">
            <v xml:space="preserve"> </v>
          </cell>
          <cell r="G1019" t="str">
            <v xml:space="preserve"> </v>
          </cell>
          <cell r="H1019" t="str">
            <v>9SNF</v>
          </cell>
          <cell r="I1019" t="str">
            <v>Zhang, Lingwei</v>
          </cell>
          <cell r="J1019" t="str">
            <v>Walt Augustin</v>
          </cell>
          <cell r="L1019" t="str">
            <v/>
          </cell>
          <cell r="M1019" t="str">
            <v/>
          </cell>
          <cell r="N1019" t="str">
            <v/>
          </cell>
          <cell r="O1019" t="str">
            <v/>
          </cell>
          <cell r="P1019" t="str">
            <v/>
          </cell>
          <cell r="Q1019" t="str">
            <v/>
          </cell>
          <cell r="R1019" t="str">
            <v>Augustin, W</v>
          </cell>
          <cell r="S1019" t="str">
            <v/>
          </cell>
          <cell r="T1019" t="str">
            <v>Franey, Hank</v>
          </cell>
          <cell r="U1019" t="str">
            <v>Schimpff, Stephen</v>
          </cell>
          <cell r="V1019" t="str">
            <v>Ashworth, John</v>
          </cell>
          <cell r="W1019" t="str">
            <v>Inactive</v>
          </cell>
        </row>
        <row r="1020">
          <cell r="A1020" t="str">
            <v>0298338</v>
          </cell>
          <cell r="B1020" t="str">
            <v xml:space="preserve">  Depreciation</v>
          </cell>
          <cell r="C1020">
            <v>612</v>
          </cell>
          <cell r="E1020" t="str">
            <v>D</v>
          </cell>
          <cell r="F1020" t="str">
            <v xml:space="preserve"> </v>
          </cell>
          <cell r="G1020" t="str">
            <v xml:space="preserve"> </v>
          </cell>
          <cell r="H1020" t="str">
            <v>9SNF</v>
          </cell>
          <cell r="I1020" t="str">
            <v>Zhang, Lingwei</v>
          </cell>
          <cell r="J1020" t="str">
            <v>Walt Augustin</v>
          </cell>
          <cell r="L1020" t="str">
            <v/>
          </cell>
          <cell r="M1020" t="str">
            <v/>
          </cell>
          <cell r="N1020" t="str">
            <v/>
          </cell>
          <cell r="O1020" t="str">
            <v/>
          </cell>
          <cell r="P1020" t="str">
            <v/>
          </cell>
          <cell r="Q1020" t="str">
            <v/>
          </cell>
          <cell r="R1020" t="str">
            <v>Augustin, W</v>
          </cell>
          <cell r="S1020" t="str">
            <v/>
          </cell>
          <cell r="T1020" t="str">
            <v>Franey, Hank</v>
          </cell>
          <cell r="U1020" t="str">
            <v>Schimpff, Stephen</v>
          </cell>
          <cell r="V1020" t="str">
            <v>Ashworth, John</v>
          </cell>
          <cell r="W1020" t="str">
            <v>Inactive</v>
          </cell>
        </row>
        <row r="1021">
          <cell r="A1021" t="str">
            <v>0298340</v>
          </cell>
          <cell r="B1021" t="str">
            <v xml:space="preserve">  Interest Expense</v>
          </cell>
          <cell r="C1021">
            <v>613</v>
          </cell>
          <cell r="E1021" t="str">
            <v>D</v>
          </cell>
          <cell r="F1021" t="str">
            <v xml:space="preserve"> </v>
          </cell>
          <cell r="G1021" t="str">
            <v xml:space="preserve"> </v>
          </cell>
          <cell r="H1021" t="str">
            <v>9SNF</v>
          </cell>
          <cell r="I1021" t="str">
            <v>Zhang, Lingwei</v>
          </cell>
          <cell r="J1021" t="str">
            <v>Walt Augustin</v>
          </cell>
          <cell r="L1021" t="str">
            <v/>
          </cell>
          <cell r="M1021" t="str">
            <v/>
          </cell>
          <cell r="N1021" t="str">
            <v/>
          </cell>
          <cell r="O1021" t="str">
            <v/>
          </cell>
          <cell r="P1021" t="str">
            <v/>
          </cell>
          <cell r="Q1021" t="str">
            <v/>
          </cell>
          <cell r="R1021" t="str">
            <v>Augustin, W</v>
          </cell>
          <cell r="S1021" t="str">
            <v/>
          </cell>
          <cell r="T1021" t="str">
            <v>Franey, Hank</v>
          </cell>
          <cell r="U1021" t="str">
            <v>Schimpff, Stephen</v>
          </cell>
          <cell r="V1021" t="str">
            <v>Ashworth, John</v>
          </cell>
          <cell r="W1021" t="str">
            <v>Inactive</v>
          </cell>
        </row>
        <row r="1022">
          <cell r="A1022" t="str">
            <v>0298342</v>
          </cell>
          <cell r="B1022" t="str">
            <v xml:space="preserve">  Fringe Benefits</v>
          </cell>
          <cell r="C1022">
            <v>614</v>
          </cell>
          <cell r="E1022" t="str">
            <v>D</v>
          </cell>
          <cell r="F1022" t="str">
            <v xml:space="preserve"> </v>
          </cell>
          <cell r="G1022" t="str">
            <v xml:space="preserve"> </v>
          </cell>
          <cell r="H1022" t="str">
            <v>9SNF</v>
          </cell>
          <cell r="I1022" t="str">
            <v>Zhang, Lingwei</v>
          </cell>
          <cell r="J1022" t="str">
            <v>Walt Augustin</v>
          </cell>
          <cell r="L1022" t="str">
            <v/>
          </cell>
          <cell r="M1022" t="str">
            <v/>
          </cell>
          <cell r="N1022" t="str">
            <v/>
          </cell>
          <cell r="O1022" t="str">
            <v/>
          </cell>
          <cell r="P1022" t="str">
            <v/>
          </cell>
          <cell r="Q1022" t="str">
            <v/>
          </cell>
          <cell r="R1022" t="str">
            <v>Augustin, W</v>
          </cell>
          <cell r="S1022" t="str">
            <v/>
          </cell>
          <cell r="T1022" t="str">
            <v>Franey, Hank</v>
          </cell>
          <cell r="U1022" t="str">
            <v>Schimpff, Stephen</v>
          </cell>
          <cell r="V1022" t="str">
            <v>Ashworth, John</v>
          </cell>
          <cell r="W1022" t="str">
            <v>Inactive</v>
          </cell>
        </row>
      </sheetData>
      <sheetData sheetId="2">
        <row r="136">
          <cell r="A136" t="str">
            <v>0467361</v>
          </cell>
          <cell r="B136" t="str">
            <v xml:space="preserve">  Radiation Oncology</v>
          </cell>
          <cell r="C136">
            <v>630</v>
          </cell>
          <cell r="F136" t="str">
            <v xml:space="preserve"> </v>
          </cell>
          <cell r="G136" t="str">
            <v xml:space="preserve"> </v>
          </cell>
          <cell r="H136" t="str">
            <v>4INAC</v>
          </cell>
          <cell r="I136" t="str">
            <v>Zhang, Lingwei</v>
          </cell>
          <cell r="J136" t="str">
            <v>Walt Augustin</v>
          </cell>
          <cell r="K136" t="str">
            <v>B. Rayme</v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>Augustin, W</v>
          </cell>
          <cell r="S136" t="str">
            <v/>
          </cell>
          <cell r="T136" t="str">
            <v>Franey, Hank</v>
          </cell>
          <cell r="U136" t="str">
            <v>Schimpff, Stephen</v>
          </cell>
          <cell r="V136" t="str">
            <v>Ashworth, John</v>
          </cell>
          <cell r="W136" t="str">
            <v>Inactive</v>
          </cell>
        </row>
        <row r="137">
          <cell r="A137" t="str">
            <v>0476457</v>
          </cell>
          <cell r="B137" t="str">
            <v xml:space="preserve">  Patient Care Services</v>
          </cell>
          <cell r="C137">
            <v>641</v>
          </cell>
          <cell r="F137" t="str">
            <v xml:space="preserve"> </v>
          </cell>
          <cell r="G137" t="str">
            <v xml:space="preserve"> </v>
          </cell>
          <cell r="H137" t="str">
            <v>4INAC</v>
          </cell>
          <cell r="I137" t="str">
            <v>Zhang, Lingwei</v>
          </cell>
          <cell r="J137" t="str">
            <v>Walt Augustin</v>
          </cell>
          <cell r="K137" t="str">
            <v>B. Rayme</v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>Augustin, W</v>
          </cell>
          <cell r="S137" t="str">
            <v/>
          </cell>
          <cell r="T137" t="str">
            <v>Franey, Hank</v>
          </cell>
          <cell r="U137" t="str">
            <v>Schimpff, Stephen</v>
          </cell>
          <cell r="V137" t="str">
            <v>Ashworth, John</v>
          </cell>
          <cell r="W137" t="str">
            <v>Inactive</v>
          </cell>
        </row>
        <row r="138">
          <cell r="A138" t="str">
            <v>0476440</v>
          </cell>
          <cell r="B138" t="str">
            <v xml:space="preserve">  Outpatient Pharmacy</v>
          </cell>
          <cell r="C138">
            <v>631</v>
          </cell>
          <cell r="E138" t="str">
            <v>R</v>
          </cell>
          <cell r="F138" t="str">
            <v xml:space="preserve"> </v>
          </cell>
          <cell r="G138" t="str">
            <v xml:space="preserve"> </v>
          </cell>
          <cell r="H138" t="str">
            <v>4INAC</v>
          </cell>
          <cell r="I138" t="str">
            <v>Zhang, Lingwei</v>
          </cell>
          <cell r="J138" t="str">
            <v>Walt Augustin</v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>Augustin, W</v>
          </cell>
          <cell r="S138" t="str">
            <v/>
          </cell>
          <cell r="T138" t="str">
            <v>Franey, Hank</v>
          </cell>
          <cell r="U138" t="str">
            <v>Schimpff, Stephen</v>
          </cell>
          <cell r="V138" t="str">
            <v>Ashworth, John</v>
          </cell>
          <cell r="W138" t="str">
            <v>Inactive</v>
          </cell>
        </row>
        <row r="139">
          <cell r="A139" t="str">
            <v>0476480</v>
          </cell>
          <cell r="B139" t="str">
            <v xml:space="preserve">  Mobile Mammography</v>
          </cell>
          <cell r="C139">
            <v>649</v>
          </cell>
          <cell r="E139" t="str">
            <v>C</v>
          </cell>
          <cell r="F139" t="str">
            <v xml:space="preserve"> </v>
          </cell>
          <cell r="G139" t="str">
            <v xml:space="preserve"> </v>
          </cell>
          <cell r="H139" t="str">
            <v>4INAC</v>
          </cell>
          <cell r="I139" t="str">
            <v>Zhang, Lingwei</v>
          </cell>
          <cell r="J139" t="str">
            <v>Walt Augustin</v>
          </cell>
          <cell r="K139" t="str">
            <v>K. Franz</v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>Augustin, W</v>
          </cell>
          <cell r="S139" t="str">
            <v/>
          </cell>
          <cell r="T139" t="str">
            <v>Franey, Hank</v>
          </cell>
          <cell r="U139" t="str">
            <v>Schimpff, Stephen</v>
          </cell>
          <cell r="V139" t="str">
            <v>Ashworth, John</v>
          </cell>
          <cell r="W139" t="str">
            <v>Inactive</v>
          </cell>
        </row>
        <row r="140">
          <cell r="A140" t="str">
            <v>0478263</v>
          </cell>
          <cell r="B140" t="str">
            <v xml:space="preserve">  Residents</v>
          </cell>
          <cell r="C140">
            <v>651</v>
          </cell>
          <cell r="F140" t="str">
            <v xml:space="preserve"> </v>
          </cell>
          <cell r="G140" t="str">
            <v xml:space="preserve"> </v>
          </cell>
          <cell r="H140" t="str">
            <v>4INAC</v>
          </cell>
          <cell r="I140" t="str">
            <v>Naqvi, Mariam</v>
          </cell>
          <cell r="J140" t="str">
            <v>Walt Augustin</v>
          </cell>
          <cell r="L140" t="str">
            <v/>
          </cell>
          <cell r="M140" t="str">
            <v>Zanti, Laura</v>
          </cell>
          <cell r="N140" t="str">
            <v>Rorison, David</v>
          </cell>
          <cell r="O140" t="str">
            <v/>
          </cell>
          <cell r="P140" t="str">
            <v/>
          </cell>
          <cell r="Q140" t="str">
            <v/>
          </cell>
          <cell r="R140" t="str">
            <v>Augustin, W</v>
          </cell>
          <cell r="S140" t="str">
            <v/>
          </cell>
          <cell r="T140" t="str">
            <v>Franey, Hank</v>
          </cell>
          <cell r="U140" t="str">
            <v>Schimpff, Stephen</v>
          </cell>
          <cell r="V140" t="str">
            <v>Ashworth, John</v>
          </cell>
          <cell r="W140" t="str">
            <v>Inactive</v>
          </cell>
        </row>
      </sheetData>
      <sheetData sheetId="3">
        <row r="208">
          <cell r="A208" t="str">
            <v>0787838</v>
          </cell>
          <cell r="B208" t="str">
            <v xml:space="preserve">  Biomedia Services</v>
          </cell>
          <cell r="C208">
            <v>762</v>
          </cell>
          <cell r="E208" t="str">
            <v>C</v>
          </cell>
          <cell r="F208" t="str">
            <v xml:space="preserve"> </v>
          </cell>
          <cell r="G208" t="str">
            <v xml:space="preserve"> </v>
          </cell>
          <cell r="H208" t="str">
            <v>7INAC</v>
          </cell>
          <cell r="I208" t="str">
            <v>Zhang, Lingwei</v>
          </cell>
          <cell r="J208" t="str">
            <v>Walt Augustin</v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>Augustin, W</v>
          </cell>
          <cell r="S208" t="str">
            <v/>
          </cell>
          <cell r="T208" t="str">
            <v>Franey, Hank</v>
          </cell>
          <cell r="U208" t="str">
            <v>Schimpff, Stephen</v>
          </cell>
          <cell r="V208" t="str">
            <v>Ashworth, John</v>
          </cell>
          <cell r="W208" t="str">
            <v>Inactive</v>
          </cell>
        </row>
        <row r="209">
          <cell r="A209" t="str">
            <v>0787839</v>
          </cell>
          <cell r="B209" t="str">
            <v xml:space="preserve">  Editorial/Publication</v>
          </cell>
          <cell r="C209">
            <v>763</v>
          </cell>
          <cell r="E209" t="str">
            <v>C</v>
          </cell>
          <cell r="F209" t="str">
            <v xml:space="preserve"> </v>
          </cell>
          <cell r="G209" t="str">
            <v xml:space="preserve"> </v>
          </cell>
          <cell r="H209" t="str">
            <v>7INAC</v>
          </cell>
          <cell r="I209" t="str">
            <v>Zhang, Lingwei</v>
          </cell>
          <cell r="J209" t="str">
            <v>Walt Augustin</v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>Augustin, W</v>
          </cell>
          <cell r="S209" t="str">
            <v/>
          </cell>
          <cell r="T209" t="str">
            <v>Franey, Hank</v>
          </cell>
          <cell r="U209" t="str">
            <v>Schimpff, Stephen</v>
          </cell>
          <cell r="V209" t="str">
            <v>Ashworth, John</v>
          </cell>
          <cell r="W209" t="str">
            <v>Inactive</v>
          </cell>
        </row>
        <row r="210">
          <cell r="A210" t="str">
            <v>0767983</v>
          </cell>
          <cell r="B210" t="str">
            <v xml:space="preserve">  Operating Room Ancillaries</v>
          </cell>
          <cell r="C210">
            <v>730</v>
          </cell>
          <cell r="H210" t="str">
            <v>7INAC</v>
          </cell>
          <cell r="I210" t="str">
            <v>Zhang, Lingwei</v>
          </cell>
          <cell r="J210" t="str">
            <v>Walt Augustin</v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>Augustin, W</v>
          </cell>
          <cell r="S210" t="str">
            <v/>
          </cell>
          <cell r="T210" t="str">
            <v>Franey, Hank</v>
          </cell>
          <cell r="U210" t="str">
            <v>Schimpff, Stephen</v>
          </cell>
          <cell r="V210" t="str">
            <v>Ashworth, John</v>
          </cell>
          <cell r="W210" t="str">
            <v>Inactive</v>
          </cell>
        </row>
        <row r="211">
          <cell r="A211" t="str">
            <v>0787844</v>
          </cell>
          <cell r="B211" t="str">
            <v xml:space="preserve">  Evaluation</v>
          </cell>
          <cell r="C211">
            <v>765</v>
          </cell>
          <cell r="E211" t="str">
            <v>C</v>
          </cell>
          <cell r="F211" t="str">
            <v xml:space="preserve"> </v>
          </cell>
          <cell r="G211" t="str">
            <v xml:space="preserve"> </v>
          </cell>
          <cell r="H211" t="str">
            <v>7INAC</v>
          </cell>
          <cell r="I211" t="str">
            <v>Zhang, Lingwei</v>
          </cell>
          <cell r="J211" t="str">
            <v>Walt Augustin</v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>Augustin, W</v>
          </cell>
          <cell r="S211" t="str">
            <v/>
          </cell>
          <cell r="T211" t="str">
            <v>Franey, Hank</v>
          </cell>
          <cell r="U211" t="str">
            <v>Schimpff, Stephen</v>
          </cell>
          <cell r="V211" t="str">
            <v>Ashworth, John</v>
          </cell>
          <cell r="W211" t="str">
            <v>Inactive</v>
          </cell>
        </row>
        <row r="212">
          <cell r="A212" t="str">
            <v>0787890</v>
          </cell>
          <cell r="B212" t="str">
            <v xml:space="preserve">  Research</v>
          </cell>
          <cell r="C212">
            <v>767</v>
          </cell>
          <cell r="E212" t="str">
            <v>C</v>
          </cell>
          <cell r="F212" t="str">
            <v xml:space="preserve"> </v>
          </cell>
          <cell r="G212" t="str">
            <v xml:space="preserve"> </v>
          </cell>
          <cell r="H212" t="str">
            <v>7INAC</v>
          </cell>
          <cell r="I212" t="str">
            <v>Zhang, Lingwei</v>
          </cell>
          <cell r="J212" t="str">
            <v>Walt Augustin</v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>Augustin, W</v>
          </cell>
          <cell r="S212" t="str">
            <v/>
          </cell>
          <cell r="T212" t="str">
            <v>Franey, Hank</v>
          </cell>
          <cell r="U212" t="str">
            <v>Schimpff, Stephen</v>
          </cell>
          <cell r="V212" t="str">
            <v>Ashworth, John</v>
          </cell>
          <cell r="W212" t="str">
            <v>Inactive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Input TB"/>
      <sheetName val="Master Table"/>
      <sheetName val="E_XI"/>
      <sheetName val="S1"/>
      <sheetName val="RE"/>
      <sheetName val="RER"/>
      <sheetName val="RE Input"/>
      <sheetName val="Expense TB"/>
      <sheetName val="Volume"/>
      <sheetName val="Revenue"/>
      <sheetName val="Statistic (Js) Input"/>
      <sheetName val="P1 Input"/>
      <sheetName val="ACS Input"/>
      <sheetName val="ACS"/>
      <sheetName val="DP1 Input"/>
      <sheetName val="E,F,UR Alloc"/>
      <sheetName val="EC"/>
      <sheetName val="S4"/>
      <sheetName val="E_I"/>
      <sheetName val="PDA"/>
      <sheetName val="PDA Input"/>
      <sheetName val="S3"/>
      <sheetName val="PY RO"/>
      <sheetName val="URS Input"/>
      <sheetName val="H1_H4 Input"/>
      <sheetName val="H2 Input"/>
      <sheetName val="Equip Fac Allow_Hist Lease Pur"/>
      <sheetName val="G_GR Input"/>
      <sheetName val="GR"/>
      <sheetName val="AHA Input"/>
      <sheetName val="TRE Input"/>
      <sheetName val="SB Input"/>
      <sheetName val="RAT Sched"/>
      <sheetName val="AMS Sched"/>
      <sheetName val="Trauma Standby"/>
      <sheetName val="Trauma Dept"/>
      <sheetName val="P3 Input"/>
      <sheetName val="OFC Input"/>
      <sheetName val="P4 Input"/>
      <sheetName val="Don Service Exp"/>
      <sheetName val="P2 Input"/>
      <sheetName val="XX"/>
      <sheetName val="V1"/>
      <sheetName val="V2"/>
      <sheetName val="V3"/>
      <sheetName val="V5"/>
      <sheetName val="DP"/>
      <sheetName val="UA"/>
      <sheetName val="P1"/>
      <sheetName val="P2"/>
      <sheetName val="P3"/>
      <sheetName val="P4"/>
      <sheetName val="P5"/>
      <sheetName val="CDs"/>
      <sheetName val="Es"/>
      <sheetName val="Fs"/>
      <sheetName val="OA"/>
      <sheetName val="AHA"/>
      <sheetName val="Js"/>
      <sheetName val="H1"/>
      <sheetName val="H2"/>
      <sheetName val="H3"/>
      <sheetName val="H4"/>
      <sheetName val="UR"/>
      <sheetName val="URS"/>
      <sheetName val="TRE"/>
      <sheetName val="RAT"/>
      <sheetName val="AMS"/>
      <sheetName val="SB"/>
      <sheetName val="SBC"/>
      <sheetName val="MTC"/>
      <sheetName val="S2"/>
      <sheetName val="S8"/>
      <sheetName val="E_II"/>
      <sheetName val="E_III"/>
      <sheetName val="E_IV"/>
      <sheetName val="E_V"/>
      <sheetName val="E_VI"/>
      <sheetName val="E_VII"/>
      <sheetName val="E_VIII"/>
      <sheetName val="E_IX"/>
      <sheetName val="E_X"/>
      <sheetName val="Ms"/>
      <sheetName val="PY_M"/>
      <sheetName val="Input M"/>
      <sheetName val="M Comp1"/>
      <sheetName val="M Comp2"/>
      <sheetName val="TB Comp"/>
      <sheetName val="Hospital Phys Cost"/>
      <sheetName val="Med Ed Cost"/>
      <sheetName val="RR"/>
      <sheetName val="Instructions"/>
      <sheetName val="Rct"/>
      <sheetName val="Cvr"/>
      <sheetName val="Sig"/>
      <sheetName val="Sch"/>
      <sheetName val="cdefhpv"/>
      <sheetName val="rev5pda"/>
      <sheetName val="Print"/>
    </sheetNames>
    <sheetDataSet>
      <sheetData sheetId="0">
        <row r="17">
          <cell r="B1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Input M"/>
      <sheetName val="Input TB"/>
      <sheetName val="Master Table"/>
      <sheetName val="Expense TB"/>
      <sheetName val="Revenue"/>
      <sheetName val="Volume"/>
      <sheetName val="Statistic (Js) Input"/>
      <sheetName val="RE Input"/>
      <sheetName val="P1 Input"/>
      <sheetName val="P3 Input"/>
      <sheetName val="P4 Input"/>
      <sheetName val="Don Service Exp"/>
      <sheetName val="ACS Input"/>
      <sheetName val="DP1 Input"/>
      <sheetName val="P2 Input"/>
      <sheetName val="E,F,UR Alloc"/>
      <sheetName val="PDA Input"/>
      <sheetName val="PY RO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V1"/>
      <sheetName val="V2"/>
      <sheetName val="V3"/>
      <sheetName val="V5"/>
      <sheetName val="DP"/>
      <sheetName val="UA"/>
      <sheetName val="P1"/>
      <sheetName val="P2"/>
      <sheetName val="P3"/>
      <sheetName val="P4"/>
      <sheetName val="P5"/>
      <sheetName val="CDs"/>
      <sheetName val="Es"/>
      <sheetName val="Fs"/>
      <sheetName val="OA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8"/>
      <sheetName val="S5"/>
      <sheetName val="S6"/>
      <sheetName val="E_I"/>
      <sheetName val="E_II"/>
      <sheetName val="E_III"/>
      <sheetName val="E_IV"/>
      <sheetName val="E_V"/>
      <sheetName val="E_VI"/>
      <sheetName val="E_VII"/>
      <sheetName val="E_VIII"/>
      <sheetName val="E_IX"/>
      <sheetName val="E_X"/>
      <sheetName val="M Comp1"/>
      <sheetName val="M Comp2"/>
      <sheetName val="TB Comp"/>
      <sheetName val="RR"/>
      <sheetName val="PY_M"/>
      <sheetName val="EC"/>
      <sheetName val="Instructions"/>
      <sheetName val="Rct"/>
      <sheetName val="Cvr"/>
      <sheetName val="Sig"/>
      <sheetName val="Sch"/>
      <sheetName val="cdefhpv"/>
      <sheetName val="rev5pda"/>
      <sheetName val="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>
            <v>1</v>
          </cell>
          <cell r="C2" t="str">
            <v>RE</v>
          </cell>
          <cell r="D2" t="str">
            <v>REGULATE</v>
          </cell>
          <cell r="E2">
            <v>83618</v>
          </cell>
          <cell r="F2">
            <v>35308.199999999997</v>
          </cell>
          <cell r="G2">
            <v>105617.3</v>
          </cell>
          <cell r="H2">
            <v>76807.199999999997</v>
          </cell>
          <cell r="I2">
            <v>301350.7</v>
          </cell>
          <cell r="J2">
            <v>11034.9</v>
          </cell>
          <cell r="K2">
            <v>10647.3</v>
          </cell>
          <cell r="L2">
            <v>25236.700000000004</v>
          </cell>
          <cell r="M2">
            <v>21682.199999999997</v>
          </cell>
          <cell r="N2">
            <v>0.49106179262251987</v>
          </cell>
        </row>
        <row r="3">
          <cell r="B3">
            <v>2</v>
          </cell>
          <cell r="C3" t="str">
            <v>RE</v>
          </cell>
          <cell r="D3" t="str">
            <v>REGULATE</v>
          </cell>
          <cell r="E3">
            <v>269540.40000000002</v>
          </cell>
          <cell r="F3">
            <v>110336.4</v>
          </cell>
          <cell r="G3">
            <v>587460.1</v>
          </cell>
          <cell r="H3">
            <v>274264.59999999998</v>
          </cell>
          <cell r="I3">
            <v>1241601.5</v>
          </cell>
          <cell r="J3">
            <v>23156.535205104807</v>
          </cell>
          <cell r="K3">
            <v>43850</v>
          </cell>
          <cell r="L3">
            <v>58430.609250000001</v>
          </cell>
          <cell r="M3">
            <v>67006.53520510481</v>
          </cell>
          <cell r="N3">
            <v>0.65441378017497231</v>
          </cell>
        </row>
        <row r="4">
          <cell r="B4">
            <v>3</v>
          </cell>
          <cell r="C4" t="str">
            <v>RE</v>
          </cell>
          <cell r="D4" t="str">
            <v>REGULATE</v>
          </cell>
          <cell r="E4">
            <v>33139.866159999998</v>
          </cell>
          <cell r="F4">
            <v>27766.645740000004</v>
          </cell>
          <cell r="G4">
            <v>142399.66799999998</v>
          </cell>
          <cell r="H4">
            <v>45886.374690000004</v>
          </cell>
          <cell r="I4">
            <v>249192.55458999999</v>
          </cell>
          <cell r="J4">
            <v>16709.603139999999</v>
          </cell>
          <cell r="K4">
            <v>21929.912420000001</v>
          </cell>
          <cell r="L4">
            <v>13731.10677</v>
          </cell>
          <cell r="M4">
            <v>38639.51556</v>
          </cell>
          <cell r="N4">
            <v>0.56755143283168019</v>
          </cell>
        </row>
        <row r="5">
          <cell r="B5">
            <v>4</v>
          </cell>
          <cell r="C5" t="str">
            <v>RE</v>
          </cell>
          <cell r="D5" t="str">
            <v>REGULATE</v>
          </cell>
          <cell r="E5">
            <v>133631.9</v>
          </cell>
          <cell r="F5">
            <v>42792</v>
          </cell>
          <cell r="G5">
            <v>186851.6</v>
          </cell>
          <cell r="H5">
            <v>98075.7</v>
          </cell>
          <cell r="I5">
            <v>461351.2</v>
          </cell>
          <cell r="J5">
            <v>19308.400000000001</v>
          </cell>
          <cell r="K5">
            <v>23411.7</v>
          </cell>
          <cell r="L5">
            <v>20092.100000000002</v>
          </cell>
          <cell r="M5">
            <v>42720.100000000006</v>
          </cell>
          <cell r="N5">
            <v>0.54802540256225984</v>
          </cell>
        </row>
        <row r="6">
          <cell r="B6">
            <v>5</v>
          </cell>
          <cell r="C6" t="str">
            <v>RE</v>
          </cell>
          <cell r="D6" t="str">
            <v>REGULATE</v>
          </cell>
          <cell r="E6">
            <v>74664.7</v>
          </cell>
          <cell r="F6">
            <v>28819.8</v>
          </cell>
          <cell r="G6">
            <v>118965.6</v>
          </cell>
          <cell r="H6">
            <v>114643.6</v>
          </cell>
          <cell r="I6">
            <v>337093.7</v>
          </cell>
          <cell r="J6">
            <v>11344.03976</v>
          </cell>
          <cell r="K6">
            <v>8974.5555700000004</v>
          </cell>
          <cell r="L6">
            <v>29854.466109999994</v>
          </cell>
          <cell r="M6">
            <v>20318.59533</v>
          </cell>
          <cell r="N6">
            <v>0.44169173233886144</v>
          </cell>
        </row>
        <row r="7">
          <cell r="B7">
            <v>6</v>
          </cell>
          <cell r="C7" t="str">
            <v>RE</v>
          </cell>
          <cell r="D7" t="str">
            <v>REGULATE</v>
          </cell>
          <cell r="E7">
            <v>22843.7</v>
          </cell>
          <cell r="F7">
            <v>17746.2</v>
          </cell>
          <cell r="G7">
            <v>23667.9</v>
          </cell>
          <cell r="H7">
            <v>39241.5</v>
          </cell>
          <cell r="I7">
            <v>103499.3</v>
          </cell>
          <cell r="J7">
            <v>9045.6508199999971</v>
          </cell>
          <cell r="K7">
            <v>3830.7106100000001</v>
          </cell>
          <cell r="L7">
            <v>9290.1</v>
          </cell>
          <cell r="M7">
            <v>12876.361429999997</v>
          </cell>
          <cell r="N7">
            <v>0.29749946293640195</v>
          </cell>
        </row>
        <row r="8">
          <cell r="B8">
            <v>8</v>
          </cell>
          <cell r="C8" t="str">
            <v>RE</v>
          </cell>
          <cell r="D8" t="str">
            <v>REGULATE</v>
          </cell>
          <cell r="E8">
            <v>77519.3</v>
          </cell>
          <cell r="F8">
            <v>54419.9</v>
          </cell>
          <cell r="G8">
            <v>153178.4</v>
          </cell>
          <cell r="H8">
            <v>185642</v>
          </cell>
          <cell r="I8">
            <v>470759.6</v>
          </cell>
          <cell r="J8">
            <v>21787.3</v>
          </cell>
          <cell r="K8">
            <v>17220.77</v>
          </cell>
          <cell r="L8">
            <v>13240.816999999997</v>
          </cell>
          <cell r="M8">
            <v>39008.07</v>
          </cell>
          <cell r="N8">
            <v>0.44146685544811626</v>
          </cell>
        </row>
        <row r="9">
          <cell r="B9">
            <v>9</v>
          </cell>
          <cell r="C9" t="str">
            <v>RE</v>
          </cell>
          <cell r="D9" t="str">
            <v>REGULATE</v>
          </cell>
          <cell r="E9">
            <v>552092.19999999995</v>
          </cell>
          <cell r="F9">
            <v>217246.5</v>
          </cell>
          <cell r="G9">
            <v>780124.1</v>
          </cell>
          <cell r="H9">
            <v>582956.19999999995</v>
          </cell>
          <cell r="I9">
            <v>2132419</v>
          </cell>
          <cell r="J9">
            <v>59339.9</v>
          </cell>
          <cell r="K9">
            <v>31611.5</v>
          </cell>
          <cell r="L9">
            <v>205371.45299999998</v>
          </cell>
          <cell r="M9">
            <v>90951.4</v>
          </cell>
          <cell r="N9">
            <v>0.34756474336843635</v>
          </cell>
        </row>
        <row r="10">
          <cell r="B10">
            <v>10</v>
          </cell>
          <cell r="C10" t="str">
            <v>RE</v>
          </cell>
          <cell r="D10" t="str">
            <v>REGULATE</v>
          </cell>
          <cell r="E10">
            <v>14298.8</v>
          </cell>
          <cell r="F10">
            <v>10467.799999999999</v>
          </cell>
          <cell r="G10">
            <v>12357</v>
          </cell>
          <cell r="H10">
            <v>22774.3</v>
          </cell>
          <cell r="I10">
            <v>59897.899999999994</v>
          </cell>
          <cell r="J10">
            <v>1512.7807699999998</v>
          </cell>
          <cell r="K10">
            <v>2673.3466100000001</v>
          </cell>
          <cell r="L10">
            <v>4696.4199585030856</v>
          </cell>
          <cell r="M10">
            <v>4186.1273799999999</v>
          </cell>
          <cell r="N10">
            <v>0.6386204640528641</v>
          </cell>
        </row>
        <row r="11">
          <cell r="B11">
            <v>11</v>
          </cell>
          <cell r="C11" t="str">
            <v>RE</v>
          </cell>
          <cell r="D11" t="str">
            <v>REGULATE</v>
          </cell>
          <cell r="E11">
            <v>90414.2</v>
          </cell>
          <cell r="F11">
            <v>32197.9</v>
          </cell>
          <cell r="G11">
            <v>150713.20000000001</v>
          </cell>
          <cell r="H11">
            <v>131344.6</v>
          </cell>
          <cell r="I11">
            <v>404669.9</v>
          </cell>
          <cell r="J11">
            <v>14777.076880000002</v>
          </cell>
          <cell r="K11">
            <v>17426.897109999998</v>
          </cell>
          <cell r="L11">
            <v>17939.583019999991</v>
          </cell>
          <cell r="M11">
            <v>32203.973989999999</v>
          </cell>
          <cell r="N11">
            <v>0.54114119938773431</v>
          </cell>
        </row>
        <row r="12">
          <cell r="B12">
            <v>12</v>
          </cell>
          <cell r="C12" t="str">
            <v>RE</v>
          </cell>
          <cell r="D12" t="str">
            <v>REGULATE</v>
          </cell>
          <cell r="E12">
            <v>161745.79999999999</v>
          </cell>
          <cell r="F12">
            <v>89584.9</v>
          </cell>
          <cell r="G12">
            <v>266787.7</v>
          </cell>
          <cell r="H12">
            <v>166398.39999999999</v>
          </cell>
          <cell r="I12">
            <v>684516.8</v>
          </cell>
          <cell r="J12">
            <v>26805.699999999997</v>
          </cell>
          <cell r="K12">
            <v>10254.200000000001</v>
          </cell>
          <cell r="L12">
            <v>69061.000000000015</v>
          </cell>
          <cell r="M12">
            <v>37059.899999999994</v>
          </cell>
          <cell r="N12">
            <v>0.27669259765946486</v>
          </cell>
        </row>
        <row r="13">
          <cell r="B13">
            <v>13</v>
          </cell>
          <cell r="C13" t="str">
            <v>RE</v>
          </cell>
          <cell r="D13" t="str">
            <v>REGULATE</v>
          </cell>
          <cell r="E13">
            <v>34968.6</v>
          </cell>
          <cell r="F13">
            <v>19622.099999999999</v>
          </cell>
          <cell r="G13">
            <v>39307.9</v>
          </cell>
          <cell r="H13">
            <v>27145.5</v>
          </cell>
          <cell r="I13">
            <v>121044.1</v>
          </cell>
          <cell r="J13">
            <v>10050.071970000001</v>
          </cell>
          <cell r="K13">
            <v>11884.57252</v>
          </cell>
          <cell r="L13">
            <v>11156.97345</v>
          </cell>
          <cell r="M13">
            <v>21934.644489999999</v>
          </cell>
          <cell r="N13">
            <v>0.54181742154144208</v>
          </cell>
        </row>
        <row r="14">
          <cell r="B14">
            <v>15</v>
          </cell>
          <cell r="C14" t="str">
            <v>RE</v>
          </cell>
          <cell r="D14" t="str">
            <v>REGULATE</v>
          </cell>
          <cell r="E14">
            <v>131294.39999999999</v>
          </cell>
          <cell r="F14">
            <v>52013.1</v>
          </cell>
          <cell r="G14">
            <v>152505.1</v>
          </cell>
          <cell r="H14">
            <v>133979.6</v>
          </cell>
          <cell r="I14">
            <v>469792.19999999995</v>
          </cell>
          <cell r="J14">
            <v>18222.099000000002</v>
          </cell>
          <cell r="K14">
            <v>14943.857</v>
          </cell>
          <cell r="L14">
            <v>43653.597999999969</v>
          </cell>
          <cell r="M14">
            <v>33165.956000000006</v>
          </cell>
          <cell r="N14">
            <v>0.45057820736420195</v>
          </cell>
        </row>
        <row r="15">
          <cell r="B15">
            <v>16</v>
          </cell>
          <cell r="C15" t="str">
            <v>RE</v>
          </cell>
          <cell r="D15" t="str">
            <v>REGULATE</v>
          </cell>
          <cell r="E15">
            <v>63827.6</v>
          </cell>
          <cell r="F15">
            <v>21912.1</v>
          </cell>
          <cell r="G15">
            <v>91901.8</v>
          </cell>
          <cell r="H15">
            <v>68258.899999999994</v>
          </cell>
          <cell r="I15">
            <v>245900.4</v>
          </cell>
          <cell r="J15">
            <v>20223.05</v>
          </cell>
          <cell r="K15">
            <v>14404.325000000001</v>
          </cell>
          <cell r="L15">
            <v>16737.883000000002</v>
          </cell>
          <cell r="M15">
            <v>34627.375</v>
          </cell>
          <cell r="N15">
            <v>0.41598085329887124</v>
          </cell>
        </row>
        <row r="16">
          <cell r="B16">
            <v>17</v>
          </cell>
          <cell r="C16" t="str">
            <v>RE</v>
          </cell>
          <cell r="D16" t="str">
            <v>REGULATE</v>
          </cell>
          <cell r="E16">
            <v>7648.6</v>
          </cell>
          <cell r="F16">
            <v>5934.4</v>
          </cell>
          <cell r="G16">
            <v>11566.8</v>
          </cell>
          <cell r="H16">
            <v>17152.599999999999</v>
          </cell>
          <cell r="I16">
            <v>42302.399999999994</v>
          </cell>
          <cell r="J16">
            <v>1937.3466323216869</v>
          </cell>
          <cell r="K16">
            <v>2656.0696277308452</v>
          </cell>
          <cell r="L16">
            <v>2345.4767704078217</v>
          </cell>
          <cell r="M16">
            <v>4593.4162600525324</v>
          </cell>
          <cell r="N16">
            <v>0.578234037012894</v>
          </cell>
        </row>
        <row r="17">
          <cell r="B17">
            <v>18</v>
          </cell>
          <cell r="C17" t="str">
            <v>RE</v>
          </cell>
          <cell r="D17" t="str">
            <v>REGULATE</v>
          </cell>
          <cell r="E17">
            <v>34460</v>
          </cell>
          <cell r="F17">
            <v>23517.8</v>
          </cell>
          <cell r="G17">
            <v>55060.800000000003</v>
          </cell>
          <cell r="H17">
            <v>53830.5</v>
          </cell>
          <cell r="I17">
            <v>166869.1</v>
          </cell>
          <cell r="J17">
            <v>4998.4441500000003</v>
          </cell>
          <cell r="K17">
            <v>5999.259</v>
          </cell>
          <cell r="L17">
            <v>14297.183489999999</v>
          </cell>
          <cell r="M17">
            <v>10997.703150000001</v>
          </cell>
          <cell r="N17">
            <v>0.5455010849242643</v>
          </cell>
        </row>
        <row r="18">
          <cell r="B18">
            <v>19</v>
          </cell>
          <cell r="C18" t="str">
            <v>RE</v>
          </cell>
          <cell r="D18" t="str">
            <v>REGULATE</v>
          </cell>
          <cell r="E18">
            <v>85807.7</v>
          </cell>
          <cell r="F18">
            <v>32356.5</v>
          </cell>
          <cell r="G18">
            <v>151934.1</v>
          </cell>
          <cell r="H18">
            <v>142543.20000000001</v>
          </cell>
          <cell r="I18">
            <v>412641.5</v>
          </cell>
          <cell r="J18">
            <v>14148.1</v>
          </cell>
          <cell r="K18">
            <v>14186.400000000001</v>
          </cell>
          <cell r="L18">
            <v>12254.699999999997</v>
          </cell>
          <cell r="M18">
            <v>28334.5</v>
          </cell>
          <cell r="N18">
            <v>0.50067585452363728</v>
          </cell>
        </row>
        <row r="19">
          <cell r="B19">
            <v>22</v>
          </cell>
          <cell r="C19" t="str">
            <v>RE</v>
          </cell>
          <cell r="D19" t="str">
            <v>REGULATE</v>
          </cell>
          <cell r="E19">
            <v>59640.1</v>
          </cell>
          <cell r="F19">
            <v>24458.2</v>
          </cell>
          <cell r="G19">
            <v>122607.8</v>
          </cell>
          <cell r="H19">
            <v>73872.399999999994</v>
          </cell>
          <cell r="I19">
            <v>280578.5</v>
          </cell>
          <cell r="J19">
            <v>9152.64</v>
          </cell>
          <cell r="K19">
            <v>5070.54</v>
          </cell>
          <cell r="L19">
            <v>10834.34</v>
          </cell>
          <cell r="M19">
            <v>14223.18</v>
          </cell>
          <cell r="N19">
            <v>0.35649833581519741</v>
          </cell>
        </row>
        <row r="20">
          <cell r="B20">
            <v>23</v>
          </cell>
          <cell r="C20" t="str">
            <v>RE</v>
          </cell>
          <cell r="D20" t="str">
            <v>REGULATE</v>
          </cell>
          <cell r="E20">
            <v>125175.8</v>
          </cell>
          <cell r="F20">
            <v>62330.9</v>
          </cell>
          <cell r="G20">
            <v>185660</v>
          </cell>
          <cell r="H20">
            <v>168701.1</v>
          </cell>
          <cell r="I20">
            <v>541867.80000000005</v>
          </cell>
          <cell r="J20">
            <v>19369.599999999999</v>
          </cell>
          <cell r="K20">
            <v>8859.7000000000007</v>
          </cell>
          <cell r="L20">
            <v>49617.4</v>
          </cell>
          <cell r="M20">
            <v>28229.3</v>
          </cell>
          <cell r="N20">
            <v>0.31384766891137933</v>
          </cell>
        </row>
        <row r="21">
          <cell r="B21">
            <v>24</v>
          </cell>
          <cell r="C21" t="str">
            <v>RE</v>
          </cell>
          <cell r="D21" t="str">
            <v>REGULATE</v>
          </cell>
          <cell r="E21">
            <v>89116</v>
          </cell>
          <cell r="F21">
            <v>33999.800000000003</v>
          </cell>
          <cell r="G21">
            <v>153891.1</v>
          </cell>
          <cell r="H21">
            <v>129575</v>
          </cell>
          <cell r="I21">
            <v>406581.9</v>
          </cell>
          <cell r="J21">
            <v>15559.809850000001</v>
          </cell>
          <cell r="K21">
            <v>17514.686969999999</v>
          </cell>
          <cell r="L21">
            <v>35574.378510000039</v>
          </cell>
          <cell r="M21">
            <v>33074.49682</v>
          </cell>
          <cell r="N21">
            <v>0.52955263583659251</v>
          </cell>
        </row>
        <row r="22">
          <cell r="B22">
            <v>27</v>
          </cell>
          <cell r="C22" t="str">
            <v>RE</v>
          </cell>
          <cell r="D22" t="str">
            <v>REGULATE</v>
          </cell>
          <cell r="E22">
            <v>90801.2</v>
          </cell>
          <cell r="F22">
            <v>31425.599999999999</v>
          </cell>
          <cell r="G22">
            <v>95375</v>
          </cell>
          <cell r="H22">
            <v>96635.6</v>
          </cell>
          <cell r="I22">
            <v>314237.3</v>
          </cell>
          <cell r="J22">
            <v>6189.4</v>
          </cell>
          <cell r="K22">
            <v>15448.5</v>
          </cell>
          <cell r="L22">
            <v>33486.6</v>
          </cell>
          <cell r="M22">
            <v>21637.9</v>
          </cell>
          <cell r="N22">
            <v>0.71395560567337857</v>
          </cell>
        </row>
        <row r="23">
          <cell r="B23">
            <v>28</v>
          </cell>
          <cell r="C23" t="str">
            <v>RE</v>
          </cell>
          <cell r="D23" t="str">
            <v>REGULATE</v>
          </cell>
          <cell r="E23">
            <v>27865.200000000001</v>
          </cell>
          <cell r="F23">
            <v>25901.8</v>
          </cell>
          <cell r="G23">
            <v>41013.1</v>
          </cell>
          <cell r="H23">
            <v>59822.9</v>
          </cell>
          <cell r="I23">
            <v>154603</v>
          </cell>
          <cell r="J23">
            <v>7086.8484800000006</v>
          </cell>
          <cell r="K23">
            <v>6012.4613399999998</v>
          </cell>
          <cell r="L23">
            <v>9476.5835900000002</v>
          </cell>
          <cell r="M23">
            <v>13099.30982</v>
          </cell>
          <cell r="N23">
            <v>0.45899069665641357</v>
          </cell>
        </row>
        <row r="24">
          <cell r="B24">
            <v>29</v>
          </cell>
          <cell r="C24" t="str">
            <v>RE</v>
          </cell>
          <cell r="D24" t="str">
            <v>REGULATE</v>
          </cell>
          <cell r="E24">
            <v>146966.5</v>
          </cell>
          <cell r="F24">
            <v>99203.3</v>
          </cell>
          <cell r="G24">
            <v>212648.4</v>
          </cell>
          <cell r="H24">
            <v>137989.1</v>
          </cell>
          <cell r="I24">
            <v>596807.29999999993</v>
          </cell>
          <cell r="J24">
            <v>29286</v>
          </cell>
          <cell r="K24">
            <v>26118</v>
          </cell>
          <cell r="L24">
            <v>72717</v>
          </cell>
          <cell r="M24">
            <v>55404</v>
          </cell>
          <cell r="N24">
            <v>0.4714100064977258</v>
          </cell>
        </row>
        <row r="25">
          <cell r="B25">
            <v>30</v>
          </cell>
          <cell r="C25" t="str">
            <v>RE</v>
          </cell>
          <cell r="D25" t="str">
            <v>REGULATE</v>
          </cell>
          <cell r="E25">
            <v>14007.6</v>
          </cell>
          <cell r="F25">
            <v>7983.2</v>
          </cell>
          <cell r="G25">
            <v>15643.8</v>
          </cell>
          <cell r="H25">
            <v>25157.200000000001</v>
          </cell>
          <cell r="I25">
            <v>62791.8</v>
          </cell>
          <cell r="J25">
            <v>2417.4426899999999</v>
          </cell>
          <cell r="K25">
            <v>3946.0242200000002</v>
          </cell>
          <cell r="L25">
            <v>4814.1897399999998</v>
          </cell>
          <cell r="M25">
            <v>6363.4669100000001</v>
          </cell>
          <cell r="N25">
            <v>0.62010603273491371</v>
          </cell>
        </row>
        <row r="26">
          <cell r="B26">
            <v>32</v>
          </cell>
          <cell r="C26" t="str">
            <v>RE</v>
          </cell>
          <cell r="D26" t="str">
            <v>REGULATE</v>
          </cell>
          <cell r="E26">
            <v>26387.999999999996</v>
          </cell>
          <cell r="F26">
            <v>13976.000000000002</v>
          </cell>
          <cell r="G26">
            <v>42361.5</v>
          </cell>
          <cell r="H26">
            <v>70647.399999999994</v>
          </cell>
          <cell r="I26">
            <v>153372.9</v>
          </cell>
          <cell r="J26">
            <v>9576.4</v>
          </cell>
          <cell r="K26">
            <v>3747.2</v>
          </cell>
          <cell r="L26">
            <v>4522.1000000000004</v>
          </cell>
          <cell r="M26">
            <v>13323.599999999999</v>
          </cell>
          <cell r="N26">
            <v>0.28124530907562523</v>
          </cell>
        </row>
        <row r="27">
          <cell r="B27">
            <v>33</v>
          </cell>
          <cell r="C27" t="str">
            <v>RE</v>
          </cell>
          <cell r="D27" t="str">
            <v>REGULATE</v>
          </cell>
          <cell r="E27">
            <v>62226.6</v>
          </cell>
          <cell r="F27">
            <v>29454.400000000001</v>
          </cell>
          <cell r="G27">
            <v>77919</v>
          </cell>
          <cell r="H27">
            <v>79475.199999999997</v>
          </cell>
          <cell r="I27">
            <v>249075.20000000001</v>
          </cell>
          <cell r="J27">
            <v>5495.6</v>
          </cell>
          <cell r="K27">
            <v>6199</v>
          </cell>
          <cell r="L27">
            <v>21444.692999999992</v>
          </cell>
          <cell r="M27">
            <v>11694.6</v>
          </cell>
          <cell r="N27">
            <v>0.53007370923332131</v>
          </cell>
        </row>
        <row r="28">
          <cell r="B28">
            <v>34</v>
          </cell>
          <cell r="C28" t="str">
            <v>RE</v>
          </cell>
          <cell r="D28" t="str">
            <v>REGULATE</v>
          </cell>
          <cell r="E28">
            <v>42431.5</v>
          </cell>
          <cell r="F28">
            <v>22674</v>
          </cell>
          <cell r="G28">
            <v>82091</v>
          </cell>
          <cell r="H28">
            <v>53944.5</v>
          </cell>
          <cell r="I28">
            <v>201141</v>
          </cell>
          <cell r="J28">
            <v>9173.0069999999996</v>
          </cell>
          <cell r="K28">
            <v>8102.57</v>
          </cell>
          <cell r="L28">
            <v>18997.00791</v>
          </cell>
          <cell r="M28">
            <v>17275.576999999997</v>
          </cell>
          <cell r="N28">
            <v>0.4690187772020582</v>
          </cell>
        </row>
        <row r="29">
          <cell r="B29">
            <v>35</v>
          </cell>
          <cell r="C29" t="str">
            <v>RE</v>
          </cell>
          <cell r="D29" t="str">
            <v>REGULATE</v>
          </cell>
          <cell r="E29">
            <v>29358.9</v>
          </cell>
          <cell r="F29">
            <v>17600.8</v>
          </cell>
          <cell r="G29">
            <v>44762.400000000001</v>
          </cell>
          <cell r="H29">
            <v>45281.8</v>
          </cell>
          <cell r="I29">
            <v>137003.90000000002</v>
          </cell>
          <cell r="J29">
            <v>5020.0113599999986</v>
          </cell>
          <cell r="K29">
            <v>5199.2</v>
          </cell>
          <cell r="L29">
            <v>3270.47838</v>
          </cell>
          <cell r="M29">
            <v>10219.211359999998</v>
          </cell>
          <cell r="N29">
            <v>0.50876724405081697</v>
          </cell>
        </row>
        <row r="30">
          <cell r="B30">
            <v>37</v>
          </cell>
          <cell r="C30" t="str">
            <v>RE</v>
          </cell>
          <cell r="D30" t="str">
            <v>REGULATE</v>
          </cell>
          <cell r="E30">
            <v>43046.7</v>
          </cell>
          <cell r="F30">
            <v>23574.6</v>
          </cell>
          <cell r="G30">
            <v>53839.6</v>
          </cell>
          <cell r="H30">
            <v>65897.7</v>
          </cell>
          <cell r="I30">
            <v>186358.59999999998</v>
          </cell>
          <cell r="J30">
            <v>3945.1694800000005</v>
          </cell>
          <cell r="K30">
            <v>6971.8002900000001</v>
          </cell>
          <cell r="L30">
            <v>10637.622959999997</v>
          </cell>
          <cell r="M30">
            <v>10916.96977</v>
          </cell>
          <cell r="N30">
            <v>0.63862046308478515</v>
          </cell>
        </row>
        <row r="31">
          <cell r="B31">
            <v>38</v>
          </cell>
          <cell r="C31" t="str">
            <v>RE</v>
          </cell>
          <cell r="D31" t="str">
            <v>REGULATE</v>
          </cell>
          <cell r="E31">
            <v>59465.2</v>
          </cell>
          <cell r="F31">
            <v>30624.6</v>
          </cell>
          <cell r="G31">
            <v>76232.2</v>
          </cell>
          <cell r="H31">
            <v>49851.8</v>
          </cell>
          <cell r="I31">
            <v>216173.8</v>
          </cell>
          <cell r="J31">
            <v>9306.6922400000039</v>
          </cell>
          <cell r="K31">
            <v>23597.304379999998</v>
          </cell>
          <cell r="L31">
            <v>4886.9777199999999</v>
          </cell>
          <cell r="M31">
            <v>32903.996620000005</v>
          </cell>
          <cell r="N31">
            <v>0.71715617566216472</v>
          </cell>
        </row>
        <row r="32">
          <cell r="B32">
            <v>39</v>
          </cell>
          <cell r="C32" t="str">
            <v>RE</v>
          </cell>
          <cell r="D32" t="str">
            <v>REGULATE</v>
          </cell>
          <cell r="E32">
            <v>27880.7</v>
          </cell>
          <cell r="F32">
            <v>19044.5</v>
          </cell>
          <cell r="G32">
            <v>39781.599999999999</v>
          </cell>
          <cell r="H32">
            <v>52156.1</v>
          </cell>
          <cell r="I32">
            <v>138862.9</v>
          </cell>
          <cell r="J32">
            <v>1502.2836351081794</v>
          </cell>
          <cell r="K32">
            <v>7045.8765199999998</v>
          </cell>
          <cell r="L32">
            <v>10710.21486</v>
          </cell>
          <cell r="M32">
            <v>8548.1601551081785</v>
          </cell>
          <cell r="N32">
            <v>0.82425649404679791</v>
          </cell>
        </row>
        <row r="33">
          <cell r="B33">
            <v>40</v>
          </cell>
          <cell r="C33" t="str">
            <v>RE</v>
          </cell>
          <cell r="D33" t="str">
            <v>REGULATE</v>
          </cell>
          <cell r="E33">
            <v>74333.100000000006</v>
          </cell>
          <cell r="F33">
            <v>36626.6</v>
          </cell>
          <cell r="G33">
            <v>70359</v>
          </cell>
          <cell r="H33">
            <v>66934</v>
          </cell>
          <cell r="I33">
            <v>248252.7</v>
          </cell>
          <cell r="J33">
            <v>16923.783000000003</v>
          </cell>
          <cell r="K33">
            <v>3958</v>
          </cell>
          <cell r="L33">
            <v>26082.758590000001</v>
          </cell>
          <cell r="M33">
            <v>20881.783000000003</v>
          </cell>
          <cell r="N33">
            <v>0.18954320136360001</v>
          </cell>
        </row>
        <row r="34">
          <cell r="B34">
            <v>43</v>
          </cell>
          <cell r="C34" t="str">
            <v>RE</v>
          </cell>
          <cell r="D34" t="str">
            <v>REGULATE</v>
          </cell>
          <cell r="E34">
            <v>89775.8</v>
          </cell>
          <cell r="F34">
            <v>37558.1</v>
          </cell>
          <cell r="G34">
            <v>128757</v>
          </cell>
          <cell r="H34">
            <v>120721.9</v>
          </cell>
          <cell r="I34">
            <v>376812.79999999999</v>
          </cell>
          <cell r="J34">
            <v>11135.300000000003</v>
          </cell>
          <cell r="K34">
            <v>25709.000000000007</v>
          </cell>
          <cell r="L34">
            <v>16812.614000000001</v>
          </cell>
          <cell r="M34">
            <v>36844.30000000001</v>
          </cell>
          <cell r="N34">
            <v>0.69777414688296424</v>
          </cell>
        </row>
        <row r="35">
          <cell r="B35">
            <v>44</v>
          </cell>
          <cell r="C35" t="str">
            <v>RE</v>
          </cell>
          <cell r="D35" t="str">
            <v>REGULATE</v>
          </cell>
          <cell r="E35">
            <v>85569</v>
          </cell>
          <cell r="F35">
            <v>43896.9</v>
          </cell>
          <cell r="G35">
            <v>117778.6</v>
          </cell>
          <cell r="H35">
            <v>173893.2</v>
          </cell>
          <cell r="I35">
            <v>421137.7</v>
          </cell>
          <cell r="J35">
            <v>8506.5999999999985</v>
          </cell>
          <cell r="K35">
            <v>4628.8999999999996</v>
          </cell>
          <cell r="L35">
            <v>16552.594000000012</v>
          </cell>
          <cell r="M35">
            <v>13135.499999999998</v>
          </cell>
          <cell r="N35">
            <v>0.35239617829545888</v>
          </cell>
        </row>
        <row r="36">
          <cell r="B36">
            <v>45</v>
          </cell>
          <cell r="C36" t="str">
            <v>RE</v>
          </cell>
          <cell r="D36" t="str">
            <v>REGULATE</v>
          </cell>
          <cell r="E36">
            <v>1889.7</v>
          </cell>
          <cell r="F36">
            <v>4234</v>
          </cell>
          <cell r="G36">
            <v>2531.6999999999998</v>
          </cell>
          <cell r="H36">
            <v>9320.2000000000007</v>
          </cell>
          <cell r="I36">
            <v>17975.599999999999</v>
          </cell>
          <cell r="J36">
            <v>865.18399999999997</v>
          </cell>
          <cell r="K36">
            <v>630.08299999999997</v>
          </cell>
          <cell r="L36">
            <v>1385.4634800000001</v>
          </cell>
          <cell r="M36">
            <v>1495.2669999999998</v>
          </cell>
          <cell r="N36">
            <v>0.42138494329106441</v>
          </cell>
        </row>
        <row r="37">
          <cell r="B37">
            <v>48</v>
          </cell>
          <cell r="C37" t="str">
            <v>RE</v>
          </cell>
          <cell r="D37" t="str">
            <v>REGULATE</v>
          </cell>
          <cell r="E37">
            <v>77586.100000000006</v>
          </cell>
          <cell r="F37">
            <v>29090.400000000001</v>
          </cell>
          <cell r="G37">
            <v>92857.5</v>
          </cell>
          <cell r="H37">
            <v>79367.600000000006</v>
          </cell>
          <cell r="I37">
            <v>278901.59999999998</v>
          </cell>
          <cell r="J37">
            <v>10608.491999999998</v>
          </cell>
          <cell r="K37">
            <v>6093.3520000000008</v>
          </cell>
          <cell r="L37">
            <v>29750.654999999999</v>
          </cell>
          <cell r="M37">
            <v>16701.843999999997</v>
          </cell>
          <cell r="N37">
            <v>0.36483109290207727</v>
          </cell>
        </row>
        <row r="38">
          <cell r="B38">
            <v>49</v>
          </cell>
          <cell r="C38" t="str">
            <v>RE</v>
          </cell>
          <cell r="D38" t="str">
            <v>REGULATE</v>
          </cell>
          <cell r="E38">
            <v>43010.6</v>
          </cell>
          <cell r="F38">
            <v>36664</v>
          </cell>
          <cell r="G38">
            <v>96582.9</v>
          </cell>
          <cell r="H38">
            <v>113743.3</v>
          </cell>
          <cell r="I38">
            <v>290000.8</v>
          </cell>
          <cell r="J38">
            <v>12072.099999999999</v>
          </cell>
          <cell r="K38">
            <v>5568.3</v>
          </cell>
          <cell r="L38">
            <v>29872.400000000001</v>
          </cell>
          <cell r="M38">
            <v>17640.399999999998</v>
          </cell>
          <cell r="N38">
            <v>0.31565610757125695</v>
          </cell>
        </row>
        <row r="39">
          <cell r="B39">
            <v>51</v>
          </cell>
          <cell r="C39" t="str">
            <v>RE</v>
          </cell>
          <cell r="D39" t="str">
            <v>REGULATE</v>
          </cell>
          <cell r="E39">
            <v>57028.2</v>
          </cell>
          <cell r="F39">
            <v>20663.400000000001</v>
          </cell>
          <cell r="G39">
            <v>79227.7</v>
          </cell>
          <cell r="H39">
            <v>59935.199999999997</v>
          </cell>
          <cell r="I39">
            <v>216854.5</v>
          </cell>
          <cell r="J39">
            <v>4276.039420000001</v>
          </cell>
          <cell r="K39">
            <v>15861.543000000001</v>
          </cell>
          <cell r="L39">
            <v>23114.264820000008</v>
          </cell>
          <cell r="M39">
            <v>20137.582420000002</v>
          </cell>
          <cell r="N39">
            <v>0.78765875015100251</v>
          </cell>
        </row>
        <row r="40">
          <cell r="B40">
            <v>55</v>
          </cell>
          <cell r="C40" t="str">
            <v>RE</v>
          </cell>
          <cell r="D40" t="str">
            <v>REGULATE</v>
          </cell>
          <cell r="E40">
            <v>33811.4</v>
          </cell>
          <cell r="F40">
            <v>15416.2</v>
          </cell>
          <cell r="G40">
            <v>44955.6</v>
          </cell>
          <cell r="H40">
            <v>27358.9</v>
          </cell>
          <cell r="I40">
            <v>121542.1</v>
          </cell>
          <cell r="J40">
            <v>11462.739249999999</v>
          </cell>
          <cell r="K40">
            <v>5836.0308000000005</v>
          </cell>
          <cell r="L40">
            <v>7151.5568000000012</v>
          </cell>
          <cell r="M40">
            <v>17298.770049999999</v>
          </cell>
          <cell r="N40">
            <v>0.33736680602907954</v>
          </cell>
        </row>
        <row r="41">
          <cell r="B41">
            <v>60</v>
          </cell>
          <cell r="C41" t="str">
            <v>RE</v>
          </cell>
          <cell r="D41" t="str">
            <v>REGULATE</v>
          </cell>
          <cell r="E41">
            <v>6873.7039999999997</v>
          </cell>
          <cell r="F41">
            <v>8183.8090000000002</v>
          </cell>
          <cell r="G41">
            <v>12315.596</v>
          </cell>
          <cell r="H41">
            <v>18783.516</v>
          </cell>
          <cell r="I41">
            <v>46156.625</v>
          </cell>
          <cell r="J41">
            <v>4628.6019999999999</v>
          </cell>
          <cell r="K41">
            <v>1660.48</v>
          </cell>
          <cell r="L41">
            <v>2661.9894199999999</v>
          </cell>
          <cell r="M41">
            <v>6289.0820000000003</v>
          </cell>
          <cell r="N41">
            <v>0.26402581489635529</v>
          </cell>
        </row>
        <row r="42">
          <cell r="B42">
            <v>61</v>
          </cell>
          <cell r="C42" t="str">
            <v>RE</v>
          </cell>
          <cell r="D42" t="str">
            <v>REGULATE</v>
          </cell>
          <cell r="E42">
            <v>12820.1</v>
          </cell>
          <cell r="F42">
            <v>23120</v>
          </cell>
          <cell r="G42">
            <v>25903.1</v>
          </cell>
          <cell r="H42">
            <v>37643.9</v>
          </cell>
          <cell r="I42">
            <v>99487.1</v>
          </cell>
          <cell r="J42">
            <v>3668</v>
          </cell>
          <cell r="K42">
            <v>3970.1</v>
          </cell>
          <cell r="L42">
            <v>8906.16</v>
          </cell>
          <cell r="M42">
            <v>7638.1</v>
          </cell>
          <cell r="N42">
            <v>0.51977586048886504</v>
          </cell>
        </row>
        <row r="43">
          <cell r="B43">
            <v>62</v>
          </cell>
          <cell r="C43" t="str">
            <v>RE</v>
          </cell>
          <cell r="D43" t="str">
            <v>REGULATE</v>
          </cell>
          <cell r="E43">
            <v>35573</v>
          </cell>
          <cell r="F43">
            <v>13263.1</v>
          </cell>
          <cell r="G43">
            <v>56550.9</v>
          </cell>
          <cell r="H43">
            <v>39596.300000000003</v>
          </cell>
          <cell r="I43">
            <v>144983.29999999999</v>
          </cell>
          <cell r="J43">
            <v>9151.0293799999963</v>
          </cell>
          <cell r="K43">
            <v>771.8</v>
          </cell>
          <cell r="L43">
            <v>8900.8159999999989</v>
          </cell>
          <cell r="M43">
            <v>9922.8293799999956</v>
          </cell>
          <cell r="N43">
            <v>7.7780234895059766E-2</v>
          </cell>
        </row>
        <row r="44">
          <cell r="B44">
            <v>63</v>
          </cell>
          <cell r="C44" t="str">
            <v>RE</v>
          </cell>
          <cell r="D44" t="str">
            <v>REGULATE</v>
          </cell>
          <cell r="E44">
            <v>72417.100000000006</v>
          </cell>
          <cell r="F44">
            <v>27218.6</v>
          </cell>
          <cell r="G44">
            <v>133487.9</v>
          </cell>
          <cell r="H44">
            <v>104537.9</v>
          </cell>
          <cell r="I44">
            <v>337661.5</v>
          </cell>
          <cell r="J44">
            <v>10958.650879999999</v>
          </cell>
          <cell r="K44">
            <v>6346.8168399999986</v>
          </cell>
          <cell r="L44">
            <v>50642.07613000003</v>
          </cell>
          <cell r="M44">
            <v>17305.467719999997</v>
          </cell>
          <cell r="N44">
            <v>0.36675211226247051</v>
          </cell>
        </row>
        <row r="45">
          <cell r="B45">
            <v>87</v>
          </cell>
          <cell r="C45" t="str">
            <v>RE</v>
          </cell>
          <cell r="D45" t="str">
            <v>REGULATE</v>
          </cell>
          <cell r="E45">
            <v>0</v>
          </cell>
          <cell r="F45">
            <v>8468.4</v>
          </cell>
          <cell r="G45">
            <v>0</v>
          </cell>
          <cell r="H45">
            <v>4523.6000000000004</v>
          </cell>
          <cell r="I45">
            <v>12992</v>
          </cell>
          <cell r="J45">
            <v>2349.3560000000002</v>
          </cell>
          <cell r="K45">
            <v>1076.9749999999999</v>
          </cell>
          <cell r="L45">
            <v>176.51700000000005</v>
          </cell>
          <cell r="M45">
            <v>3426.3310000000001</v>
          </cell>
          <cell r="N45">
            <v>0.31432310538590691</v>
          </cell>
        </row>
        <row r="46">
          <cell r="B46">
            <v>88</v>
          </cell>
          <cell r="C46" t="str">
            <v>RE</v>
          </cell>
          <cell r="D46" t="str">
            <v>REGULATE</v>
          </cell>
          <cell r="E46">
            <v>0</v>
          </cell>
          <cell r="F46">
            <v>3168.9</v>
          </cell>
          <cell r="G46">
            <v>0</v>
          </cell>
          <cell r="H46">
            <v>1831</v>
          </cell>
          <cell r="I46">
            <v>4999.8999999999996</v>
          </cell>
          <cell r="J46">
            <v>88.953000000000003</v>
          </cell>
          <cell r="K46">
            <v>157.19499999999999</v>
          </cell>
          <cell r="L46">
            <v>649.65899999999999</v>
          </cell>
          <cell r="M46">
            <v>246.148</v>
          </cell>
          <cell r="N46">
            <v>0.63861985472154958</v>
          </cell>
        </row>
        <row r="47">
          <cell r="B47">
            <v>333</v>
          </cell>
          <cell r="C47" t="str">
            <v>RE</v>
          </cell>
          <cell r="D47" t="str">
            <v>REGULATE</v>
          </cell>
          <cell r="E47">
            <v>0</v>
          </cell>
          <cell r="F47">
            <v>0</v>
          </cell>
          <cell r="G47">
            <v>0</v>
          </cell>
          <cell r="H47">
            <v>13677.9</v>
          </cell>
          <cell r="I47">
            <v>13677.9</v>
          </cell>
          <cell r="J47">
            <v>2074.1048900000001</v>
          </cell>
          <cell r="K47">
            <v>1021.15692</v>
          </cell>
          <cell r="L47">
            <v>249.8080000000009</v>
          </cell>
          <cell r="M47">
            <v>3095.26181</v>
          </cell>
          <cell r="N47">
            <v>0.32990970802563546</v>
          </cell>
        </row>
        <row r="48">
          <cell r="B48">
            <v>2001</v>
          </cell>
          <cell r="C48" t="str">
            <v>RE</v>
          </cell>
          <cell r="D48" t="str">
            <v>REGULATE</v>
          </cell>
          <cell r="E48">
            <v>33947</v>
          </cell>
          <cell r="F48">
            <v>7857.7</v>
          </cell>
          <cell r="G48">
            <v>35148.800000000003</v>
          </cell>
          <cell r="H48">
            <v>38273.9</v>
          </cell>
          <cell r="I48">
            <v>115227.4</v>
          </cell>
          <cell r="J48">
            <v>2740.4256500000001</v>
          </cell>
          <cell r="K48">
            <v>3248</v>
          </cell>
          <cell r="L48">
            <v>5365</v>
          </cell>
          <cell r="M48">
            <v>5988.4256500000001</v>
          </cell>
          <cell r="N48">
            <v>0.54237961524996137</v>
          </cell>
        </row>
        <row r="49">
          <cell r="B49">
            <v>2004</v>
          </cell>
          <cell r="C49" t="str">
            <v>RE</v>
          </cell>
          <cell r="D49" t="str">
            <v>REGULATE</v>
          </cell>
          <cell r="E49">
            <v>73867.899999999994</v>
          </cell>
          <cell r="F49">
            <v>34988</v>
          </cell>
          <cell r="G49">
            <v>109077.6</v>
          </cell>
          <cell r="H49">
            <v>77803.3</v>
          </cell>
          <cell r="I49">
            <v>295736.8</v>
          </cell>
          <cell r="J49">
            <v>12220.053980000001</v>
          </cell>
          <cell r="K49">
            <v>7305.0349999999999</v>
          </cell>
          <cell r="L49">
            <v>28192.843960000013</v>
          </cell>
          <cell r="M49">
            <v>19525.08898</v>
          </cell>
          <cell r="N49">
            <v>0.37413581098056536</v>
          </cell>
        </row>
        <row r="50">
          <cell r="B50">
            <v>5050</v>
          </cell>
          <cell r="C50" t="str">
            <v>RE</v>
          </cell>
          <cell r="D50" t="str">
            <v>REGULATE</v>
          </cell>
          <cell r="E50">
            <v>94865.4</v>
          </cell>
          <cell r="F50">
            <v>38246.699999999997</v>
          </cell>
          <cell r="G50">
            <v>138972.20000000001</v>
          </cell>
          <cell r="H50">
            <v>103105.5</v>
          </cell>
          <cell r="I50">
            <v>375189.8</v>
          </cell>
          <cell r="J50">
            <v>16425.885999999999</v>
          </cell>
          <cell r="K50">
            <v>8938.2849999999999</v>
          </cell>
          <cell r="L50">
            <v>36920.338000000003</v>
          </cell>
          <cell r="M50">
            <v>25364.170999999998</v>
          </cell>
          <cell r="N50">
            <v>0.35239807364490644</v>
          </cell>
        </row>
        <row r="51">
          <cell r="B51">
            <v>8992</v>
          </cell>
          <cell r="C51" t="str">
            <v>RE</v>
          </cell>
          <cell r="D51" t="str">
            <v>REGULATE</v>
          </cell>
          <cell r="E51">
            <v>78677.5</v>
          </cell>
          <cell r="F51">
            <v>5799.8</v>
          </cell>
          <cell r="G51">
            <v>95386.6</v>
          </cell>
          <cell r="H51">
            <v>8817</v>
          </cell>
          <cell r="I51">
            <v>188680.90000000002</v>
          </cell>
          <cell r="J51">
            <v>35454.563814895198</v>
          </cell>
          <cell r="K51">
            <v>6654</v>
          </cell>
          <cell r="L51">
            <v>11038</v>
          </cell>
          <cell r="M51">
            <v>42108.563814895198</v>
          </cell>
          <cell r="N51">
            <v>0.15802011270795846</v>
          </cell>
        </row>
        <row r="52">
          <cell r="B52">
            <v>9999</v>
          </cell>
          <cell r="C52" t="str">
            <v>RE</v>
          </cell>
          <cell r="D52" t="str">
            <v>REGULATE</v>
          </cell>
          <cell r="E52">
            <v>3587931.3701600018</v>
          </cell>
          <cell r="F52">
            <v>1658758.5547400001</v>
          </cell>
          <cell r="G52">
            <v>5514118.2639999986</v>
          </cell>
          <cell r="H52">
            <v>4389820.6906900005</v>
          </cell>
          <cell r="I52">
            <v>15150628.779590007</v>
          </cell>
          <cell r="J52">
            <v>593091.7663274298</v>
          </cell>
          <cell r="K52">
            <v>509173.29174773069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CC Approved"/>
      <sheetName val="PDA Data 2013"/>
      <sheetName val="Sheet3"/>
    </sheetNames>
    <sheetDataSet>
      <sheetData sheetId="0"/>
      <sheetData sheetId="1">
        <row r="9">
          <cell r="A9">
            <v>1</v>
          </cell>
          <cell r="B9" t="str">
            <v>MERITUS</v>
          </cell>
          <cell r="C9">
            <v>189235.3</v>
          </cell>
          <cell r="D9">
            <v>112115.4</v>
          </cell>
          <cell r="E9">
            <v>301350.69999999995</v>
          </cell>
          <cell r="F9">
            <v>301350.7</v>
          </cell>
          <cell r="G9">
            <v>97208</v>
          </cell>
          <cell r="H9">
            <v>36706.699999999997</v>
          </cell>
          <cell r="I9">
            <v>133914.70000000001</v>
          </cell>
          <cell r="J9">
            <v>5340.7</v>
          </cell>
          <cell r="K9">
            <v>2766.1</v>
          </cell>
          <cell r="L9">
            <v>8106.7999999999993</v>
          </cell>
          <cell r="M9">
            <v>6247.4</v>
          </cell>
          <cell r="N9">
            <v>4877.5</v>
          </cell>
          <cell r="O9">
            <v>11124.9</v>
          </cell>
          <cell r="P9">
            <v>25665.1</v>
          </cell>
          <cell r="Q9">
            <v>18103.099999999999</v>
          </cell>
          <cell r="R9">
            <v>43768.2</v>
          </cell>
          <cell r="S9">
            <v>0</v>
          </cell>
          <cell r="T9">
            <v>8139.5</v>
          </cell>
          <cell r="U9">
            <v>13542.7</v>
          </cell>
          <cell r="V9">
            <v>21682.2</v>
          </cell>
        </row>
        <row r="10">
          <cell r="A10">
            <v>2</v>
          </cell>
          <cell r="B10" t="str">
            <v>UNIVERSITY OF MD.</v>
          </cell>
          <cell r="C10">
            <v>857000.47672000097</v>
          </cell>
          <cell r="D10">
            <v>384600.98726000008</v>
          </cell>
          <cell r="E10">
            <v>1241601.4639800009</v>
          </cell>
          <cell r="F10">
            <v>1241601.5</v>
          </cell>
          <cell r="G10">
            <v>280920.32499738986</v>
          </cell>
          <cell r="H10">
            <v>101082.18300848968</v>
          </cell>
          <cell r="I10">
            <v>382002.50800587953</v>
          </cell>
          <cell r="J10">
            <v>107505.05090017317</v>
          </cell>
          <cell r="K10">
            <v>15077.409824332755</v>
          </cell>
          <cell r="L10">
            <v>122582.46072450593</v>
          </cell>
          <cell r="M10">
            <v>137243.33085301676</v>
          </cell>
          <cell r="N10">
            <v>67404.04786993665</v>
          </cell>
          <cell r="O10">
            <v>204647.37872295341</v>
          </cell>
          <cell r="P10">
            <v>160335.06224713716</v>
          </cell>
          <cell r="Q10">
            <v>94214.551556275284</v>
          </cell>
          <cell r="R10">
            <v>254549.61380341245</v>
          </cell>
          <cell r="S10">
            <v>1817.6928283860702</v>
          </cell>
          <cell r="T10">
            <v>39590.100511372642</v>
          </cell>
          <cell r="U10">
            <v>27416.434693732168</v>
          </cell>
          <cell r="V10">
            <v>67006.53520510481</v>
          </cell>
        </row>
        <row r="11">
          <cell r="A11">
            <v>3</v>
          </cell>
          <cell r="B11" t="str">
            <v>PRINCE GEORGES HOSP.</v>
          </cell>
          <cell r="C11">
            <v>175539.53415999998</v>
          </cell>
          <cell r="D11">
            <v>73653.020430000004</v>
          </cell>
          <cell r="E11">
            <v>249192.55458999999</v>
          </cell>
          <cell r="F11">
            <v>249192.55458999999</v>
          </cell>
          <cell r="G11">
            <v>52345.026580383885</v>
          </cell>
          <cell r="H11">
            <v>11036.468013745502</v>
          </cell>
          <cell r="I11">
            <v>63381.494594129384</v>
          </cell>
          <cell r="J11">
            <v>23737.911557030748</v>
          </cell>
          <cell r="K11">
            <v>3254.9891370460582</v>
          </cell>
          <cell r="L11">
            <v>26992.900694076805</v>
          </cell>
          <cell r="M11">
            <v>15104.017349211621</v>
          </cell>
          <cell r="N11">
            <v>9539.6252666131877</v>
          </cell>
          <cell r="O11">
            <v>24643.642615824807</v>
          </cell>
          <cell r="P11">
            <v>30839.490390539911</v>
          </cell>
          <cell r="Q11">
            <v>17571.549654608647</v>
          </cell>
          <cell r="R11">
            <v>48411.040045148562</v>
          </cell>
          <cell r="S11">
            <v>0</v>
          </cell>
          <cell r="T11">
            <v>23456.98173</v>
          </cell>
          <cell r="U11">
            <v>15182.53383</v>
          </cell>
          <cell r="V11">
            <v>38639.51556</v>
          </cell>
        </row>
        <row r="12">
          <cell r="A12">
            <v>4</v>
          </cell>
          <cell r="B12" t="str">
            <v>HOLY CROSS</v>
          </cell>
          <cell r="C12">
            <v>320483.5</v>
          </cell>
          <cell r="D12">
            <v>140867.70000000001</v>
          </cell>
          <cell r="E12">
            <v>461351.2</v>
          </cell>
          <cell r="F12">
            <v>461351.2</v>
          </cell>
          <cell r="G12">
            <v>110351.9</v>
          </cell>
          <cell r="H12">
            <v>32759.4</v>
          </cell>
          <cell r="I12">
            <v>143111.29999999999</v>
          </cell>
          <cell r="J12">
            <v>28885</v>
          </cell>
          <cell r="K12">
            <v>3361.1</v>
          </cell>
          <cell r="L12">
            <v>32246.1</v>
          </cell>
          <cell r="M12">
            <v>41002.9</v>
          </cell>
          <cell r="N12">
            <v>23817.9</v>
          </cell>
          <cell r="O12">
            <v>64820.800000000003</v>
          </cell>
          <cell r="P12">
            <v>36421.300000000003</v>
          </cell>
          <cell r="Q12">
            <v>14362</v>
          </cell>
          <cell r="R12">
            <v>50783.3</v>
          </cell>
          <cell r="S12">
            <v>2864.5</v>
          </cell>
          <cell r="T12">
            <v>16833.5</v>
          </cell>
          <cell r="U12">
            <v>25886.6</v>
          </cell>
          <cell r="V12">
            <v>42720.1</v>
          </cell>
        </row>
        <row r="13">
          <cell r="A13">
            <v>5</v>
          </cell>
          <cell r="B13" t="str">
            <v>FREDERICK MEM.</v>
          </cell>
          <cell r="C13">
            <v>193630.25636</v>
          </cell>
          <cell r="D13">
            <v>143463.4804</v>
          </cell>
          <cell r="E13">
            <v>337093.73676</v>
          </cell>
          <cell r="F13">
            <v>337093.7</v>
          </cell>
          <cell r="G13">
            <v>92047.103000000003</v>
          </cell>
          <cell r="H13">
            <v>46987.803999999996</v>
          </cell>
          <cell r="I13">
            <v>139034.90700000001</v>
          </cell>
          <cell r="J13">
            <v>5612.2929999999997</v>
          </cell>
          <cell r="K13">
            <v>2579.4630000000002</v>
          </cell>
          <cell r="L13">
            <v>8191.7559999999994</v>
          </cell>
          <cell r="M13">
            <v>26843.210999999999</v>
          </cell>
          <cell r="N13">
            <v>27708.598999999998</v>
          </cell>
          <cell r="O13">
            <v>54551.81</v>
          </cell>
          <cell r="P13">
            <v>19400.058000000001</v>
          </cell>
          <cell r="Q13">
            <v>14025.165999999999</v>
          </cell>
          <cell r="R13">
            <v>33425.224000000002</v>
          </cell>
          <cell r="S13">
            <v>1230.8399999999999</v>
          </cell>
          <cell r="T13">
            <v>10575.121490000001</v>
          </cell>
          <cell r="U13">
            <v>9743.4738400000006</v>
          </cell>
          <cell r="V13">
            <v>20318.595330000004</v>
          </cell>
        </row>
        <row r="14">
          <cell r="A14">
            <v>6</v>
          </cell>
          <cell r="B14" t="str">
            <v>HARFORD MEM.</v>
          </cell>
          <cell r="C14">
            <v>46511.629509999999</v>
          </cell>
          <cell r="D14">
            <v>56987.682989999987</v>
          </cell>
          <cell r="E14">
            <v>103499.31249999999</v>
          </cell>
          <cell r="G14">
            <v>20349.851645164646</v>
          </cell>
          <cell r="H14">
            <v>17682.810554400228</v>
          </cell>
          <cell r="I14">
            <v>38032.662199564875</v>
          </cell>
          <cell r="J14">
            <v>2133.6904311511516</v>
          </cell>
          <cell r="K14">
            <v>1081.9846405987514</v>
          </cell>
          <cell r="L14">
            <v>3215.6750717499031</v>
          </cell>
          <cell r="M14">
            <v>3166.4421832406038</v>
          </cell>
          <cell r="N14">
            <v>7849.4720881758039</v>
          </cell>
          <cell r="O14">
            <v>11015.914271416408</v>
          </cell>
          <cell r="P14">
            <v>2243.0067733668288</v>
          </cell>
          <cell r="Q14">
            <v>7761.4523819016822</v>
          </cell>
          <cell r="R14">
            <v>10004.459155268511</v>
          </cell>
          <cell r="S14">
            <v>833.19100000000003</v>
          </cell>
          <cell r="T14">
            <v>6726.3269413486423</v>
          </cell>
          <cell r="U14">
            <v>6150.034488651354</v>
          </cell>
          <cell r="V14">
            <v>12876.361429999997</v>
          </cell>
        </row>
        <row r="15">
          <cell r="A15">
            <v>7</v>
          </cell>
          <cell r="B15" t="str">
            <v>ST. JOSEPH'S</v>
          </cell>
          <cell r="C15">
            <v>205904.965</v>
          </cell>
          <cell r="D15">
            <v>131756.53800000003</v>
          </cell>
          <cell r="E15">
            <v>337661.50300000003</v>
          </cell>
          <cell r="G15">
            <v>98934.113427444157</v>
          </cell>
          <cell r="H15">
            <v>44487.982205104439</v>
          </cell>
          <cell r="I15">
            <v>143422.09563254859</v>
          </cell>
          <cell r="J15">
            <v>4853.5431552085029</v>
          </cell>
          <cell r="K15">
            <v>1102.8719325997035</v>
          </cell>
          <cell r="L15">
            <v>5956.4150878082064</v>
          </cell>
          <cell r="M15">
            <v>42123.792766134829</v>
          </cell>
          <cell r="N15">
            <v>40165.42258599573</v>
          </cell>
          <cell r="O15">
            <v>82289.215352130559</v>
          </cell>
          <cell r="P15">
            <v>15477.604856169664</v>
          </cell>
          <cell r="Q15">
            <v>10829.567281817943</v>
          </cell>
          <cell r="R15">
            <v>26307.172137987607</v>
          </cell>
          <cell r="S15">
            <v>765.3598699999992</v>
          </cell>
          <cell r="T15">
            <v>12595.004886429229</v>
          </cell>
          <cell r="U15">
            <v>4710.4628335707694</v>
          </cell>
          <cell r="V15">
            <v>17305.467720000001</v>
          </cell>
        </row>
        <row r="16">
          <cell r="A16">
            <v>8</v>
          </cell>
          <cell r="B16" t="str">
            <v>MERCY</v>
          </cell>
          <cell r="C16">
            <v>230697.7</v>
          </cell>
          <cell r="D16">
            <v>240061.9</v>
          </cell>
          <cell r="E16">
            <v>470759.6</v>
          </cell>
          <cell r="F16">
            <v>470759.6</v>
          </cell>
          <cell r="G16">
            <v>88714.5</v>
          </cell>
          <cell r="H16">
            <v>68838.100000000006</v>
          </cell>
          <cell r="I16">
            <v>157552.6</v>
          </cell>
          <cell r="J16">
            <v>14642.4</v>
          </cell>
          <cell r="K16">
            <v>5385.6</v>
          </cell>
          <cell r="L16">
            <v>20028</v>
          </cell>
          <cell r="M16">
            <v>48851.9</v>
          </cell>
          <cell r="N16">
            <v>74398.100000000006</v>
          </cell>
          <cell r="O16">
            <v>123250</v>
          </cell>
          <cell r="P16">
            <v>38516.1</v>
          </cell>
          <cell r="Q16">
            <v>25426.6</v>
          </cell>
          <cell r="R16">
            <v>63942.7</v>
          </cell>
          <cell r="S16">
            <v>8204.2389999999996</v>
          </cell>
          <cell r="T16">
            <v>13226.91</v>
          </cell>
          <cell r="U16">
            <v>25781.16</v>
          </cell>
          <cell r="V16">
            <v>39008.07</v>
          </cell>
        </row>
        <row r="17">
          <cell r="A17">
            <v>9</v>
          </cell>
          <cell r="B17" t="str">
            <v>JOHNS HOPKINS</v>
          </cell>
          <cell r="C17">
            <v>1332216.3</v>
          </cell>
          <cell r="D17">
            <v>800202.70000000007</v>
          </cell>
          <cell r="E17">
            <v>2132419</v>
          </cell>
          <cell r="F17">
            <v>2132419</v>
          </cell>
          <cell r="G17">
            <v>374139.1</v>
          </cell>
          <cell r="H17">
            <v>192684</v>
          </cell>
          <cell r="I17">
            <v>566823.1</v>
          </cell>
          <cell r="J17">
            <v>82528.2</v>
          </cell>
          <cell r="K17">
            <v>14677.5</v>
          </cell>
          <cell r="L17">
            <v>97205.7</v>
          </cell>
          <cell r="M17">
            <v>243662.4</v>
          </cell>
          <cell r="N17">
            <v>127152.2</v>
          </cell>
          <cell r="O17">
            <v>370814.6</v>
          </cell>
          <cell r="P17">
            <v>191589.2</v>
          </cell>
          <cell r="Q17">
            <v>113999.8</v>
          </cell>
          <cell r="R17">
            <v>305589</v>
          </cell>
          <cell r="S17">
            <v>10593.8</v>
          </cell>
          <cell r="T17">
            <v>24578.399999999998</v>
          </cell>
          <cell r="U17">
            <v>66373</v>
          </cell>
          <cell r="V17">
            <v>90951.4</v>
          </cell>
        </row>
        <row r="18">
          <cell r="A18">
            <v>10</v>
          </cell>
          <cell r="B18" t="str">
            <v>DORCHESTER GEN.</v>
          </cell>
          <cell r="C18">
            <v>26655.8</v>
          </cell>
          <cell r="D18">
            <v>33242.1</v>
          </cell>
          <cell r="E18">
            <v>59897.899999999994</v>
          </cell>
          <cell r="F18">
            <v>59897.899999999994</v>
          </cell>
          <cell r="G18">
            <v>16400.749</v>
          </cell>
          <cell r="H18">
            <v>11507.686</v>
          </cell>
          <cell r="I18">
            <v>27908.434999999998</v>
          </cell>
          <cell r="J18">
            <v>2569.3090000000002</v>
          </cell>
          <cell r="K18">
            <v>2121.0520000000001</v>
          </cell>
          <cell r="L18">
            <v>4690.3610000000008</v>
          </cell>
          <cell r="M18">
            <v>1935.8389999999999</v>
          </cell>
          <cell r="N18">
            <v>5140.018</v>
          </cell>
          <cell r="O18">
            <v>7075.857</v>
          </cell>
          <cell r="P18">
            <v>2146.248</v>
          </cell>
          <cell r="Q18">
            <v>5911.3069999999998</v>
          </cell>
          <cell r="R18">
            <v>8057.5550000000003</v>
          </cell>
          <cell r="S18">
            <v>868.55302721796795</v>
          </cell>
          <cell r="T18">
            <v>1863.26757</v>
          </cell>
          <cell r="U18">
            <v>2322.8598099999999</v>
          </cell>
          <cell r="V18">
            <v>4186.1273799999999</v>
          </cell>
        </row>
        <row r="19">
          <cell r="A19">
            <v>11</v>
          </cell>
          <cell r="B19" t="str">
            <v>ST. AGNES</v>
          </cell>
          <cell r="C19">
            <v>241127.44458000001</v>
          </cell>
          <cell r="D19">
            <v>163542.50538000002</v>
          </cell>
          <cell r="E19">
            <v>404669.94996</v>
          </cell>
          <cell r="F19">
            <v>404669.9</v>
          </cell>
          <cell r="G19">
            <v>104194.92155774482</v>
          </cell>
          <cell r="H19">
            <v>48994.107693949489</v>
          </cell>
          <cell r="I19">
            <v>153189.0292516943</v>
          </cell>
          <cell r="J19">
            <v>16235.069038167941</v>
          </cell>
          <cell r="K19">
            <v>6363.8246718490755</v>
          </cell>
          <cell r="L19">
            <v>22598.893710017015</v>
          </cell>
          <cell r="M19">
            <v>33672.541916529706</v>
          </cell>
          <cell r="N19">
            <v>30506.109447815463</v>
          </cell>
          <cell r="O19">
            <v>64178.651364345169</v>
          </cell>
          <cell r="P19">
            <v>39756.705370000003</v>
          </cell>
          <cell r="Q19">
            <v>28298.374429999996</v>
          </cell>
          <cell r="R19">
            <v>68055.079800000007</v>
          </cell>
          <cell r="S19">
            <v>7300.0446599999996</v>
          </cell>
          <cell r="T19">
            <v>11961.677230420466</v>
          </cell>
          <cell r="U19">
            <v>20242.296759579534</v>
          </cell>
          <cell r="V19">
            <v>32203.973989999999</v>
          </cell>
        </row>
        <row r="20">
          <cell r="A20">
            <v>12</v>
          </cell>
          <cell r="B20" t="str">
            <v>SINAI</v>
          </cell>
          <cell r="C20">
            <v>428533.5</v>
          </cell>
          <cell r="D20">
            <v>255983.3</v>
          </cell>
          <cell r="E20">
            <v>684516.8</v>
          </cell>
          <cell r="F20">
            <v>684516.8</v>
          </cell>
          <cell r="G20">
            <v>179384.3</v>
          </cell>
          <cell r="H20">
            <v>74870.899999999994</v>
          </cell>
          <cell r="I20">
            <v>254255.19999999998</v>
          </cell>
          <cell r="J20">
            <v>32982</v>
          </cell>
          <cell r="K20">
            <v>5027.7</v>
          </cell>
          <cell r="L20">
            <v>38009.699999999997</v>
          </cell>
          <cell r="M20">
            <v>54560.9</v>
          </cell>
          <cell r="N20">
            <v>49111.1</v>
          </cell>
          <cell r="O20">
            <v>103672</v>
          </cell>
          <cell r="P20">
            <v>68961.600000000006</v>
          </cell>
          <cell r="Q20">
            <v>51945.2</v>
          </cell>
          <cell r="R20">
            <v>120906.8</v>
          </cell>
          <cell r="S20">
            <v>0</v>
          </cell>
          <cell r="T20">
            <v>19942.099999999999</v>
          </cell>
          <cell r="U20">
            <v>17117.8</v>
          </cell>
          <cell r="V20">
            <v>37059.899999999994</v>
          </cell>
        </row>
        <row r="21">
          <cell r="A21">
            <v>13</v>
          </cell>
          <cell r="B21" t="str">
            <v>BON SECOURS</v>
          </cell>
          <cell r="C21">
            <v>74276.517999999996</v>
          </cell>
          <cell r="D21">
            <v>46767.619000000006</v>
          </cell>
          <cell r="E21">
            <v>121044.137</v>
          </cell>
          <cell r="F21">
            <v>121044.1</v>
          </cell>
          <cell r="G21">
            <v>22953.774260000002</v>
          </cell>
          <cell r="H21">
            <v>10181.414480000001</v>
          </cell>
          <cell r="I21">
            <v>33135.188740000005</v>
          </cell>
          <cell r="J21">
            <v>13968.44</v>
          </cell>
          <cell r="K21">
            <v>5092.42868</v>
          </cell>
          <cell r="L21">
            <v>19060.86868</v>
          </cell>
          <cell r="M21">
            <v>821.22050999999999</v>
          </cell>
          <cell r="N21">
            <v>1122.9291599999999</v>
          </cell>
          <cell r="O21">
            <v>1944.1496699999998</v>
          </cell>
          <cell r="P21">
            <v>11833.603999999999</v>
          </cell>
          <cell r="Q21">
            <v>12451.213310000001</v>
          </cell>
          <cell r="R21">
            <v>24284.817309999999</v>
          </cell>
          <cell r="S21">
            <v>607.03403999999989</v>
          </cell>
          <cell r="T21">
            <v>9860.7349699999995</v>
          </cell>
          <cell r="U21">
            <v>12073.909520000001</v>
          </cell>
          <cell r="V21">
            <v>21934.644489999999</v>
          </cell>
        </row>
        <row r="22">
          <cell r="A22">
            <v>15</v>
          </cell>
          <cell r="B22" t="str">
            <v>FRANKLIN SQUARE</v>
          </cell>
          <cell r="C22">
            <v>283799.47567000001</v>
          </cell>
          <cell r="D22">
            <v>185992.70908000003</v>
          </cell>
          <cell r="E22">
            <v>469792.18475000001</v>
          </cell>
          <cell r="F22">
            <v>469792.19999999995</v>
          </cell>
          <cell r="G22">
            <v>127541.83798128364</v>
          </cell>
          <cell r="H22">
            <v>54124.983855339313</v>
          </cell>
          <cell r="I22">
            <v>181666.82183662296</v>
          </cell>
          <cell r="J22">
            <v>16941.544071236774</v>
          </cell>
          <cell r="K22">
            <v>9478.5999742247986</v>
          </cell>
          <cell r="L22">
            <v>26420.144045461573</v>
          </cell>
          <cell r="M22">
            <v>31258.197907474994</v>
          </cell>
          <cell r="N22">
            <v>27986.499232753606</v>
          </cell>
          <cell r="O22">
            <v>59244.6971402286</v>
          </cell>
          <cell r="P22">
            <v>50487.119582963009</v>
          </cell>
          <cell r="Q22">
            <v>37936.319646750671</v>
          </cell>
          <cell r="R22">
            <v>88423.43922971368</v>
          </cell>
          <cell r="S22">
            <v>2397.152</v>
          </cell>
          <cell r="T22">
            <v>17999.89</v>
          </cell>
          <cell r="U22">
            <v>15166.066000000001</v>
          </cell>
          <cell r="V22">
            <v>33165.955999999998</v>
          </cell>
        </row>
        <row r="23">
          <cell r="A23">
            <v>16</v>
          </cell>
          <cell r="B23" t="str">
            <v>WASHINGTON ADV.</v>
          </cell>
          <cell r="C23">
            <v>155729.40849999999</v>
          </cell>
          <cell r="D23">
            <v>90171.001499999998</v>
          </cell>
          <cell r="E23">
            <v>245900.40999999997</v>
          </cell>
          <cell r="G23">
            <v>70047.286999999997</v>
          </cell>
          <cell r="H23">
            <v>27725.552</v>
          </cell>
          <cell r="I23">
            <v>97772.838999999993</v>
          </cell>
          <cell r="J23">
            <v>21998.465</v>
          </cell>
          <cell r="K23">
            <v>5034.0860000000002</v>
          </cell>
          <cell r="L23">
            <v>27032.550999999999</v>
          </cell>
          <cell r="M23">
            <v>13164.276</v>
          </cell>
          <cell r="N23">
            <v>13333.891</v>
          </cell>
          <cell r="O23">
            <v>26498.167000000001</v>
          </cell>
          <cell r="P23">
            <v>17424.788</v>
          </cell>
          <cell r="Q23">
            <v>11332.815000000001</v>
          </cell>
          <cell r="R23">
            <v>28757.603000000003</v>
          </cell>
          <cell r="S23">
            <v>5462.3429999999998</v>
          </cell>
          <cell r="T23">
            <v>29433.268749999999</v>
          </cell>
          <cell r="U23">
            <v>5194.1062499999998</v>
          </cell>
          <cell r="V23">
            <v>34627.375</v>
          </cell>
        </row>
        <row r="24">
          <cell r="A24">
            <v>17</v>
          </cell>
          <cell r="B24" t="str">
            <v>GARRETT CO.</v>
          </cell>
          <cell r="C24">
            <v>19215.383000000002</v>
          </cell>
          <cell r="D24">
            <v>23086.995999999996</v>
          </cell>
          <cell r="E24">
            <v>42302.379000000001</v>
          </cell>
          <cell r="F24">
            <v>42302.399999999994</v>
          </cell>
          <cell r="G24">
            <v>10456.78510993877</v>
          </cell>
          <cell r="H24">
            <v>7794.905089029533</v>
          </cell>
          <cell r="I24">
            <v>18251.690198968303</v>
          </cell>
          <cell r="J24">
            <v>2745.8312370487756</v>
          </cell>
          <cell r="K24">
            <v>3915.678371631001</v>
          </cell>
          <cell r="L24">
            <v>6661.5096086797766</v>
          </cell>
          <cell r="M24">
            <v>2150.3983905356467</v>
          </cell>
          <cell r="N24">
            <v>3698.8690586788307</v>
          </cell>
          <cell r="O24">
            <v>5849.2674492144779</v>
          </cell>
          <cell r="P24">
            <v>1707.5927593481179</v>
          </cell>
          <cell r="Q24">
            <v>2850.0030831486802</v>
          </cell>
          <cell r="R24">
            <v>4557.5958424967976</v>
          </cell>
          <cell r="S24">
            <v>209.40843000000001</v>
          </cell>
          <cell r="T24">
            <v>1530.1802316026526</v>
          </cell>
          <cell r="U24">
            <v>3063.2360284498791</v>
          </cell>
          <cell r="V24">
            <v>4593.4162600525315</v>
          </cell>
        </row>
        <row r="25">
          <cell r="A25">
            <v>18</v>
          </cell>
          <cell r="B25" t="str">
            <v>MONTGOMERY GEN.</v>
          </cell>
          <cell r="C25">
            <v>89520.830881547794</v>
          </cell>
          <cell r="D25">
            <v>77348.260999999999</v>
          </cell>
          <cell r="E25">
            <v>166869.09188154779</v>
          </cell>
          <cell r="F25">
            <v>166869.1</v>
          </cell>
          <cell r="G25">
            <v>47903.7</v>
          </cell>
          <cell r="H25">
            <v>27504.651023083774</v>
          </cell>
          <cell r="I25">
            <v>75408.351023083771</v>
          </cell>
          <cell r="J25">
            <v>1157.9082260920709</v>
          </cell>
          <cell r="K25">
            <v>1071.7608877644477</v>
          </cell>
          <cell r="L25">
            <v>2229.6691138565184</v>
          </cell>
          <cell r="M25">
            <v>9340.1603241241828</v>
          </cell>
          <cell r="N25">
            <v>12973.184625705833</v>
          </cell>
          <cell r="O25">
            <v>22313.344949830018</v>
          </cell>
          <cell r="P25">
            <v>6683.1857490503708</v>
          </cell>
          <cell r="Q25">
            <v>5745.2672550477673</v>
          </cell>
          <cell r="R25">
            <v>12428.453004098137</v>
          </cell>
          <cell r="S25">
            <v>0</v>
          </cell>
          <cell r="T25">
            <v>5406.0481102276226</v>
          </cell>
          <cell r="U25">
            <v>5591.6550397723768</v>
          </cell>
          <cell r="V25">
            <v>10997.703149999999</v>
          </cell>
        </row>
        <row r="26">
          <cell r="A26">
            <v>19</v>
          </cell>
          <cell r="B26" t="str">
            <v>PENINSULA GEN.</v>
          </cell>
          <cell r="C26">
            <v>237741.80000000002</v>
          </cell>
          <cell r="D26">
            <v>174899.7</v>
          </cell>
          <cell r="E26">
            <v>412641.5</v>
          </cell>
          <cell r="F26">
            <v>412641.5</v>
          </cell>
          <cell r="G26">
            <v>129937</v>
          </cell>
          <cell r="H26">
            <v>73554.2</v>
          </cell>
          <cell r="I26">
            <v>203491.20000000001</v>
          </cell>
          <cell r="J26">
            <v>3915.1</v>
          </cell>
          <cell r="K26">
            <v>2607.5</v>
          </cell>
          <cell r="L26">
            <v>6522.6</v>
          </cell>
          <cell r="M26">
            <v>13077</v>
          </cell>
          <cell r="N26">
            <v>15871.6</v>
          </cell>
          <cell r="O26">
            <v>28948.6</v>
          </cell>
          <cell r="P26">
            <v>19363.3</v>
          </cell>
          <cell r="Q26">
            <v>20130</v>
          </cell>
          <cell r="R26">
            <v>39493.300000000003</v>
          </cell>
          <cell r="S26">
            <v>0</v>
          </cell>
          <cell r="T26">
            <v>17632.800000000003</v>
          </cell>
          <cell r="U26">
            <v>10701.7</v>
          </cell>
          <cell r="V26">
            <v>28334.500000000004</v>
          </cell>
        </row>
        <row r="27">
          <cell r="A27">
            <v>22</v>
          </cell>
          <cell r="B27" t="str">
            <v>SUBURBAN</v>
          </cell>
          <cell r="C27">
            <v>182247.954</v>
          </cell>
          <cell r="D27">
            <v>98330.595000000001</v>
          </cell>
          <cell r="E27">
            <v>280578.549</v>
          </cell>
          <cell r="F27">
            <v>280578.5</v>
          </cell>
          <cell r="G27">
            <v>91027.798999999999</v>
          </cell>
          <cell r="H27">
            <v>35332.978000000003</v>
          </cell>
          <cell r="I27">
            <v>126360.777</v>
          </cell>
          <cell r="J27">
            <v>5883.1279999999997</v>
          </cell>
          <cell r="K27">
            <v>1154.06</v>
          </cell>
          <cell r="L27">
            <v>7037.1880000000001</v>
          </cell>
          <cell r="M27">
            <v>24380.311000000002</v>
          </cell>
          <cell r="N27">
            <v>23654.587</v>
          </cell>
          <cell r="O27">
            <v>48034.898000000001</v>
          </cell>
          <cell r="P27">
            <v>6353.116</v>
          </cell>
          <cell r="Q27">
            <v>3056.22</v>
          </cell>
          <cell r="R27">
            <v>9409.3359999999993</v>
          </cell>
          <cell r="S27">
            <v>4388.2</v>
          </cell>
          <cell r="T27">
            <v>8308.74</v>
          </cell>
          <cell r="U27">
            <v>5914.4400000000005</v>
          </cell>
          <cell r="V27">
            <v>14223.18</v>
          </cell>
        </row>
        <row r="28">
          <cell r="A28">
            <v>23</v>
          </cell>
          <cell r="B28" t="str">
            <v>ANNE ARUNDEL GEN.</v>
          </cell>
          <cell r="C28">
            <v>310835.8</v>
          </cell>
          <cell r="D28">
            <v>231032</v>
          </cell>
          <cell r="E28">
            <v>541867.80000000005</v>
          </cell>
          <cell r="F28">
            <v>541867.80000000005</v>
          </cell>
          <cell r="G28">
            <v>126909.3</v>
          </cell>
          <cell r="H28">
            <v>75660.7</v>
          </cell>
          <cell r="I28">
            <v>202570</v>
          </cell>
          <cell r="J28">
            <v>7073.2</v>
          </cell>
          <cell r="K28">
            <v>2822.1</v>
          </cell>
          <cell r="L28">
            <v>9895.2999999999993</v>
          </cell>
          <cell r="M28">
            <v>56632.9</v>
          </cell>
          <cell r="N28">
            <v>57696.9</v>
          </cell>
          <cell r="O28">
            <v>114329.8</v>
          </cell>
          <cell r="P28">
            <v>17036.8</v>
          </cell>
          <cell r="Q28">
            <v>10664.9</v>
          </cell>
          <cell r="R28">
            <v>27701.699999999997</v>
          </cell>
          <cell r="S28">
            <v>6301.1</v>
          </cell>
          <cell r="T28">
            <v>20171.199999999997</v>
          </cell>
          <cell r="U28">
            <v>8058.1</v>
          </cell>
          <cell r="V28">
            <v>28229.299999999996</v>
          </cell>
        </row>
        <row r="29">
          <cell r="A29">
            <v>24</v>
          </cell>
          <cell r="B29" t="str">
            <v>UNION MEM.</v>
          </cell>
          <cell r="C29">
            <v>243007.13937000025</v>
          </cell>
          <cell r="D29">
            <v>163574.80429000003</v>
          </cell>
          <cell r="E29">
            <v>406581.94366000028</v>
          </cell>
          <cell r="F29">
            <v>406581.9</v>
          </cell>
          <cell r="G29">
            <v>116999.54997931</v>
          </cell>
          <cell r="H29">
            <v>50973.193470166298</v>
          </cell>
          <cell r="I29">
            <v>167972.74344947631</v>
          </cell>
          <cell r="J29">
            <v>15757.556260501895</v>
          </cell>
          <cell r="K29">
            <v>5569.456405709916</v>
          </cell>
          <cell r="L29">
            <v>21327.012666211813</v>
          </cell>
          <cell r="M29">
            <v>27298.09710567924</v>
          </cell>
          <cell r="N29">
            <v>29946.411024636716</v>
          </cell>
          <cell r="O29">
            <v>57244.508130315953</v>
          </cell>
          <cell r="P29">
            <v>30480.814527395087</v>
          </cell>
          <cell r="Q29">
            <v>24440.203243615651</v>
          </cell>
          <cell r="R29">
            <v>54921.017771010738</v>
          </cell>
          <cell r="S29">
            <v>3557.7865899999997</v>
          </cell>
          <cell r="T29">
            <v>15072.796889999998</v>
          </cell>
          <cell r="U29">
            <v>18001.699930000002</v>
          </cell>
          <cell r="V29">
            <v>33074.49682</v>
          </cell>
        </row>
        <row r="30">
          <cell r="A30">
            <v>27</v>
          </cell>
          <cell r="B30" t="str">
            <v>WESTERN MARYLAND</v>
          </cell>
          <cell r="C30">
            <v>186176.2</v>
          </cell>
          <cell r="D30">
            <v>128061.20000000001</v>
          </cell>
          <cell r="E30">
            <v>314237.40000000002</v>
          </cell>
          <cell r="F30">
            <v>314237.3</v>
          </cell>
          <cell r="G30">
            <v>111187.3</v>
          </cell>
          <cell r="H30">
            <v>53467.7</v>
          </cell>
          <cell r="I30">
            <v>164655</v>
          </cell>
          <cell r="J30">
            <v>8488.7000000000007</v>
          </cell>
          <cell r="K30">
            <v>5496.9</v>
          </cell>
          <cell r="L30">
            <v>13985.6</v>
          </cell>
          <cell r="M30">
            <v>17537.099999999999</v>
          </cell>
          <cell r="N30">
            <v>20596.400000000001</v>
          </cell>
          <cell r="O30">
            <v>38133.5</v>
          </cell>
          <cell r="P30">
            <v>23047.1</v>
          </cell>
          <cell r="Q30">
            <v>19692.099999999999</v>
          </cell>
          <cell r="R30">
            <v>42739.199999999997</v>
          </cell>
          <cell r="S30">
            <v>2147.3000000000002</v>
          </cell>
          <cell r="T30">
            <v>12788</v>
          </cell>
          <cell r="U30">
            <v>8849.9</v>
          </cell>
          <cell r="V30">
            <v>21637.9</v>
          </cell>
        </row>
        <row r="31">
          <cell r="A31">
            <v>28</v>
          </cell>
          <cell r="B31" t="str">
            <v>ST. MARY'S</v>
          </cell>
          <cell r="C31">
            <v>68878.277000000002</v>
          </cell>
          <cell r="D31">
            <v>85724.750999999989</v>
          </cell>
          <cell r="E31">
            <v>154603.02799999999</v>
          </cell>
          <cell r="F31">
            <v>154603</v>
          </cell>
          <cell r="G31">
            <v>33030.193111282868</v>
          </cell>
          <cell r="H31">
            <v>22519.630018397831</v>
          </cell>
          <cell r="I31">
            <v>55549.823129680699</v>
          </cell>
          <cell r="J31">
            <v>1515.7970935036037</v>
          </cell>
          <cell r="K31">
            <v>1577.1814306077542</v>
          </cell>
          <cell r="L31">
            <v>3092.9785241113577</v>
          </cell>
          <cell r="M31">
            <v>10864.269822252019</v>
          </cell>
          <cell r="N31">
            <v>22726.040753782549</v>
          </cell>
          <cell r="O31">
            <v>33590.310576034564</v>
          </cell>
          <cell r="P31">
            <v>7291.4435814003773</v>
          </cell>
          <cell r="Q31">
            <v>12025.1615171515</v>
          </cell>
          <cell r="R31">
            <v>19316.605098551878</v>
          </cell>
          <cell r="S31">
            <v>986.87633000000051</v>
          </cell>
          <cell r="T31">
            <v>5686.3342129181401</v>
          </cell>
          <cell r="U31">
            <v>7412.9756070818603</v>
          </cell>
          <cell r="V31">
            <v>13099.30982</v>
          </cell>
        </row>
        <row r="32">
          <cell r="A32">
            <v>29</v>
          </cell>
          <cell r="B32" t="str">
            <v>BAYVIEW</v>
          </cell>
          <cell r="C32">
            <v>359614.9</v>
          </cell>
          <cell r="D32">
            <v>237192.4</v>
          </cell>
          <cell r="E32">
            <v>596807.30000000005</v>
          </cell>
          <cell r="F32">
            <v>596807.29999999993</v>
          </cell>
          <cell r="G32">
            <v>151899</v>
          </cell>
          <cell r="H32">
            <v>64890</v>
          </cell>
          <cell r="I32">
            <v>216789</v>
          </cell>
          <cell r="J32">
            <v>28210</v>
          </cell>
          <cell r="K32">
            <v>6360</v>
          </cell>
          <cell r="L32">
            <v>34570</v>
          </cell>
          <cell r="M32">
            <v>34058</v>
          </cell>
          <cell r="N32">
            <v>27321</v>
          </cell>
          <cell r="O32">
            <v>61379</v>
          </cell>
          <cell r="P32">
            <v>51953</v>
          </cell>
          <cell r="Q32">
            <v>55070</v>
          </cell>
          <cell r="R32">
            <v>107023</v>
          </cell>
          <cell r="S32">
            <v>6232.2</v>
          </cell>
          <cell r="T32">
            <v>28076</v>
          </cell>
          <cell r="U32">
            <v>27328</v>
          </cell>
          <cell r="V32">
            <v>55404</v>
          </cell>
        </row>
        <row r="33">
          <cell r="A33">
            <v>30</v>
          </cell>
          <cell r="B33" t="str">
            <v>CHESTER RIVER</v>
          </cell>
          <cell r="C33">
            <v>29651.410250000034</v>
          </cell>
          <cell r="D33">
            <v>33140.390830000084</v>
          </cell>
          <cell r="E33">
            <v>62791.801080000121</v>
          </cell>
          <cell r="F33">
            <v>62791.8</v>
          </cell>
          <cell r="G33">
            <v>21728.992883421924</v>
          </cell>
          <cell r="H33">
            <v>12995.012661418072</v>
          </cell>
          <cell r="I33">
            <v>34724.005544839994</v>
          </cell>
          <cell r="J33">
            <v>1500.8934697716395</v>
          </cell>
          <cell r="K33">
            <v>1942.4776770481819</v>
          </cell>
          <cell r="L33">
            <v>3443.3711468198217</v>
          </cell>
          <cell r="M33">
            <v>1770.3952664292317</v>
          </cell>
          <cell r="N33">
            <v>5301.0032220546436</v>
          </cell>
          <cell r="O33">
            <v>7071.3984884838756</v>
          </cell>
          <cell r="P33">
            <v>1815.6439306692712</v>
          </cell>
          <cell r="Q33">
            <v>6278.1286534398769</v>
          </cell>
          <cell r="R33">
            <v>8093.7725841091478</v>
          </cell>
          <cell r="S33">
            <v>0</v>
          </cell>
          <cell r="T33">
            <v>3004.9427586941529</v>
          </cell>
          <cell r="U33">
            <v>3358.5241513058472</v>
          </cell>
          <cell r="V33">
            <v>6363.4669100000001</v>
          </cell>
        </row>
        <row r="34">
          <cell r="A34">
            <v>32</v>
          </cell>
          <cell r="B34" t="str">
            <v>UNION OF CECIL</v>
          </cell>
          <cell r="C34">
            <v>68749.5</v>
          </cell>
          <cell r="D34">
            <v>84623.4</v>
          </cell>
          <cell r="E34">
            <v>153372.9</v>
          </cell>
          <cell r="F34">
            <v>153372.9</v>
          </cell>
          <cell r="G34">
            <v>33332.400000000001</v>
          </cell>
          <cell r="H34">
            <v>25717.7</v>
          </cell>
          <cell r="I34">
            <v>59050.100000000006</v>
          </cell>
          <cell r="J34">
            <v>2109.9</v>
          </cell>
          <cell r="K34">
            <v>2678.6</v>
          </cell>
          <cell r="L34">
            <v>4788.5</v>
          </cell>
          <cell r="M34">
            <v>8807.2000000000007</v>
          </cell>
          <cell r="N34">
            <v>17927</v>
          </cell>
          <cell r="O34">
            <v>26734.2</v>
          </cell>
          <cell r="P34">
            <v>14153</v>
          </cell>
          <cell r="Q34">
            <v>17373.5</v>
          </cell>
          <cell r="R34">
            <v>31526.5</v>
          </cell>
          <cell r="S34">
            <v>0</v>
          </cell>
          <cell r="T34">
            <v>5538.1</v>
          </cell>
          <cell r="U34">
            <v>7785.4999999999991</v>
          </cell>
          <cell r="V34">
            <v>13323.599999999999</v>
          </cell>
        </row>
        <row r="35">
          <cell r="A35">
            <v>33</v>
          </cell>
          <cell r="B35" t="str">
            <v>CARROLL CO. GEN.</v>
          </cell>
          <cell r="C35">
            <v>140145.61899999998</v>
          </cell>
          <cell r="D35">
            <v>108929.60299999999</v>
          </cell>
          <cell r="E35">
            <v>249075.22199999995</v>
          </cell>
          <cell r="F35">
            <v>249075.20000000001</v>
          </cell>
          <cell r="G35">
            <v>68581.482000000004</v>
          </cell>
          <cell r="H35">
            <v>36201.531999999999</v>
          </cell>
          <cell r="I35">
            <v>104783.014</v>
          </cell>
          <cell r="J35">
            <v>6827.1049999999996</v>
          </cell>
          <cell r="K35">
            <v>2049.277</v>
          </cell>
          <cell r="L35">
            <v>8876.3819999999996</v>
          </cell>
          <cell r="M35">
            <v>12410.802</v>
          </cell>
          <cell r="N35">
            <v>14729.88</v>
          </cell>
          <cell r="O35">
            <v>27140.682000000001</v>
          </cell>
          <cell r="P35">
            <v>8633.6299999999992</v>
          </cell>
          <cell r="Q35">
            <v>9598.6139999999996</v>
          </cell>
          <cell r="R35">
            <v>18232.243999999999</v>
          </cell>
          <cell r="S35">
            <v>6933.7</v>
          </cell>
          <cell r="T35">
            <v>5062.8999999999996</v>
          </cell>
          <cell r="U35">
            <v>6631.7</v>
          </cell>
          <cell r="V35">
            <v>11694.599999999999</v>
          </cell>
        </row>
        <row r="36">
          <cell r="A36">
            <v>34</v>
          </cell>
          <cell r="B36" t="str">
            <v>HARBOR HOSP.</v>
          </cell>
          <cell r="C36">
            <v>124522.45000000001</v>
          </cell>
          <cell r="D36">
            <v>76618.557000000001</v>
          </cell>
          <cell r="E36">
            <v>201141.00700000001</v>
          </cell>
          <cell r="F36">
            <v>201141</v>
          </cell>
          <cell r="G36">
            <v>49628.4</v>
          </cell>
          <cell r="H36">
            <v>15978.9</v>
          </cell>
          <cell r="I36">
            <v>65607.3</v>
          </cell>
          <cell r="J36">
            <v>6024.3</v>
          </cell>
          <cell r="K36">
            <v>1797</v>
          </cell>
          <cell r="L36">
            <v>7821.3</v>
          </cell>
          <cell r="M36">
            <v>10933.2</v>
          </cell>
          <cell r="N36">
            <v>10276.6</v>
          </cell>
          <cell r="O36">
            <v>21209.800000000003</v>
          </cell>
          <cell r="P36">
            <v>28983.3</v>
          </cell>
          <cell r="Q36">
            <v>24439.8</v>
          </cell>
          <cell r="R36">
            <v>53423.1</v>
          </cell>
          <cell r="S36">
            <v>1351</v>
          </cell>
          <cell r="T36">
            <v>9132.8539999999994</v>
          </cell>
          <cell r="U36">
            <v>8142.723</v>
          </cell>
          <cell r="V36">
            <v>17275.576999999997</v>
          </cell>
        </row>
        <row r="37">
          <cell r="A37">
            <v>35</v>
          </cell>
          <cell r="B37" t="str">
            <v>CIVISTA</v>
          </cell>
          <cell r="C37">
            <v>74121.266506954154</v>
          </cell>
          <cell r="D37">
            <v>62882.635987438676</v>
          </cell>
          <cell r="E37">
            <v>137003.90249439282</v>
          </cell>
          <cell r="F37">
            <v>137003.90000000002</v>
          </cell>
          <cell r="G37">
            <v>40548.765396078612</v>
          </cell>
          <cell r="H37">
            <v>16305.910085477151</v>
          </cell>
          <cell r="I37">
            <v>56854.675481555765</v>
          </cell>
          <cell r="J37">
            <v>2484.5433389824075</v>
          </cell>
          <cell r="K37">
            <v>1500.0725019399931</v>
          </cell>
          <cell r="L37">
            <v>3984.6158409224008</v>
          </cell>
          <cell r="M37">
            <v>10290.545954209931</v>
          </cell>
          <cell r="N37">
            <v>15044.441281876701</v>
          </cell>
          <cell r="O37">
            <v>25334.987236086632</v>
          </cell>
          <cell r="P37">
            <v>5365.4046868046844</v>
          </cell>
          <cell r="Q37">
            <v>8493.2623923745505</v>
          </cell>
          <cell r="R37">
            <v>13858.667079179235</v>
          </cell>
          <cell r="S37">
            <v>0</v>
          </cell>
          <cell r="T37">
            <v>6032.0021693502094</v>
          </cell>
          <cell r="U37">
            <v>4187.2091906497899</v>
          </cell>
          <cell r="V37">
            <v>10219.211359999999</v>
          </cell>
        </row>
        <row r="38">
          <cell r="A38">
            <v>37</v>
          </cell>
          <cell r="B38" t="str">
            <v>MEM. EASTON</v>
          </cell>
          <cell r="C38">
            <v>96886.300000000017</v>
          </cell>
          <cell r="D38">
            <v>89472.3</v>
          </cell>
          <cell r="E38">
            <v>186358.60000000003</v>
          </cell>
          <cell r="F38">
            <v>186358.59999999998</v>
          </cell>
          <cell r="G38">
            <v>59802.990579999998</v>
          </cell>
          <cell r="H38">
            <v>38730.52852</v>
          </cell>
          <cell r="I38">
            <v>98533.519100000005</v>
          </cell>
          <cell r="J38">
            <v>3395.4087100000002</v>
          </cell>
          <cell r="K38">
            <v>818.37814000000003</v>
          </cell>
          <cell r="L38">
            <v>4213.7868500000004</v>
          </cell>
          <cell r="M38">
            <v>9929.107</v>
          </cell>
          <cell r="N38">
            <v>16137.138999999999</v>
          </cell>
          <cell r="O38">
            <v>26066.245999999999</v>
          </cell>
          <cell r="P38">
            <v>11612.753500000001</v>
          </cell>
          <cell r="Q38">
            <v>12754.411330000001</v>
          </cell>
          <cell r="R38">
            <v>24367.164830000002</v>
          </cell>
          <cell r="S38">
            <v>3394.8218294253807</v>
          </cell>
          <cell r="T38">
            <v>5676.7069200000005</v>
          </cell>
          <cell r="U38">
            <v>5240.2628500000001</v>
          </cell>
          <cell r="V38">
            <v>10916.96977</v>
          </cell>
        </row>
        <row r="39">
          <cell r="A39">
            <v>38</v>
          </cell>
          <cell r="B39" t="str">
            <v>MARYLAND GEN.</v>
          </cell>
          <cell r="C39">
            <v>135697.35799999998</v>
          </cell>
          <cell r="D39">
            <v>80476.424999999988</v>
          </cell>
          <cell r="E39">
            <v>216173.78299999997</v>
          </cell>
          <cell r="F39">
            <v>216173.8</v>
          </cell>
          <cell r="G39">
            <v>52655.851514045135</v>
          </cell>
          <cell r="H39">
            <v>20879.399495372647</v>
          </cell>
          <cell r="I39">
            <v>73535.251009417785</v>
          </cell>
          <cell r="J39">
            <v>27108.963944418741</v>
          </cell>
          <cell r="K39">
            <v>5317.7035726436279</v>
          </cell>
          <cell r="L39">
            <v>32426.667517062371</v>
          </cell>
          <cell r="M39">
            <v>5764.4419527370383</v>
          </cell>
          <cell r="N39">
            <v>8176.4261469238718</v>
          </cell>
          <cell r="O39">
            <v>13940.868099660911</v>
          </cell>
          <cell r="P39">
            <v>34343.787991173005</v>
          </cell>
          <cell r="Q39">
            <v>32177.891503723578</v>
          </cell>
          <cell r="R39">
            <v>66521.679494896583</v>
          </cell>
          <cell r="S39">
            <v>0</v>
          </cell>
          <cell r="T39">
            <v>17128.156749288741</v>
          </cell>
          <cell r="U39">
            <v>15775.839870711261</v>
          </cell>
          <cell r="V39">
            <v>32903.996620000005</v>
          </cell>
        </row>
        <row r="40">
          <cell r="A40">
            <v>39</v>
          </cell>
          <cell r="B40" t="str">
            <v>CALVERT MEMORIAL</v>
          </cell>
          <cell r="C40">
            <v>66392.610549999998</v>
          </cell>
          <cell r="D40">
            <v>72470.295739999987</v>
          </cell>
          <cell r="E40">
            <v>138862.90628999998</v>
          </cell>
          <cell r="F40">
            <v>138862.9</v>
          </cell>
          <cell r="G40">
            <v>29846.450809024762</v>
          </cell>
          <cell r="H40">
            <v>19930.143021349049</v>
          </cell>
          <cell r="I40">
            <v>49776.593830373808</v>
          </cell>
          <cell r="J40">
            <v>2605.0963958081493</v>
          </cell>
          <cell r="K40">
            <v>1319.2729167777331</v>
          </cell>
          <cell r="L40">
            <v>3924.3693125858827</v>
          </cell>
          <cell r="M40">
            <v>9205.6586813621689</v>
          </cell>
          <cell r="N40">
            <v>14566.56414456625</v>
          </cell>
          <cell r="O40">
            <v>23772.222825928417</v>
          </cell>
          <cell r="P40">
            <v>6053.9592090922051</v>
          </cell>
          <cell r="Q40">
            <v>6940.6096664408979</v>
          </cell>
          <cell r="R40">
            <v>12994.568875533103</v>
          </cell>
          <cell r="S40">
            <v>782.85670000001039</v>
          </cell>
          <cell r="T40">
            <v>3927.8606759211616</v>
          </cell>
          <cell r="U40">
            <v>4620.2994791870178</v>
          </cell>
          <cell r="V40">
            <v>8548.1601551081803</v>
          </cell>
        </row>
        <row r="41">
          <cell r="A41">
            <v>40</v>
          </cell>
          <cell r="B41" t="str">
            <v>NORTHWEST</v>
          </cell>
          <cell r="C41">
            <v>144692.1</v>
          </cell>
          <cell r="D41">
            <v>103560.6</v>
          </cell>
          <cell r="E41">
            <v>248252.7</v>
          </cell>
          <cell r="F41">
            <v>248252.7</v>
          </cell>
          <cell r="G41">
            <v>79148.399999999994</v>
          </cell>
          <cell r="H41">
            <v>28389.8</v>
          </cell>
          <cell r="I41">
            <v>107538.2</v>
          </cell>
          <cell r="J41">
            <v>14382.6</v>
          </cell>
          <cell r="K41">
            <v>1487.7</v>
          </cell>
          <cell r="L41">
            <v>15870.300000000001</v>
          </cell>
          <cell r="M41">
            <v>12876.5</v>
          </cell>
          <cell r="N41">
            <v>19856.5</v>
          </cell>
          <cell r="O41">
            <v>32733</v>
          </cell>
          <cell r="P41">
            <v>16486</v>
          </cell>
          <cell r="Q41">
            <v>13434</v>
          </cell>
          <cell r="R41">
            <v>29920</v>
          </cell>
          <cell r="S41">
            <v>0</v>
          </cell>
          <cell r="T41">
            <v>10879.715755614709</v>
          </cell>
          <cell r="U41">
            <v>10002.067244385295</v>
          </cell>
          <cell r="V41">
            <v>20881.783000000003</v>
          </cell>
        </row>
        <row r="42">
          <cell r="A42">
            <v>43</v>
          </cell>
          <cell r="B42" t="str">
            <v>BALTIMORE/WASHINGTON</v>
          </cell>
          <cell r="C42">
            <v>218532.78399999996</v>
          </cell>
          <cell r="D42">
            <v>158280.00199999998</v>
          </cell>
          <cell r="E42">
            <v>376812.78599999996</v>
          </cell>
          <cell r="F42">
            <v>376812.79999999999</v>
          </cell>
          <cell r="G42">
            <v>105975.44173630595</v>
          </cell>
          <cell r="H42">
            <v>44779.909539748987</v>
          </cell>
          <cell r="I42">
            <v>150755.35127605492</v>
          </cell>
          <cell r="J42">
            <v>3848.379615147931</v>
          </cell>
          <cell r="K42">
            <v>2124.5494493975193</v>
          </cell>
          <cell r="L42">
            <v>5972.9290645454503</v>
          </cell>
          <cell r="M42">
            <v>17186.098427794848</v>
          </cell>
          <cell r="N42">
            <v>18347.727694512399</v>
          </cell>
          <cell r="O42">
            <v>35533.826122307248</v>
          </cell>
          <cell r="P42">
            <v>15150.029087317553</v>
          </cell>
          <cell r="Q42">
            <v>17876.807565445124</v>
          </cell>
          <cell r="R42">
            <v>33026.836652762679</v>
          </cell>
          <cell r="S42">
            <v>5437.7079999999996</v>
          </cell>
          <cell r="T42">
            <v>20799.781449158909</v>
          </cell>
          <cell r="U42">
            <v>16044.518550841098</v>
          </cell>
          <cell r="V42">
            <v>36844.300000000003</v>
          </cell>
        </row>
        <row r="43">
          <cell r="A43">
            <v>44</v>
          </cell>
          <cell r="B43" t="str">
            <v>G.B.M.C.</v>
          </cell>
          <cell r="C43">
            <v>203347.59999999998</v>
          </cell>
          <cell r="D43">
            <v>217790.09999999998</v>
          </cell>
          <cell r="E43">
            <v>421137.69999999995</v>
          </cell>
          <cell r="F43">
            <v>421137.7</v>
          </cell>
          <cell r="G43">
            <v>84582.399999999994</v>
          </cell>
          <cell r="H43">
            <v>68959</v>
          </cell>
          <cell r="I43">
            <v>153541.4</v>
          </cell>
          <cell r="J43">
            <v>2729.7</v>
          </cell>
          <cell r="K43">
            <v>3691.3</v>
          </cell>
          <cell r="L43">
            <v>6421</v>
          </cell>
          <cell r="M43">
            <v>25280.6</v>
          </cell>
          <cell r="N43">
            <v>38722.5</v>
          </cell>
          <cell r="O43">
            <v>64003.1</v>
          </cell>
          <cell r="P43">
            <v>16233.1</v>
          </cell>
          <cell r="Q43">
            <v>13997.9</v>
          </cell>
          <cell r="R43">
            <v>30231</v>
          </cell>
          <cell r="S43">
            <v>6965</v>
          </cell>
          <cell r="T43">
            <v>2882</v>
          </cell>
          <cell r="U43">
            <v>10253.5</v>
          </cell>
          <cell r="V43">
            <v>13135.5</v>
          </cell>
        </row>
        <row r="44">
          <cell r="A44">
            <v>45</v>
          </cell>
          <cell r="B44" t="str">
            <v>MCCREADY</v>
          </cell>
          <cell r="C44">
            <v>4421.3999999999996</v>
          </cell>
          <cell r="D44">
            <v>13554.2</v>
          </cell>
          <cell r="E44">
            <v>17975.599999999999</v>
          </cell>
          <cell r="F44">
            <v>17975.599999999999</v>
          </cell>
          <cell r="G44">
            <v>3241.495253440622</v>
          </cell>
          <cell r="H44">
            <v>5146.5863341086642</v>
          </cell>
          <cell r="I44">
            <v>8388.0815875492863</v>
          </cell>
          <cell r="J44">
            <v>47.571921357538656</v>
          </cell>
          <cell r="K44">
            <v>178.70154380055391</v>
          </cell>
          <cell r="L44">
            <v>226.27346515809256</v>
          </cell>
          <cell r="M44">
            <v>104.22017253477941</v>
          </cell>
          <cell r="N44">
            <v>1391.6814575136752</v>
          </cell>
          <cell r="O44">
            <v>1495.9016300484545</v>
          </cell>
          <cell r="P44">
            <v>203.28585523030122</v>
          </cell>
          <cell r="Q44">
            <v>1734.3940817614143</v>
          </cell>
          <cell r="R44">
            <v>1937.6799369917155</v>
          </cell>
          <cell r="S44">
            <v>413.08881000000002</v>
          </cell>
          <cell r="T44">
            <v>582.47112907852761</v>
          </cell>
          <cell r="U44">
            <v>912.79587092147233</v>
          </cell>
          <cell r="V44">
            <v>1495.2669999999998</v>
          </cell>
        </row>
        <row r="45">
          <cell r="A45">
            <v>48</v>
          </cell>
          <cell r="B45" t="str">
            <v>HOWARD CO. GEN.</v>
          </cell>
          <cell r="C45">
            <v>170443.63800000001</v>
          </cell>
          <cell r="D45">
            <v>108458.04699999999</v>
          </cell>
          <cell r="E45">
            <v>278901.685</v>
          </cell>
          <cell r="F45">
            <v>278901.59999999998</v>
          </cell>
          <cell r="G45">
            <v>67145.247000000003</v>
          </cell>
          <cell r="H45">
            <v>24701.02</v>
          </cell>
          <cell r="I45">
            <v>91846.267000000007</v>
          </cell>
          <cell r="J45">
            <v>5572.8450000000003</v>
          </cell>
          <cell r="K45">
            <v>2045.239</v>
          </cell>
          <cell r="L45">
            <v>7618.0840000000007</v>
          </cell>
          <cell r="M45">
            <v>26883.507000000001</v>
          </cell>
          <cell r="N45">
            <v>22736.361000000001</v>
          </cell>
          <cell r="O45">
            <v>49619.868000000002</v>
          </cell>
          <cell r="P45">
            <v>13249.075999999999</v>
          </cell>
          <cell r="Q45">
            <v>10359.598</v>
          </cell>
          <cell r="R45">
            <v>23608.673999999999</v>
          </cell>
          <cell r="S45">
            <v>1654.22668</v>
          </cell>
          <cell r="T45">
            <v>6495.857</v>
          </cell>
          <cell r="U45">
            <v>10205.987000000001</v>
          </cell>
          <cell r="V45">
            <v>16701.844000000001</v>
          </cell>
        </row>
        <row r="46">
          <cell r="A46">
            <v>49</v>
          </cell>
          <cell r="B46" t="str">
            <v>UPPER CHESAPEAKE</v>
          </cell>
          <cell r="C46">
            <v>139593.49999999997</v>
          </cell>
          <cell r="D46">
            <v>150407.30000000002</v>
          </cell>
          <cell r="E46">
            <v>290000.8</v>
          </cell>
          <cell r="F46">
            <v>216854.5</v>
          </cell>
          <cell r="G46">
            <v>66546.2</v>
          </cell>
          <cell r="H46">
            <v>52457.599999999999</v>
          </cell>
          <cell r="I46">
            <v>119003.79999999999</v>
          </cell>
          <cell r="J46">
            <v>982</v>
          </cell>
          <cell r="K46">
            <v>1377.9</v>
          </cell>
          <cell r="L46">
            <v>2359.9</v>
          </cell>
          <cell r="M46">
            <v>15920.4</v>
          </cell>
          <cell r="N46">
            <v>24509.1</v>
          </cell>
          <cell r="O46">
            <v>40429.5</v>
          </cell>
          <cell r="P46">
            <v>9424.4</v>
          </cell>
          <cell r="Q46">
            <v>10857.7</v>
          </cell>
          <cell r="R46">
            <v>20282.099999999999</v>
          </cell>
          <cell r="S46">
            <v>0</v>
          </cell>
          <cell r="T46">
            <v>7739.5999999999995</v>
          </cell>
          <cell r="U46">
            <v>9900.7999999999993</v>
          </cell>
          <cell r="V46">
            <v>17640.399999999998</v>
          </cell>
        </row>
        <row r="47">
          <cell r="A47">
            <v>51</v>
          </cell>
          <cell r="B47" t="str">
            <v>DR'S COMMUNITY HOSP.</v>
          </cell>
          <cell r="C47">
            <v>136255.86476</v>
          </cell>
          <cell r="D47">
            <v>80598.621000000014</v>
          </cell>
          <cell r="E47">
            <v>216854.48576000001</v>
          </cell>
          <cell r="F47">
            <v>121542.1</v>
          </cell>
          <cell r="G47">
            <v>68062.612678854464</v>
          </cell>
          <cell r="H47">
            <v>20575.656660069668</v>
          </cell>
          <cell r="I47">
            <v>88638.269338924132</v>
          </cell>
          <cell r="J47">
            <v>5476.6520780337214</v>
          </cell>
          <cell r="K47">
            <v>1938.5077176353268</v>
          </cell>
          <cell r="L47">
            <v>7415.1597956690484</v>
          </cell>
          <cell r="M47">
            <v>20438.714239304325</v>
          </cell>
          <cell r="N47">
            <v>18742.625202115254</v>
          </cell>
          <cell r="O47">
            <v>39181.339441419579</v>
          </cell>
          <cell r="P47">
            <v>11905.388945954177</v>
          </cell>
          <cell r="Q47">
            <v>11870.700176221113</v>
          </cell>
          <cell r="R47">
            <v>23776.08912217529</v>
          </cell>
          <cell r="S47">
            <v>1241.3514</v>
          </cell>
          <cell r="T47">
            <v>12633.193551134522</v>
          </cell>
          <cell r="U47">
            <v>7504.3888688654797</v>
          </cell>
          <cell r="V47">
            <v>20137.582420000002</v>
          </cell>
        </row>
        <row r="48">
          <cell r="A48">
            <v>54</v>
          </cell>
          <cell r="B48" t="str">
            <v>SOUTHERN MD.</v>
          </cell>
          <cell r="C48">
            <v>184247.81000000003</v>
          </cell>
          <cell r="D48">
            <v>105718.85800000002</v>
          </cell>
          <cell r="E48">
            <v>289966.66800000006</v>
          </cell>
          <cell r="F48">
            <v>99487.1</v>
          </cell>
          <cell r="G48">
            <v>88694.474168775138</v>
          </cell>
          <cell r="H48">
            <v>28042.200255658692</v>
          </cell>
          <cell r="I48">
            <v>116736.67442443383</v>
          </cell>
          <cell r="J48">
            <v>9756.5536436685197</v>
          </cell>
          <cell r="K48">
            <v>3861.8874373375515</v>
          </cell>
          <cell r="L48">
            <v>13618.441081006071</v>
          </cell>
          <cell r="M48">
            <v>15031.731845146474</v>
          </cell>
          <cell r="N48">
            <v>13732.921069706303</v>
          </cell>
          <cell r="O48">
            <v>28764.652914852777</v>
          </cell>
          <cell r="P48">
            <v>21713.823372434286</v>
          </cell>
          <cell r="Q48">
            <v>15848.529076884708</v>
          </cell>
          <cell r="R48">
            <v>37562.352449318991</v>
          </cell>
          <cell r="S48">
            <v>862.16</v>
          </cell>
          <cell r="T48">
            <v>12625.244005732297</v>
          </cell>
          <cell r="U48">
            <v>7220.4147542676983</v>
          </cell>
          <cell r="V48">
            <v>19845.658759999995</v>
          </cell>
        </row>
        <row r="49">
          <cell r="A49">
            <v>55</v>
          </cell>
          <cell r="B49" t="str">
            <v>LAUREL REGIONAL</v>
          </cell>
          <cell r="C49">
            <v>80303.356949999972</v>
          </cell>
          <cell r="D49">
            <v>41238.695840000008</v>
          </cell>
          <cell r="E49">
            <v>121542.05278999999</v>
          </cell>
          <cell r="F49">
            <v>144983.29999999999</v>
          </cell>
          <cell r="G49">
            <v>15270.346793323091</v>
          </cell>
          <cell r="H49">
            <v>7402.7090432025761</v>
          </cell>
          <cell r="I49">
            <v>22673.055836525666</v>
          </cell>
          <cell r="J49">
            <v>6325.9759719311542</v>
          </cell>
          <cell r="K49">
            <v>866.02520897836723</v>
          </cell>
          <cell r="L49">
            <v>7192.0011809095213</v>
          </cell>
          <cell r="M49">
            <v>9581.6531492212889</v>
          </cell>
          <cell r="N49">
            <v>8035.1697669398391</v>
          </cell>
          <cell r="O49">
            <v>17616.822916161127</v>
          </cell>
          <cell r="P49">
            <v>9641.4745486892498</v>
          </cell>
          <cell r="Q49">
            <v>6133.9297591142913</v>
          </cell>
          <cell r="R49">
            <v>15775.404307803541</v>
          </cell>
          <cell r="S49">
            <v>0</v>
          </cell>
          <cell r="T49">
            <v>9350.1610000000001</v>
          </cell>
          <cell r="U49">
            <v>7948.60905</v>
          </cell>
          <cell r="V49">
            <v>17298.770049999999</v>
          </cell>
        </row>
        <row r="50">
          <cell r="A50">
            <v>60</v>
          </cell>
          <cell r="B50" t="str">
            <v>FORT WASHINGTON</v>
          </cell>
          <cell r="C50">
            <v>19189.3</v>
          </cell>
          <cell r="D50">
            <v>26967.325000000001</v>
          </cell>
          <cell r="E50">
            <v>46156.625</v>
          </cell>
          <cell r="F50">
            <v>337661.5</v>
          </cell>
          <cell r="G50">
            <v>9888.2100500000033</v>
          </cell>
          <cell r="H50">
            <v>6083.478510000029</v>
          </cell>
          <cell r="I50">
            <v>15971.688560000031</v>
          </cell>
          <cell r="J50">
            <v>1376.9741200000001</v>
          </cell>
          <cell r="K50">
            <v>356.93922000000003</v>
          </cell>
          <cell r="L50">
            <v>1733.9133400000001</v>
          </cell>
          <cell r="M50">
            <v>3127.9072700000002</v>
          </cell>
          <cell r="N50">
            <v>6660.2921399999968</v>
          </cell>
          <cell r="O50">
            <v>9788.1994099999974</v>
          </cell>
          <cell r="P50">
            <v>2195.85</v>
          </cell>
          <cell r="Q50">
            <v>4365.0630000000001</v>
          </cell>
          <cell r="R50">
            <v>6560.9130000000005</v>
          </cell>
          <cell r="S50">
            <v>625.01763000000005</v>
          </cell>
          <cell r="T50">
            <v>2168.2303057323993</v>
          </cell>
          <cell r="U50">
            <v>4120.8516942676015</v>
          </cell>
          <cell r="V50">
            <v>6289.0820000000003</v>
          </cell>
        </row>
        <row r="51">
          <cell r="A51">
            <v>61</v>
          </cell>
          <cell r="B51" t="str">
            <v>ATLANTIC GENERAL</v>
          </cell>
          <cell r="C51">
            <v>38723.199999999997</v>
          </cell>
          <cell r="D51">
            <v>60763.9</v>
          </cell>
          <cell r="E51">
            <v>99487.1</v>
          </cell>
          <cell r="F51">
            <v>4999.8999999999996</v>
          </cell>
          <cell r="G51">
            <v>26128.6</v>
          </cell>
          <cell r="H51">
            <v>25869.8</v>
          </cell>
          <cell r="I51">
            <v>51998.400000000001</v>
          </cell>
          <cell r="J51">
            <v>771.8</v>
          </cell>
          <cell r="K51">
            <v>823.3</v>
          </cell>
          <cell r="L51">
            <v>1595.1</v>
          </cell>
          <cell r="M51">
            <v>3677.8</v>
          </cell>
          <cell r="N51">
            <v>12411.5</v>
          </cell>
          <cell r="O51">
            <v>16089.3</v>
          </cell>
          <cell r="P51">
            <v>1621.8</v>
          </cell>
          <cell r="Q51">
            <v>5613.6</v>
          </cell>
          <cell r="R51">
            <v>7235.4</v>
          </cell>
          <cell r="S51">
            <v>1559.9519999999998</v>
          </cell>
          <cell r="T51">
            <v>2369.6999999999998</v>
          </cell>
          <cell r="U51">
            <v>5268.4</v>
          </cell>
          <cell r="V51">
            <v>7638.1</v>
          </cell>
        </row>
        <row r="52">
          <cell r="A52">
            <v>2001</v>
          </cell>
          <cell r="B52" t="str">
            <v>KERNANS</v>
          </cell>
          <cell r="C52">
            <v>69095.805190000028</v>
          </cell>
          <cell r="D52">
            <v>46131.554900000003</v>
          </cell>
          <cell r="E52">
            <v>115227.36009000003</v>
          </cell>
          <cell r="F52">
            <v>13677.9</v>
          </cell>
          <cell r="G52">
            <v>27668.368828214854</v>
          </cell>
          <cell r="H52">
            <v>6313.9228594402412</v>
          </cell>
          <cell r="I52">
            <v>33982.291687655095</v>
          </cell>
          <cell r="J52">
            <v>12530.465629695913</v>
          </cell>
          <cell r="K52">
            <v>25.941308016474824</v>
          </cell>
          <cell r="L52">
            <v>12556.406937712387</v>
          </cell>
          <cell r="M52">
            <v>9713.322580016049</v>
          </cell>
          <cell r="N52">
            <v>10575.419725962636</v>
          </cell>
          <cell r="O52">
            <v>20288.742305978685</v>
          </cell>
          <cell r="P52">
            <v>4807.3324553007342</v>
          </cell>
          <cell r="Q52">
            <v>13321.545810241947</v>
          </cell>
          <cell r="R52">
            <v>18128.87826554268</v>
          </cell>
          <cell r="S52">
            <v>298.8403190403717</v>
          </cell>
          <cell r="T52">
            <v>1556.990669</v>
          </cell>
          <cell r="U52">
            <v>4431.4349810000003</v>
          </cell>
          <cell r="V52">
            <v>5988.4256500000001</v>
          </cell>
        </row>
        <row r="53">
          <cell r="A53">
            <v>2004</v>
          </cell>
          <cell r="B53" t="str">
            <v>GOOD SAMARITAN</v>
          </cell>
          <cell r="C53">
            <v>182945.52101</v>
          </cell>
          <cell r="D53">
            <v>112791.24532000002</v>
          </cell>
          <cell r="E53">
            <v>295736.76633000001</v>
          </cell>
          <cell r="F53">
            <v>115227.4</v>
          </cell>
          <cell r="G53">
            <v>100947.18946314687</v>
          </cell>
          <cell r="H53">
            <v>41466.688334355153</v>
          </cell>
          <cell r="I53">
            <v>142413.87779750203</v>
          </cell>
          <cell r="J53">
            <v>11268.180509595406</v>
          </cell>
          <cell r="K53">
            <v>3388.3263713908036</v>
          </cell>
          <cell r="L53">
            <v>14656.50688098621</v>
          </cell>
          <cell r="M53">
            <v>17506.803770767248</v>
          </cell>
          <cell r="N53">
            <v>18456.929596339251</v>
          </cell>
          <cell r="O53">
            <v>35963.733367106499</v>
          </cell>
          <cell r="P53">
            <v>21631.715438321578</v>
          </cell>
          <cell r="Q53">
            <v>20125.333694446621</v>
          </cell>
          <cell r="R53">
            <v>41757.049132768196</v>
          </cell>
          <cell r="S53">
            <v>2792.5635899999997</v>
          </cell>
          <cell r="T53">
            <v>9203.8970699999991</v>
          </cell>
          <cell r="U53">
            <v>10321.191910000001</v>
          </cell>
          <cell r="V53">
            <v>19525.08898</v>
          </cell>
        </row>
        <row r="54">
          <cell r="A54">
            <v>5050</v>
          </cell>
          <cell r="B54" t="str">
            <v>SHADY GROVE</v>
          </cell>
          <cell r="C54">
            <v>233837.60510000002</v>
          </cell>
          <cell r="D54">
            <v>141352.18789999999</v>
          </cell>
          <cell r="E54">
            <v>375189.79300000001</v>
          </cell>
          <cell r="F54">
            <v>295736.8</v>
          </cell>
          <cell r="G54">
            <v>87259.922999999995</v>
          </cell>
          <cell r="H54">
            <v>29571.756000000001</v>
          </cell>
          <cell r="I54">
            <v>116831.679</v>
          </cell>
          <cell r="J54">
            <v>13273.342000000001</v>
          </cell>
          <cell r="K54">
            <v>8038.7910000000002</v>
          </cell>
          <cell r="L54">
            <v>21312.133000000002</v>
          </cell>
          <cell r="M54">
            <v>41892.279000000002</v>
          </cell>
          <cell r="N54">
            <v>32916.743000000002</v>
          </cell>
          <cell r="O54">
            <v>74809.021999999997</v>
          </cell>
          <cell r="P54">
            <v>26586.845000000001</v>
          </cell>
          <cell r="Q54">
            <v>14803.09</v>
          </cell>
          <cell r="R54">
            <v>41389.934999999998</v>
          </cell>
          <cell r="S54">
            <v>4394.3095700000003</v>
          </cell>
          <cell r="T54">
            <v>21559.545349999997</v>
          </cell>
          <cell r="U54">
            <v>3804.6256499999995</v>
          </cell>
          <cell r="V54">
            <v>25364.170999999995</v>
          </cell>
        </row>
        <row r="55">
          <cell r="A55">
            <v>8992</v>
          </cell>
          <cell r="B55" t="str">
            <v xml:space="preserve">   SHOCK TRAUMA</v>
          </cell>
          <cell r="C55">
            <v>174064.07689000003</v>
          </cell>
          <cell r="D55">
            <v>14616.801590000003</v>
          </cell>
          <cell r="E55">
            <v>188680.87848000001</v>
          </cell>
          <cell r="F55">
            <v>188680.90000000002</v>
          </cell>
          <cell r="G55">
            <v>41627.395767712092</v>
          </cell>
          <cell r="H55">
            <v>3257.5030294402504</v>
          </cell>
          <cell r="I55">
            <v>44884.898797152346</v>
          </cell>
          <cell r="J55">
            <v>30944.72396056545</v>
          </cell>
          <cell r="K55">
            <v>1288.9906613400544</v>
          </cell>
          <cell r="L55">
            <v>32233.714621905507</v>
          </cell>
          <cell r="M55">
            <v>27129.959409688126</v>
          </cell>
          <cell r="N55">
            <v>3067.2244371253105</v>
          </cell>
          <cell r="O55">
            <v>30197.183846813437</v>
          </cell>
          <cell r="P55">
            <v>19838.759349120533</v>
          </cell>
          <cell r="Q55">
            <v>2402.4963120451107</v>
          </cell>
          <cell r="R55">
            <v>22241.255661165644</v>
          </cell>
          <cell r="S55">
            <v>241.70271966000328</v>
          </cell>
          <cell r="T55">
            <v>38704.453570830185</v>
          </cell>
          <cell r="U55">
            <v>3404.1102440650138</v>
          </cell>
          <cell r="V55">
            <v>42108.563814895198</v>
          </cell>
        </row>
        <row r="56">
          <cell r="A56">
            <v>5033</v>
          </cell>
          <cell r="B56" t="str">
            <v>LEVINDALE</v>
          </cell>
          <cell r="C56">
            <v>50680.6</v>
          </cell>
          <cell r="D56">
            <v>2929.6</v>
          </cell>
          <cell r="E56">
            <v>53610.2</v>
          </cell>
          <cell r="G56">
            <v>40480.5</v>
          </cell>
          <cell r="H56">
            <v>2559.3000000000002</v>
          </cell>
          <cell r="I56">
            <v>43039.8</v>
          </cell>
          <cell r="J56">
            <v>3855</v>
          </cell>
          <cell r="K56">
            <v>0.7</v>
          </cell>
          <cell r="L56">
            <v>3855.6</v>
          </cell>
          <cell r="M56">
            <v>1885.5</v>
          </cell>
          <cell r="N56">
            <v>116.9</v>
          </cell>
          <cell r="O56">
            <v>2002.4</v>
          </cell>
          <cell r="P56">
            <v>903.2</v>
          </cell>
          <cell r="Q56">
            <v>51.3</v>
          </cell>
          <cell r="R56">
            <v>954.5</v>
          </cell>
          <cell r="S56">
            <v>0</v>
          </cell>
          <cell r="T56">
            <v>973.4</v>
          </cell>
          <cell r="U56">
            <v>0</v>
          </cell>
          <cell r="V56">
            <v>973.4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Totals"/>
      <sheetName val="FY2011-2010 Comparison"/>
      <sheetName val="AAMC 11"/>
      <sheetName val="Atlantic General 11"/>
      <sheetName val="Bon Secours 11"/>
      <sheetName val="BWMC 11"/>
      <sheetName val="Calvert 11"/>
      <sheetName val="Carroll 11"/>
      <sheetName val="Chester River 11"/>
      <sheetName val="CIVISTA 11"/>
      <sheetName val="Doctors 11"/>
      <sheetName val="Dorchester 11"/>
      <sheetName val="Memorial Easton 11"/>
      <sheetName val="Franklin Square 11"/>
      <sheetName val="Frederick 11"/>
      <sheetName val="Ft Washington 11"/>
      <sheetName val="Garrett 11"/>
      <sheetName val="Good Samaritan 11"/>
      <sheetName val="GBMC 11"/>
      <sheetName val="Harbor 11"/>
      <sheetName val="Holy Cross 11"/>
      <sheetName val="HCGH 11"/>
      <sheetName val="JHH 11"/>
      <sheetName val="JHB 11"/>
      <sheetName val="Kernan 11"/>
      <sheetName val="Laurel 11"/>
      <sheetName val="MD General 11"/>
      <sheetName val="McCready 11"/>
      <sheetName val="Mercy 11"/>
      <sheetName val="Meritus 11"/>
      <sheetName val="Montgomery Gen 11"/>
      <sheetName val="Northwest 11"/>
      <sheetName val="Pen Gen 11"/>
      <sheetName val="Prince Georges 11"/>
      <sheetName val="Shady Grove 11"/>
      <sheetName val="Sinai 11"/>
      <sheetName val="Southern MD 11"/>
      <sheetName val="St Agnes 11"/>
      <sheetName val="St. Joes 11"/>
      <sheetName val="St. Marys 11"/>
      <sheetName val="Suburban 11"/>
      <sheetName val="Union Cecil 11"/>
      <sheetName val="Union Mem 11"/>
      <sheetName val="UMMC 11"/>
      <sheetName val="UCH - Harford Mem 11"/>
      <sheetName val="UCH -Upper Ches 11"/>
      <sheetName val="Wash Adventist 11"/>
      <sheetName val="WMHS 11"/>
    </sheetNames>
    <sheetDataSet>
      <sheetData sheetId="0"/>
      <sheetData sheetId="1"/>
      <sheetData sheetId="2">
        <row r="121">
          <cell r="F121">
            <v>439610000</v>
          </cell>
        </row>
      </sheetData>
      <sheetData sheetId="3">
        <row r="121">
          <cell r="F121">
            <v>88062865</v>
          </cell>
        </row>
      </sheetData>
      <sheetData sheetId="4">
        <row r="121">
          <cell r="F121">
            <v>135427187</v>
          </cell>
        </row>
      </sheetData>
      <sheetData sheetId="5">
        <row r="121">
          <cell r="F121">
            <v>319612000</v>
          </cell>
        </row>
      </sheetData>
      <sheetData sheetId="6">
        <row r="121">
          <cell r="F121">
            <v>115707400</v>
          </cell>
        </row>
      </sheetData>
      <sheetData sheetId="7">
        <row r="121">
          <cell r="F121">
            <v>188182000</v>
          </cell>
        </row>
      </sheetData>
      <sheetData sheetId="8">
        <row r="121">
          <cell r="F121">
            <v>55032000</v>
          </cell>
        </row>
      </sheetData>
      <sheetData sheetId="9">
        <row r="121">
          <cell r="F121">
            <v>102090948</v>
          </cell>
        </row>
      </sheetData>
      <sheetData sheetId="10">
        <row r="121">
          <cell r="F121">
            <v>194523558</v>
          </cell>
        </row>
      </sheetData>
      <sheetData sheetId="11">
        <row r="121">
          <cell r="F121">
            <v>41944946.561561666</v>
          </cell>
        </row>
      </sheetData>
      <sheetData sheetId="12">
        <row r="121">
          <cell r="F121">
            <v>140221608.23718029</v>
          </cell>
        </row>
      </sheetData>
      <sheetData sheetId="13">
        <row r="121">
          <cell r="F121">
            <v>410262600</v>
          </cell>
        </row>
      </sheetData>
      <sheetData sheetId="14">
        <row r="121">
          <cell r="F121">
            <v>332418000</v>
          </cell>
        </row>
      </sheetData>
      <sheetData sheetId="15">
        <row r="121">
          <cell r="F121">
            <v>40954995</v>
          </cell>
        </row>
      </sheetData>
      <sheetData sheetId="16">
        <row r="121">
          <cell r="F121">
            <v>35606008</v>
          </cell>
        </row>
      </sheetData>
      <sheetData sheetId="17">
        <row r="121">
          <cell r="F121">
            <v>300220500</v>
          </cell>
        </row>
      </sheetData>
      <sheetData sheetId="18">
        <row r="121">
          <cell r="F121">
            <v>392667399</v>
          </cell>
        </row>
      </sheetData>
      <sheetData sheetId="19">
        <row r="121">
          <cell r="F121">
            <v>183840500</v>
          </cell>
        </row>
      </sheetData>
      <sheetData sheetId="20">
        <row r="121">
          <cell r="F121">
            <v>389986549</v>
          </cell>
        </row>
      </sheetData>
      <sheetData sheetId="21">
        <row r="121">
          <cell r="F121">
            <v>226186000</v>
          </cell>
        </row>
      </sheetData>
      <sheetData sheetId="22">
        <row r="121">
          <cell r="F121">
            <v>1648599000</v>
          </cell>
        </row>
      </sheetData>
      <sheetData sheetId="23">
        <row r="121">
          <cell r="F121">
            <v>504690000</v>
          </cell>
        </row>
      </sheetData>
      <sheetData sheetId="24">
        <row r="121">
          <cell r="F121">
            <v>90594000</v>
          </cell>
        </row>
      </sheetData>
      <sheetData sheetId="25">
        <row r="121">
          <cell r="F121">
            <v>94179100</v>
          </cell>
        </row>
      </sheetData>
      <sheetData sheetId="26">
        <row r="121">
          <cell r="F121">
            <v>178038000</v>
          </cell>
        </row>
      </sheetData>
      <sheetData sheetId="27">
        <row r="121">
          <cell r="F121">
            <v>17313509</v>
          </cell>
        </row>
      </sheetData>
      <sheetData sheetId="28">
        <row r="121">
          <cell r="F121">
            <v>386361000</v>
          </cell>
        </row>
      </sheetData>
      <sheetData sheetId="29">
        <row r="121">
          <cell r="F121">
            <v>270510801</v>
          </cell>
        </row>
      </sheetData>
      <sheetData sheetId="30">
        <row r="121">
          <cell r="F121">
            <v>133009700</v>
          </cell>
        </row>
      </sheetData>
      <sheetData sheetId="31">
        <row r="121">
          <cell r="F121">
            <v>204008000</v>
          </cell>
        </row>
      </sheetData>
      <sheetData sheetId="32">
        <row r="121">
          <cell r="F121">
            <v>366862000</v>
          </cell>
        </row>
      </sheetData>
      <sheetData sheetId="33">
        <row r="121">
          <cell r="F121">
            <v>242965900</v>
          </cell>
        </row>
      </sheetData>
      <sheetData sheetId="34">
        <row r="121">
          <cell r="F121">
            <v>269589154.85699999</v>
          </cell>
        </row>
      </sheetData>
      <sheetData sheetId="35">
        <row r="121">
          <cell r="F121">
            <v>651313000</v>
          </cell>
        </row>
      </sheetData>
      <sheetData sheetId="36">
        <row r="121">
          <cell r="F121">
            <v>227132278</v>
          </cell>
        </row>
      </sheetData>
      <sheetData sheetId="37">
        <row r="121">
          <cell r="F121">
            <v>380659763</v>
          </cell>
        </row>
      </sheetData>
      <sheetData sheetId="38">
        <row r="121">
          <cell r="F121">
            <v>330327712</v>
          </cell>
        </row>
      </sheetData>
      <sheetData sheetId="39">
        <row r="121">
          <cell r="F121">
            <v>112047400</v>
          </cell>
        </row>
      </sheetData>
      <sheetData sheetId="40">
        <row r="121">
          <cell r="F121">
            <v>241360000</v>
          </cell>
        </row>
      </sheetData>
      <sheetData sheetId="41">
        <row r="121">
          <cell r="F121">
            <v>135590000</v>
          </cell>
        </row>
      </sheetData>
      <sheetData sheetId="42">
        <row r="121">
          <cell r="F121">
            <v>384090500</v>
          </cell>
        </row>
      </sheetData>
      <sheetData sheetId="43">
        <row r="121">
          <cell r="F121">
            <v>1249077000</v>
          </cell>
        </row>
      </sheetData>
      <sheetData sheetId="44">
        <row r="121">
          <cell r="F121">
            <v>88883000</v>
          </cell>
        </row>
      </sheetData>
      <sheetData sheetId="45">
        <row r="121">
          <cell r="F121">
            <v>194088000</v>
          </cell>
        </row>
      </sheetData>
      <sheetData sheetId="46">
        <row r="121">
          <cell r="F121">
            <v>211836413.13800001</v>
          </cell>
        </row>
      </sheetData>
      <sheetData sheetId="47">
        <row r="121">
          <cell r="F121">
            <v>293906377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S MHE DGH Com Ben Rpt 2013"/>
      <sheetName val="MHE CBR FY2013"/>
      <sheetName val="MHE"/>
      <sheetName val="DGH CBR FY2013"/>
      <sheetName val="DGH "/>
      <sheetName val="UMMS FSS FIN DATA 2013"/>
      <sheetName val="Activities Comm Ben 2012"/>
      <sheetName val="SHS MHE DGH 2012"/>
    </sheetNames>
    <sheetDataSet>
      <sheetData sheetId="0">
        <row r="27">
          <cell r="E27">
            <v>2503</v>
          </cell>
        </row>
        <row r="175">
          <cell r="E175">
            <v>2</v>
          </cell>
          <cell r="F175">
            <v>8</v>
          </cell>
          <cell r="G175">
            <v>85.344012801511354</v>
          </cell>
          <cell r="H175">
            <v>50.36150195417185</v>
          </cell>
          <cell r="I175">
            <v>0</v>
          </cell>
        </row>
        <row r="179">
          <cell r="E179">
            <v>126</v>
          </cell>
          <cell r="F179">
            <v>79</v>
          </cell>
          <cell r="G179">
            <v>1885.6092879354269</v>
          </cell>
          <cell r="I179">
            <v>0</v>
          </cell>
        </row>
        <row r="181">
          <cell r="E181">
            <v>0</v>
          </cell>
          <cell r="F181">
            <v>0</v>
          </cell>
          <cell r="G181">
            <v>6130.2097535395915</v>
          </cell>
          <cell r="I181">
            <v>0</v>
          </cell>
        </row>
        <row r="185">
          <cell r="E185">
            <v>109</v>
          </cell>
          <cell r="F185">
            <v>0</v>
          </cell>
          <cell r="G185">
            <v>8951.2486976823693</v>
          </cell>
          <cell r="I185">
            <v>0</v>
          </cell>
        </row>
        <row r="187">
          <cell r="E187">
            <v>205</v>
          </cell>
          <cell r="F187">
            <v>611</v>
          </cell>
          <cell r="G187">
            <v>8747.7613121549148</v>
          </cell>
          <cell r="I187">
            <v>0</v>
          </cell>
        </row>
        <row r="189">
          <cell r="E189">
            <v>200</v>
          </cell>
          <cell r="F189">
            <v>0</v>
          </cell>
          <cell r="G189">
            <v>7922.4144963001809</v>
          </cell>
          <cell r="I189">
            <v>0</v>
          </cell>
        </row>
        <row r="190">
          <cell r="E190">
            <v>375</v>
          </cell>
          <cell r="G190">
            <v>16002.00240028338</v>
          </cell>
        </row>
      </sheetData>
      <sheetData sheetId="1"/>
      <sheetData sheetId="2">
        <row r="20">
          <cell r="D20">
            <v>2063</v>
          </cell>
        </row>
        <row r="107">
          <cell r="L107">
            <v>345110.35500000004</v>
          </cell>
        </row>
      </sheetData>
      <sheetData sheetId="3"/>
      <sheetData sheetId="4">
        <row r="18">
          <cell r="D18">
            <v>1106</v>
          </cell>
        </row>
        <row r="24">
          <cell r="E24">
            <v>155248</v>
          </cell>
          <cell r="G24">
            <v>4576</v>
          </cell>
        </row>
        <row r="25">
          <cell r="G25">
            <v>5</v>
          </cell>
        </row>
        <row r="28">
          <cell r="E28">
            <v>20548</v>
          </cell>
        </row>
        <row r="84">
          <cell r="K84">
            <v>0</v>
          </cell>
        </row>
        <row r="85">
          <cell r="K85">
            <v>434998.8</v>
          </cell>
        </row>
        <row r="86">
          <cell r="O86">
            <v>704.90811861934856</v>
          </cell>
        </row>
        <row r="87">
          <cell r="O87">
            <v>528.68108896451145</v>
          </cell>
        </row>
        <row r="89">
          <cell r="K89">
            <v>553292.88</v>
          </cell>
        </row>
        <row r="90">
          <cell r="O90">
            <v>22045</v>
          </cell>
        </row>
        <row r="91">
          <cell r="O91">
            <v>10950</v>
          </cell>
        </row>
        <row r="93">
          <cell r="K93">
            <v>1250</v>
          </cell>
        </row>
        <row r="94">
          <cell r="K94">
            <v>214050</v>
          </cell>
        </row>
        <row r="100">
          <cell r="I100">
            <v>788188.5</v>
          </cell>
          <cell r="J100">
            <v>1515989</v>
          </cell>
          <cell r="K100">
            <v>0</v>
          </cell>
        </row>
        <row r="102">
          <cell r="I102">
            <v>1701238.66</v>
          </cell>
          <cell r="J102">
            <v>1793341.3</v>
          </cell>
          <cell r="K102">
            <v>-149184.97999999998</v>
          </cell>
        </row>
        <row r="215">
          <cell r="D215">
            <v>1309455</v>
          </cell>
          <cell r="E215">
            <v>1531302</v>
          </cell>
        </row>
      </sheetData>
      <sheetData sheetId="5">
        <row r="8">
          <cell r="Q8">
            <v>163816000</v>
          </cell>
          <cell r="R8">
            <v>48191000</v>
          </cell>
        </row>
        <row r="9">
          <cell r="R9">
            <v>393000</v>
          </cell>
        </row>
        <row r="12">
          <cell r="R12">
            <v>42329000</v>
          </cell>
        </row>
        <row r="16">
          <cell r="R16">
            <v>0</v>
          </cell>
        </row>
        <row r="17">
          <cell r="AZ17">
            <v>0.59009999999999996</v>
          </cell>
        </row>
        <row r="27">
          <cell r="R27">
            <v>2768</v>
          </cell>
        </row>
      </sheetData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_Physicians"/>
    </sheetNames>
    <sheetDataSet>
      <sheetData sheetId="0" refreshError="1">
        <row r="115">
          <cell r="J115">
            <v>0</v>
          </cell>
          <cell r="K115">
            <v>0</v>
          </cell>
          <cell r="L115">
            <v>6807379.78317028</v>
          </cell>
          <cell r="N115">
            <v>-5821160.8619151805</v>
          </cell>
        </row>
        <row r="116">
          <cell r="J116">
            <v>18328.094999999998</v>
          </cell>
          <cell r="K116">
            <v>22304</v>
          </cell>
          <cell r="L116">
            <v>767000.90639999998</v>
          </cell>
          <cell r="M116">
            <v>355168.1521780272</v>
          </cell>
        </row>
        <row r="117">
          <cell r="J117">
            <v>953.16</v>
          </cell>
          <cell r="K117">
            <v>1003</v>
          </cell>
          <cell r="L117">
            <v>31304.242400000003</v>
          </cell>
          <cell r="M117">
            <v>17900.388143589651</v>
          </cell>
        </row>
        <row r="118"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J119">
            <v>285.5</v>
          </cell>
          <cell r="K119">
            <v>1380.5</v>
          </cell>
          <cell r="L119">
            <v>1242</v>
          </cell>
          <cell r="M119">
            <v>710.20029139367853</v>
          </cell>
        </row>
        <row r="120">
          <cell r="J120">
            <v>6384.5600000000013</v>
          </cell>
          <cell r="K120">
            <v>6441.3825840000009</v>
          </cell>
          <cell r="L120">
            <v>231636.37255</v>
          </cell>
          <cell r="M120">
            <v>132454.2828360585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J124">
            <v>4811.125</v>
          </cell>
          <cell r="K124">
            <v>3743</v>
          </cell>
          <cell r="L124">
            <v>1794821.2887500001</v>
          </cell>
          <cell r="M124">
            <v>1026314.4945811817</v>
          </cell>
        </row>
        <row r="125">
          <cell r="J125">
            <v>1667.9200000000003</v>
          </cell>
          <cell r="K125">
            <v>3528.5468000000005</v>
          </cell>
          <cell r="L125">
            <v>24425.712649999998</v>
          </cell>
          <cell r="M125">
            <v>13967.10808496639</v>
          </cell>
        </row>
        <row r="126">
          <cell r="J126">
            <v>0</v>
          </cell>
          <cell r="K126">
            <v>0</v>
          </cell>
          <cell r="L126">
            <v>135576.783</v>
          </cell>
          <cell r="M126">
            <v>0</v>
          </cell>
        </row>
        <row r="127">
          <cell r="J127">
            <v>13787.95</v>
          </cell>
          <cell r="K127">
            <v>3446.9875000000002</v>
          </cell>
          <cell r="L127">
            <v>565768</v>
          </cell>
          <cell r="M127">
            <v>0</v>
          </cell>
        </row>
        <row r="128">
          <cell r="J128">
            <v>6973.25</v>
          </cell>
          <cell r="K128">
            <v>6406.0501571525747</v>
          </cell>
          <cell r="L128">
            <v>144592.03125000003</v>
          </cell>
          <cell r="M128">
            <v>0</v>
          </cell>
        </row>
        <row r="129">
          <cell r="J129">
            <v>3734.69</v>
          </cell>
          <cell r="K129">
            <v>358.19529398000003</v>
          </cell>
          <cell r="L129">
            <v>200113.3</v>
          </cell>
          <cell r="M129">
            <v>0</v>
          </cell>
        </row>
        <row r="130"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J131">
            <v>68219.286666666667</v>
          </cell>
          <cell r="K131">
            <v>64.5</v>
          </cell>
          <cell r="L131">
            <v>8303439.2599999998</v>
          </cell>
          <cell r="M131">
            <v>0</v>
          </cell>
          <cell r="N131">
            <v>0</v>
          </cell>
        </row>
        <row r="132">
          <cell r="J132">
            <v>0</v>
          </cell>
          <cell r="K132">
            <v>0</v>
          </cell>
          <cell r="L132">
            <v>1589291.4900000002</v>
          </cell>
          <cell r="M132">
            <v>0</v>
          </cell>
          <cell r="N132">
            <v>0</v>
          </cell>
        </row>
        <row r="133"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J134">
            <v>0</v>
          </cell>
          <cell r="K134">
            <v>0</v>
          </cell>
          <cell r="L134">
            <v>5137394.7560000019</v>
          </cell>
          <cell r="M134">
            <v>0</v>
          </cell>
          <cell r="N134">
            <v>0</v>
          </cell>
        </row>
        <row r="135">
          <cell r="J135">
            <v>8206.2899999999991</v>
          </cell>
          <cell r="K135">
            <v>1025.5</v>
          </cell>
          <cell r="L135">
            <v>501069.2209999999</v>
          </cell>
          <cell r="M135">
            <v>0</v>
          </cell>
        </row>
        <row r="136">
          <cell r="J136">
            <v>2</v>
          </cell>
          <cell r="K136">
            <v>3</v>
          </cell>
          <cell r="L136">
            <v>71084.36</v>
          </cell>
          <cell r="M136">
            <v>0</v>
          </cell>
          <cell r="N136">
            <v>0</v>
          </cell>
        </row>
        <row r="137">
          <cell r="J137">
            <v>85</v>
          </cell>
          <cell r="K137">
            <v>115</v>
          </cell>
          <cell r="L137">
            <v>628821.51</v>
          </cell>
        </row>
        <row r="138">
          <cell r="J138">
            <v>0</v>
          </cell>
          <cell r="K138">
            <v>0</v>
          </cell>
          <cell r="L138">
            <v>0</v>
          </cell>
        </row>
        <row r="139">
          <cell r="J139">
            <v>12.5</v>
          </cell>
          <cell r="K139">
            <v>16</v>
          </cell>
          <cell r="L139">
            <v>2659</v>
          </cell>
        </row>
        <row r="140">
          <cell r="J140">
            <v>0</v>
          </cell>
          <cell r="K140">
            <v>0</v>
          </cell>
          <cell r="L140">
            <v>0</v>
          </cell>
        </row>
        <row r="141">
          <cell r="J141">
            <v>2</v>
          </cell>
          <cell r="K141">
            <v>6</v>
          </cell>
          <cell r="L141">
            <v>22.639609112063688</v>
          </cell>
          <cell r="M141">
            <v>12.945778573612408</v>
          </cell>
        </row>
        <row r="142">
          <cell r="J142">
            <v>70</v>
          </cell>
          <cell r="K142">
            <v>215</v>
          </cell>
          <cell r="L142">
            <v>16075</v>
          </cell>
          <cell r="M142">
            <v>9192.0045766130279</v>
          </cell>
        </row>
        <row r="143">
          <cell r="J143">
            <v>101.375</v>
          </cell>
          <cell r="K143">
            <v>523.5</v>
          </cell>
          <cell r="L143">
            <v>13468.5</v>
          </cell>
          <cell r="M143">
            <v>7701.5560584828972</v>
          </cell>
        </row>
        <row r="144">
          <cell r="J144">
            <v>3.5</v>
          </cell>
          <cell r="K144">
            <v>16.5</v>
          </cell>
          <cell r="L144">
            <v>846.5</v>
          </cell>
          <cell r="M144">
            <v>484.04552871557877</v>
          </cell>
        </row>
        <row r="145">
          <cell r="J145">
            <v>41.875</v>
          </cell>
          <cell r="K145">
            <v>377</v>
          </cell>
          <cell r="L145">
            <v>872</v>
          </cell>
          <cell r="M145">
            <v>498.6269356644828</v>
          </cell>
        </row>
        <row r="146">
          <cell r="J146">
            <v>498.5</v>
          </cell>
          <cell r="K146">
            <v>3124</v>
          </cell>
          <cell r="L146">
            <v>50101</v>
          </cell>
          <cell r="M146">
            <v>28648.747825374143</v>
          </cell>
        </row>
        <row r="147">
          <cell r="J147">
            <v>1540.2049999999999</v>
          </cell>
          <cell r="K147">
            <v>2789.0819999999999</v>
          </cell>
          <cell r="L147">
            <v>364323.97700000001</v>
          </cell>
          <cell r="M147">
            <v>172141.5888467214</v>
          </cell>
          <cell r="N147">
            <v>-14500</v>
          </cell>
        </row>
        <row r="148">
          <cell r="J148">
            <v>25.875</v>
          </cell>
          <cell r="K148">
            <v>88</v>
          </cell>
          <cell r="L148">
            <v>6073.5</v>
          </cell>
          <cell r="M148">
            <v>3472.9480433007298</v>
          </cell>
        </row>
        <row r="149">
          <cell r="J149">
            <v>1908.48</v>
          </cell>
          <cell r="K149">
            <v>362.6112</v>
          </cell>
          <cell r="L149">
            <v>105082.76835840003</v>
          </cell>
          <cell r="M149">
            <v>60088.416029460648</v>
          </cell>
        </row>
        <row r="150">
          <cell r="J150">
            <v>1659</v>
          </cell>
          <cell r="K150">
            <v>27</v>
          </cell>
          <cell r="L150">
            <v>71192.558461538458</v>
          </cell>
          <cell r="M150">
            <v>40709.320261228742</v>
          </cell>
        </row>
        <row r="151">
          <cell r="J151">
            <v>41.5</v>
          </cell>
          <cell r="K151">
            <v>92</v>
          </cell>
          <cell r="L151">
            <v>431.5</v>
          </cell>
          <cell r="M151">
            <v>246.7402783706701</v>
          </cell>
        </row>
        <row r="152">
          <cell r="L152">
            <v>25396.07</v>
          </cell>
          <cell r="M152">
            <v>14521.977708739336</v>
          </cell>
        </row>
        <row r="153">
          <cell r="K153">
            <v>0</v>
          </cell>
        </row>
        <row r="156">
          <cell r="O156">
            <v>10766756.805627588</v>
          </cell>
        </row>
        <row r="163">
          <cell r="H163">
            <v>0.57181988034917752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Dianna.Rounds@meritushealth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Shervon.Yancey@dimensionshealth.org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mcbrik@holycrosshealth.org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mailto:jdeibel@mdmercy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mailto:tiebert@jhu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mailto:mlomax@stagnes.org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mailto:jsessa@lifebridgehealth.org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mailto:rsamuels@adventisthealthcare.com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mailto:strottier@gcmh.com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mailto:breilly@aahs.or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hyperlink" Target="mailto:sbrewer@CarrollHospitalCenter.org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hyperlink" Target="mailto:eboas@umm.ed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hyperlink" Target="mailto:glhoward@umm.edu" TargetMode="Externa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hyperlink" Target="mailto:mfowler@cmhlink.org" TargetMode="Externa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hyperlink" Target="mailto:jsessa@lifebridgehealth.org" TargetMode="Externa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hyperlink" Target="mailto:kdavdson@bwmc.umms.org" TargetMode="Externa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hyperlink" Target="mailto:fmoll1@jhmi.edu" TargetMode="Externa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hyperlink" Target="mailto:MDudley@dchweb.org" TargetMode="Externa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hyperlink" Target="mailto:Shervon.Yancey@dimensionshealth.or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hyperlink" Target="mailto:jmitchell@nexushealth.org" TargetMode="Externa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hyperlink" Target="mailto:ckelleher@umm,edu" TargetMode="Externa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hyperlink" Target="mailto:rsamuels@adventisthealthcare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"/>
  <sheetViews>
    <sheetView zoomScaleNormal="100" workbookViewId="0">
      <selection activeCell="G51" sqref="G51"/>
    </sheetView>
  </sheetViews>
  <sheetFormatPr defaultRowHeight="15"/>
  <cols>
    <col min="1" max="1" width="11.5703125" customWidth="1"/>
    <col min="2" max="2" width="40.28515625" bestFit="1" customWidth="1"/>
    <col min="3" max="3" width="19.140625" bestFit="1" customWidth="1"/>
    <col min="4" max="4" width="20.5703125" style="36" customWidth="1"/>
    <col min="5" max="5" width="20" hidden="1" customWidth="1"/>
    <col min="6" max="6" width="0" hidden="1" customWidth="1"/>
    <col min="7" max="7" width="23.28515625" style="3" customWidth="1"/>
    <col min="8" max="8" width="25" customWidth="1"/>
    <col min="10" max="10" width="20.42578125" customWidth="1"/>
    <col min="15" max="16" width="17.140625" customWidth="1"/>
    <col min="17" max="17" width="20.140625" customWidth="1"/>
  </cols>
  <sheetData>
    <row r="1" spans="1:8" ht="23.25">
      <c r="B1" s="754" t="s">
        <v>1083</v>
      </c>
    </row>
    <row r="2" spans="1:8">
      <c r="B2" s="5" t="s">
        <v>1041</v>
      </c>
    </row>
    <row r="3" spans="1:8">
      <c r="B3" s="5"/>
    </row>
    <row r="4" spans="1:8" s="1" customFormat="1" ht="28.5" customHeight="1">
      <c r="A4" s="10"/>
      <c r="B4" s="757" t="s">
        <v>1042</v>
      </c>
      <c r="C4" s="758" t="s">
        <v>59</v>
      </c>
      <c r="D4" s="759" t="s">
        <v>60</v>
      </c>
      <c r="E4" s="758" t="s">
        <v>57</v>
      </c>
      <c r="F4" s="760"/>
      <c r="G4" s="802" t="s">
        <v>61</v>
      </c>
      <c r="H4" s="758" t="s">
        <v>62</v>
      </c>
    </row>
    <row r="5" spans="1:8">
      <c r="A5">
        <v>1</v>
      </c>
      <c r="B5" t="s">
        <v>55</v>
      </c>
      <c r="C5" s="752">
        <v>275699.7</v>
      </c>
      <c r="D5" s="752">
        <v>0</v>
      </c>
      <c r="E5" s="3">
        <v>275699.7</v>
      </c>
      <c r="F5" s="3"/>
      <c r="G5" s="3">
        <v>10706236.361622265</v>
      </c>
      <c r="H5" s="3">
        <v>10981936.061622264</v>
      </c>
    </row>
    <row r="6" spans="1:8">
      <c r="A6">
        <v>2</v>
      </c>
      <c r="B6" t="s">
        <v>50</v>
      </c>
      <c r="C6" s="9">
        <v>1113137</v>
      </c>
      <c r="D6" s="36">
        <v>87138634.855519816</v>
      </c>
      <c r="E6" s="3">
        <v>88251771.855519816</v>
      </c>
      <c r="F6" s="3"/>
      <c r="G6" s="755">
        <v>70011821.961337537</v>
      </c>
      <c r="H6" s="755">
        <v>158263593.81685734</v>
      </c>
    </row>
    <row r="7" spans="1:8">
      <c r="A7">
        <v>3</v>
      </c>
      <c r="B7" t="s">
        <v>36</v>
      </c>
      <c r="C7" s="9">
        <v>238526</v>
      </c>
      <c r="D7" s="36">
        <v>3651966.0002529514</v>
      </c>
      <c r="E7" s="3">
        <v>3890492.0002529514</v>
      </c>
      <c r="F7" s="3"/>
      <c r="G7" s="755">
        <v>19884603.420329057</v>
      </c>
      <c r="H7" s="755">
        <v>23775095.420582008</v>
      </c>
    </row>
    <row r="8" spans="1:8">
      <c r="A8">
        <v>4</v>
      </c>
      <c r="B8" t="s">
        <v>24</v>
      </c>
      <c r="C8" s="9">
        <v>437749.3</v>
      </c>
      <c r="D8" s="36">
        <v>2370066.3775599995</v>
      </c>
      <c r="E8" s="3">
        <v>2807815.6775599993</v>
      </c>
      <c r="F8" s="3"/>
      <c r="G8" s="755">
        <v>20370841.499282554</v>
      </c>
      <c r="H8" s="755">
        <v>23178657.176842552</v>
      </c>
    </row>
    <row r="9" spans="1:8">
      <c r="A9">
        <v>5</v>
      </c>
      <c r="B9" t="s">
        <v>19</v>
      </c>
      <c r="C9" s="9">
        <v>323934.90000000002</v>
      </c>
      <c r="D9" s="36">
        <v>0</v>
      </c>
      <c r="E9" s="3">
        <v>323934.90000000002</v>
      </c>
      <c r="F9" s="3"/>
      <c r="G9" s="755">
        <v>7616157.9681441002</v>
      </c>
      <c r="H9" s="755">
        <v>7940092.8681441005</v>
      </c>
    </row>
    <row r="10" spans="1:8" s="15" customFormat="1">
      <c r="A10" s="15">
        <v>6</v>
      </c>
      <c r="B10" s="15" t="s">
        <v>46</v>
      </c>
      <c r="C10" s="34">
        <v>67120</v>
      </c>
      <c r="D10" s="37">
        <v>0</v>
      </c>
      <c r="E10" s="35">
        <v>67120</v>
      </c>
      <c r="F10" s="35"/>
      <c r="G10" s="756">
        <v>2788034.1251265868</v>
      </c>
      <c r="H10" s="756">
        <v>2855154.1251265868</v>
      </c>
    </row>
    <row r="11" spans="1:8">
      <c r="A11">
        <v>7</v>
      </c>
      <c r="B11" t="s">
        <v>43</v>
      </c>
      <c r="C11" s="9">
        <v>362195</v>
      </c>
      <c r="D11" s="36">
        <v>0</v>
      </c>
      <c r="E11" s="3">
        <v>362195</v>
      </c>
      <c r="F11" s="3"/>
      <c r="G11" s="755">
        <v>4984138.5360704875</v>
      </c>
      <c r="H11" s="755">
        <v>5346333.5360704875</v>
      </c>
    </row>
    <row r="12" spans="1:8">
      <c r="A12">
        <v>8</v>
      </c>
      <c r="B12" t="s">
        <v>32</v>
      </c>
      <c r="C12" s="9">
        <v>420066.69999999995</v>
      </c>
      <c r="D12" s="36">
        <v>3939401.7463600002</v>
      </c>
      <c r="E12" s="3">
        <v>4359468.4463600004</v>
      </c>
      <c r="F12" s="3"/>
      <c r="G12" s="755">
        <v>13919284.759167558</v>
      </c>
      <c r="H12" s="755">
        <v>18278753.205527559</v>
      </c>
    </row>
    <row r="13" spans="1:8">
      <c r="A13">
        <v>9</v>
      </c>
      <c r="B13" t="s">
        <v>27</v>
      </c>
      <c r="C13" s="9">
        <v>1772066.2999999998</v>
      </c>
      <c r="D13" s="36">
        <v>131101761.24633549</v>
      </c>
      <c r="E13" s="3">
        <v>132873827.54633549</v>
      </c>
      <c r="F13" s="3"/>
      <c r="G13" s="755">
        <v>31878118.094209071</v>
      </c>
      <c r="H13" s="755">
        <v>164751945.64054456</v>
      </c>
    </row>
    <row r="14" spans="1:8">
      <c r="A14">
        <v>10</v>
      </c>
      <c r="B14" t="s">
        <v>39</v>
      </c>
      <c r="C14" s="9">
        <v>56094.1</v>
      </c>
      <c r="D14" s="36">
        <v>0</v>
      </c>
      <c r="E14" s="3">
        <v>56094.1</v>
      </c>
      <c r="F14" s="3"/>
      <c r="G14" s="755">
        <v>2618560.5461672312</v>
      </c>
      <c r="H14" s="755">
        <v>2674654.6461672313</v>
      </c>
    </row>
    <row r="15" spans="1:8">
      <c r="A15">
        <v>11</v>
      </c>
      <c r="B15" t="s">
        <v>42</v>
      </c>
      <c r="C15" s="9">
        <v>376582.89999999997</v>
      </c>
      <c r="D15" s="36">
        <v>7101458.0765657974</v>
      </c>
      <c r="E15" s="3">
        <v>7478040.9765657978</v>
      </c>
      <c r="F15" s="3"/>
      <c r="G15" s="755">
        <v>14517605.758429646</v>
      </c>
      <c r="H15" s="755">
        <v>21995646.734995443</v>
      </c>
    </row>
    <row r="16" spans="1:8">
      <c r="A16">
        <v>12</v>
      </c>
      <c r="B16" t="s">
        <v>40</v>
      </c>
      <c r="C16" s="9">
        <v>636490.9</v>
      </c>
      <c r="D16" s="36">
        <v>16841270.912805829</v>
      </c>
      <c r="E16" s="3">
        <v>17477761.812805828</v>
      </c>
      <c r="F16" s="3"/>
      <c r="G16" s="755">
        <v>11567228.86321871</v>
      </c>
      <c r="H16" s="755">
        <v>29044990.676024538</v>
      </c>
    </row>
    <row r="17" spans="1:8">
      <c r="A17">
        <v>13</v>
      </c>
      <c r="B17" t="s">
        <v>11</v>
      </c>
      <c r="C17" s="9">
        <v>128847.2</v>
      </c>
      <c r="D17" s="36">
        <v>0</v>
      </c>
      <c r="E17" s="3">
        <v>128847.2</v>
      </c>
      <c r="F17" s="3"/>
      <c r="G17" s="755">
        <v>10971471.562617777</v>
      </c>
      <c r="H17" s="755">
        <v>11100318.762617776</v>
      </c>
    </row>
    <row r="18" spans="1:8">
      <c r="A18">
        <v>15</v>
      </c>
      <c r="B18" t="s">
        <v>18</v>
      </c>
      <c r="C18" s="9">
        <v>439004.2</v>
      </c>
      <c r="D18" s="36">
        <v>7595381.7286274908</v>
      </c>
      <c r="E18" s="3">
        <v>8034385.928627491</v>
      </c>
      <c r="F18" s="3"/>
      <c r="G18" s="755">
        <v>15174606.296318496</v>
      </c>
      <c r="H18" s="755">
        <v>23208992.224945985</v>
      </c>
    </row>
    <row r="19" spans="1:8" s="15" customFormat="1">
      <c r="A19" s="15">
        <v>16</v>
      </c>
      <c r="B19" s="15" t="s">
        <v>51</v>
      </c>
      <c r="C19" s="34">
        <v>250500</v>
      </c>
      <c r="D19" s="37">
        <v>0</v>
      </c>
      <c r="E19" s="35">
        <v>250500</v>
      </c>
      <c r="F19" s="35"/>
      <c r="G19" s="756">
        <v>8974632.1892716642</v>
      </c>
      <c r="H19" s="756">
        <v>9225132.1892716642</v>
      </c>
    </row>
    <row r="20" spans="1:8">
      <c r="A20">
        <v>17</v>
      </c>
      <c r="B20" t="s">
        <v>20</v>
      </c>
      <c r="C20" s="9">
        <v>32853</v>
      </c>
      <c r="D20" s="36">
        <v>0</v>
      </c>
      <c r="E20" s="3">
        <v>32853</v>
      </c>
      <c r="F20" s="3"/>
      <c r="G20" s="755">
        <v>2286274.4671215611</v>
      </c>
      <c r="H20" s="755">
        <v>2319127.4671215611</v>
      </c>
    </row>
    <row r="21" spans="1:8">
      <c r="A21">
        <v>18</v>
      </c>
      <c r="B21" t="s">
        <v>33</v>
      </c>
      <c r="C21" s="9">
        <v>156795.1</v>
      </c>
      <c r="D21" s="36">
        <v>0</v>
      </c>
      <c r="E21" s="3">
        <v>156795.1</v>
      </c>
      <c r="F21" s="3"/>
      <c r="G21" s="755">
        <v>5578539.105045151</v>
      </c>
      <c r="H21" s="755">
        <v>5735334.2050451506</v>
      </c>
    </row>
    <row r="22" spans="1:8">
      <c r="A22">
        <v>19</v>
      </c>
      <c r="B22" t="s">
        <v>35</v>
      </c>
      <c r="C22" s="9">
        <v>50000</v>
      </c>
      <c r="D22" s="36">
        <v>0</v>
      </c>
      <c r="E22" s="3">
        <v>50000</v>
      </c>
      <c r="F22" s="3"/>
      <c r="G22" s="755">
        <v>11343909.837816536</v>
      </c>
      <c r="H22" s="755">
        <v>11393909.837816536</v>
      </c>
    </row>
    <row r="23" spans="1:8">
      <c r="A23">
        <v>22</v>
      </c>
      <c r="B23" t="s">
        <v>45</v>
      </c>
      <c r="C23" s="9">
        <v>253166.9</v>
      </c>
      <c r="D23" s="36">
        <v>228187.28741214698</v>
      </c>
      <c r="E23" s="3">
        <v>481354.18741214694</v>
      </c>
      <c r="F23" s="3"/>
      <c r="G23" s="755">
        <v>4144174.5827911324</v>
      </c>
      <c r="H23" s="755">
        <v>4625528.7702032793</v>
      </c>
    </row>
    <row r="24" spans="1:8">
      <c r="A24">
        <v>23</v>
      </c>
      <c r="B24" t="s">
        <v>8</v>
      </c>
      <c r="C24" s="9">
        <v>461358.80000000005</v>
      </c>
      <c r="D24" s="36">
        <v>0</v>
      </c>
      <c r="E24" s="3">
        <v>461358.80000000005</v>
      </c>
      <c r="F24" s="3"/>
      <c r="G24" s="755">
        <v>6405791.0056105312</v>
      </c>
      <c r="H24" s="755">
        <v>6867149.805610531</v>
      </c>
    </row>
    <row r="25" spans="1:8">
      <c r="A25">
        <v>24</v>
      </c>
      <c r="B25" t="s">
        <v>49</v>
      </c>
      <c r="C25" s="9">
        <v>400597.10000000003</v>
      </c>
      <c r="D25" s="36">
        <v>12630919.67338782</v>
      </c>
      <c r="E25" s="3">
        <v>13031516.77338782</v>
      </c>
      <c r="F25" s="3"/>
      <c r="G25" s="755">
        <v>12346942.709254477</v>
      </c>
      <c r="H25" s="755">
        <v>25378459.482642297</v>
      </c>
    </row>
    <row r="26" spans="1:8">
      <c r="A26">
        <v>27</v>
      </c>
      <c r="B26" t="s">
        <v>56</v>
      </c>
      <c r="C26" s="9">
        <v>301480</v>
      </c>
      <c r="D26" s="36">
        <v>0</v>
      </c>
      <c r="E26" s="3">
        <v>301480</v>
      </c>
      <c r="F26" s="3"/>
      <c r="G26" s="755">
        <v>11552095.226117969</v>
      </c>
      <c r="H26" s="755">
        <v>11853575.226117969</v>
      </c>
    </row>
    <row r="27" spans="1:8">
      <c r="A27">
        <v>28</v>
      </c>
      <c r="B27" t="s">
        <v>44</v>
      </c>
      <c r="C27" s="9">
        <v>134162.9</v>
      </c>
      <c r="D27" s="36">
        <v>0</v>
      </c>
      <c r="E27" s="3">
        <v>134162.9</v>
      </c>
      <c r="F27" s="3"/>
      <c r="G27" s="755">
        <v>4559582.6756326677</v>
      </c>
      <c r="H27" s="755">
        <v>4693745.5756326681</v>
      </c>
    </row>
    <row r="28" spans="1:8">
      <c r="A28">
        <v>29</v>
      </c>
      <c r="B28" t="s">
        <v>26</v>
      </c>
      <c r="C28" s="9">
        <v>530152.1</v>
      </c>
      <c r="D28" s="36">
        <v>20212800.000000004</v>
      </c>
      <c r="E28" s="3">
        <v>20742952.100000005</v>
      </c>
      <c r="F28" s="3"/>
      <c r="G28" s="755">
        <v>22905501.753665052</v>
      </c>
      <c r="H28" s="755">
        <v>43648453.853665054</v>
      </c>
    </row>
    <row r="29" spans="1:8">
      <c r="A29">
        <v>30</v>
      </c>
      <c r="B29" t="s">
        <v>14</v>
      </c>
      <c r="C29" s="9">
        <v>57589</v>
      </c>
      <c r="D29" s="36">
        <v>0</v>
      </c>
      <c r="E29" s="3">
        <v>57589</v>
      </c>
      <c r="F29" s="3"/>
      <c r="G29" s="755">
        <v>3340873.0389680825</v>
      </c>
      <c r="H29" s="755">
        <v>3398462.0389680825</v>
      </c>
    </row>
    <row r="30" spans="1:8">
      <c r="A30">
        <v>32</v>
      </c>
      <c r="B30" t="s">
        <v>48</v>
      </c>
      <c r="C30" s="9">
        <v>137717.9</v>
      </c>
      <c r="D30" s="36">
        <v>0</v>
      </c>
      <c r="E30" s="3">
        <v>137717.9</v>
      </c>
      <c r="F30" s="3"/>
      <c r="G30" s="755">
        <v>3567332.5010254341</v>
      </c>
      <c r="H30" s="755">
        <v>3705050.401025434</v>
      </c>
    </row>
    <row r="31" spans="1:8">
      <c r="A31">
        <v>33</v>
      </c>
      <c r="B31" t="s">
        <v>13</v>
      </c>
      <c r="C31" s="9">
        <v>214427.80000000002</v>
      </c>
      <c r="D31" s="36">
        <v>0</v>
      </c>
      <c r="E31" s="3">
        <v>214427.80000000002</v>
      </c>
      <c r="F31" s="3"/>
      <c r="G31" s="755">
        <v>5843701.7623309754</v>
      </c>
      <c r="H31" s="755">
        <v>6058129.5623309752</v>
      </c>
    </row>
    <row r="32" spans="1:8">
      <c r="A32">
        <v>34</v>
      </c>
      <c r="B32" t="s">
        <v>23</v>
      </c>
      <c r="C32" s="9">
        <v>200000</v>
      </c>
      <c r="D32" s="36">
        <v>4596514.5063377153</v>
      </c>
      <c r="E32" s="3">
        <v>4796514.5063377153</v>
      </c>
      <c r="F32" s="3"/>
      <c r="G32" s="755">
        <v>8449130.8401892707</v>
      </c>
      <c r="H32" s="755">
        <v>13245645.346526986</v>
      </c>
    </row>
    <row r="33" spans="1:8">
      <c r="A33">
        <v>35</v>
      </c>
      <c r="B33" t="s">
        <v>15</v>
      </c>
      <c r="C33" s="9">
        <v>115504.20000000001</v>
      </c>
      <c r="D33" s="36">
        <v>0</v>
      </c>
      <c r="E33" s="3">
        <v>115504.20000000001</v>
      </c>
      <c r="F33" s="3"/>
      <c r="G33" s="755">
        <v>4707602.8778683655</v>
      </c>
      <c r="H33" s="755">
        <v>4823107.0778683657</v>
      </c>
    </row>
    <row r="34" spans="1:8">
      <c r="A34">
        <v>37</v>
      </c>
      <c r="B34" t="s">
        <v>38</v>
      </c>
      <c r="C34" s="9">
        <v>173171.5</v>
      </c>
      <c r="D34" s="36">
        <v>0</v>
      </c>
      <c r="E34" s="3">
        <v>173171.5</v>
      </c>
      <c r="F34" s="3"/>
      <c r="G34" s="755">
        <v>5815927.7882186901</v>
      </c>
      <c r="H34" s="755">
        <v>5989099.2882186901</v>
      </c>
    </row>
    <row r="35" spans="1:8">
      <c r="A35">
        <v>38</v>
      </c>
      <c r="B35" t="s">
        <v>30</v>
      </c>
      <c r="C35" s="9">
        <v>183154.5</v>
      </c>
      <c r="D35" s="36">
        <v>4653319.2260000007</v>
      </c>
      <c r="E35" s="3">
        <v>4836473.7260000007</v>
      </c>
      <c r="F35" s="3"/>
      <c r="G35" s="755">
        <v>15321230.375587882</v>
      </c>
      <c r="H35" s="755">
        <v>20157704.101587884</v>
      </c>
    </row>
    <row r="36" spans="1:8">
      <c r="A36">
        <v>39</v>
      </c>
      <c r="B36" t="s">
        <v>12</v>
      </c>
      <c r="C36" s="9">
        <v>129181.7</v>
      </c>
      <c r="D36" s="36">
        <v>0</v>
      </c>
      <c r="E36" s="3">
        <v>129181.7</v>
      </c>
      <c r="F36" s="3"/>
      <c r="G36" s="755">
        <v>7161483.4016964445</v>
      </c>
      <c r="H36" s="755">
        <v>7290665.1016964447</v>
      </c>
    </row>
    <row r="37" spans="1:8">
      <c r="A37">
        <v>40</v>
      </c>
      <c r="B37" t="s">
        <v>34</v>
      </c>
      <c r="C37" s="9">
        <v>227677.30000000002</v>
      </c>
      <c r="D37" s="36">
        <v>0</v>
      </c>
      <c r="E37" s="3">
        <v>227677.30000000002</v>
      </c>
      <c r="F37" s="3"/>
      <c r="G37" s="755">
        <v>3127455.7919379901</v>
      </c>
      <c r="H37" s="755">
        <v>3355133.0919379899</v>
      </c>
    </row>
    <row r="38" spans="1:8">
      <c r="A38">
        <v>43</v>
      </c>
      <c r="B38" t="s">
        <v>10</v>
      </c>
      <c r="C38" s="9">
        <v>340200</v>
      </c>
      <c r="D38" s="36">
        <v>491622.8562337808</v>
      </c>
      <c r="E38" s="3">
        <v>831822.85623378074</v>
      </c>
      <c r="F38" s="3"/>
      <c r="G38" s="755">
        <v>19724012.288127646</v>
      </c>
      <c r="H38" s="755">
        <v>20555835.144361425</v>
      </c>
    </row>
    <row r="39" spans="1:8">
      <c r="A39">
        <v>44</v>
      </c>
      <c r="B39" t="s">
        <v>21</v>
      </c>
      <c r="C39" s="9">
        <v>427052.5</v>
      </c>
      <c r="D39" s="36">
        <v>5080115</v>
      </c>
      <c r="E39" s="3">
        <v>5507167.5</v>
      </c>
      <c r="F39" s="3"/>
      <c r="G39" s="755">
        <v>5043027.6938474905</v>
      </c>
      <c r="H39" s="755">
        <v>10550195.19384749</v>
      </c>
    </row>
    <row r="40" spans="1:8">
      <c r="A40">
        <v>45</v>
      </c>
      <c r="B40" t="s">
        <v>31</v>
      </c>
      <c r="C40" s="9">
        <v>18235.900000000001</v>
      </c>
      <c r="D40" s="36">
        <v>0</v>
      </c>
      <c r="E40" s="3">
        <v>18235.900000000001</v>
      </c>
      <c r="F40" s="3"/>
      <c r="G40" s="755">
        <v>695249.41007080802</v>
      </c>
      <c r="H40" s="755">
        <v>713485.31007080805</v>
      </c>
    </row>
    <row r="41" spans="1:8">
      <c r="A41">
        <v>48</v>
      </c>
      <c r="B41" t="s">
        <v>25</v>
      </c>
      <c r="C41" s="9">
        <v>255196</v>
      </c>
      <c r="D41" s="36">
        <v>0</v>
      </c>
      <c r="E41" s="3">
        <v>255196</v>
      </c>
      <c r="F41" s="3"/>
      <c r="G41" s="755">
        <v>6503927.2013815977</v>
      </c>
      <c r="H41" s="755">
        <v>6759123.2013815977</v>
      </c>
    </row>
    <row r="42" spans="1:8" s="15" customFormat="1">
      <c r="A42" s="15">
        <v>49</v>
      </c>
      <c r="B42" s="15" t="s">
        <v>47</v>
      </c>
      <c r="C42" s="34">
        <v>178987</v>
      </c>
      <c r="D42" s="37">
        <v>0</v>
      </c>
      <c r="E42" s="35">
        <v>178987</v>
      </c>
      <c r="F42" s="35"/>
      <c r="G42" s="756">
        <v>5640521.4670810429</v>
      </c>
      <c r="H42" s="756">
        <v>5819508.4670810429</v>
      </c>
    </row>
    <row r="43" spans="1:8">
      <c r="A43">
        <v>51</v>
      </c>
      <c r="B43" t="s">
        <v>16</v>
      </c>
      <c r="C43" s="9">
        <v>213054.4</v>
      </c>
      <c r="D43" s="36">
        <v>0</v>
      </c>
      <c r="E43" s="3">
        <v>213054.4</v>
      </c>
      <c r="F43" s="3"/>
      <c r="G43" s="755">
        <v>11882758.24783759</v>
      </c>
      <c r="H43" s="755">
        <v>12095812.64783759</v>
      </c>
    </row>
    <row r="44" spans="1:8" s="15" customFormat="1">
      <c r="A44" s="15">
        <v>54</v>
      </c>
      <c r="B44" s="15" t="s">
        <v>41</v>
      </c>
      <c r="C44" s="34">
        <v>210040</v>
      </c>
      <c r="D44" s="37">
        <v>0</v>
      </c>
      <c r="E44" s="35">
        <v>210040</v>
      </c>
      <c r="F44" s="35"/>
      <c r="G44" s="756">
        <v>1455991.0767164133</v>
      </c>
      <c r="H44" s="756">
        <v>1666031.0767164133</v>
      </c>
    </row>
    <row r="45" spans="1:8">
      <c r="A45">
        <v>55</v>
      </c>
      <c r="B45" t="s">
        <v>29</v>
      </c>
      <c r="C45" s="9">
        <v>102226</v>
      </c>
      <c r="D45" s="36">
        <v>0</v>
      </c>
      <c r="E45" s="3">
        <v>102226</v>
      </c>
      <c r="F45" s="3"/>
      <c r="G45" s="755">
        <v>4549347.3214419074</v>
      </c>
      <c r="H45" s="755">
        <v>4651573.3214419074</v>
      </c>
    </row>
    <row r="46" spans="1:8" s="15" customFormat="1">
      <c r="A46" s="15">
        <v>60</v>
      </c>
      <c r="B46" s="15" t="s">
        <v>17</v>
      </c>
      <c r="C46" s="34">
        <v>47165.008000000002</v>
      </c>
      <c r="D46" s="37">
        <v>0</v>
      </c>
      <c r="E46" s="35">
        <v>47165.008000000002</v>
      </c>
      <c r="F46" s="35"/>
      <c r="G46" s="756">
        <v>1541456.3799773259</v>
      </c>
      <c r="H46" s="756">
        <v>1588621.3879773258</v>
      </c>
    </row>
    <row r="47" spans="1:8">
      <c r="A47">
        <v>61</v>
      </c>
      <c r="B47" t="s">
        <v>9</v>
      </c>
      <c r="C47" s="9">
        <v>88149</v>
      </c>
      <c r="D47" s="36">
        <v>0</v>
      </c>
      <c r="E47" s="3">
        <v>88149</v>
      </c>
      <c r="F47" s="3"/>
      <c r="G47" s="755">
        <v>2826057.2809868995</v>
      </c>
      <c r="H47" s="755">
        <v>2914206.2809868995</v>
      </c>
    </row>
    <row r="48" spans="1:8">
      <c r="A48">
        <v>2001</v>
      </c>
      <c r="B48" t="s">
        <v>28</v>
      </c>
      <c r="C48" s="9">
        <v>103574.6</v>
      </c>
      <c r="D48" s="36">
        <v>3729135.281691547</v>
      </c>
      <c r="E48" s="3">
        <v>3832709.8816915471</v>
      </c>
      <c r="F48" s="3"/>
      <c r="G48" s="755">
        <v>4613693.4884902863</v>
      </c>
      <c r="H48" s="755">
        <v>8446403.3701818325</v>
      </c>
    </row>
    <row r="49" spans="1:18">
      <c r="A49">
        <v>2004</v>
      </c>
      <c r="B49" t="s">
        <v>22</v>
      </c>
      <c r="C49" s="9">
        <v>304134.3</v>
      </c>
      <c r="D49" s="36">
        <v>4851355.9454628937</v>
      </c>
      <c r="E49" s="3">
        <v>5155490.2454628935</v>
      </c>
      <c r="F49" s="3"/>
      <c r="G49" s="755">
        <v>6417984.4936544821</v>
      </c>
      <c r="H49" s="755">
        <v>11573474.739117377</v>
      </c>
    </row>
    <row r="50" spans="1:18" s="15" customFormat="1">
      <c r="A50" s="15">
        <v>5050</v>
      </c>
      <c r="B50" s="15" t="s">
        <v>37</v>
      </c>
      <c r="C50" s="34">
        <v>358655.53500000003</v>
      </c>
      <c r="D50" s="37">
        <v>0</v>
      </c>
      <c r="E50" s="35">
        <v>358655.53500000003</v>
      </c>
      <c r="F50" s="35"/>
      <c r="G50" s="756">
        <v>8275225.3729317123</v>
      </c>
      <c r="H50" s="756">
        <v>8633880.9079317115</v>
      </c>
    </row>
    <row r="51" spans="1:18">
      <c r="B51" t="s">
        <v>57</v>
      </c>
      <c r="C51" s="7">
        <v>13303674.243000001</v>
      </c>
      <c r="D51" s="7">
        <v>316213910.72055328</v>
      </c>
      <c r="E51" s="7">
        <v>329517584.96355331</v>
      </c>
      <c r="F51" s="7">
        <v>645731495.68410659</v>
      </c>
      <c r="G51" s="7">
        <v>463610143.40473622</v>
      </c>
      <c r="H51" s="7">
        <v>793127728.36828935</v>
      </c>
      <c r="J51" s="3"/>
    </row>
    <row r="56" spans="1:18" ht="18.75">
      <c r="R56" s="771"/>
    </row>
    <row r="61" spans="1:18">
      <c r="R61" s="497"/>
    </row>
    <row r="69" spans="18:18">
      <c r="R69" s="772"/>
    </row>
    <row r="71" spans="18:18">
      <c r="R71" s="773"/>
    </row>
  </sheetData>
  <pageMargins left="0.7" right="0.7" top="0.75" bottom="0.75" header="0.3" footer="0.3"/>
  <pageSetup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topLeftCell="A96" workbookViewId="0">
      <selection activeCell="B43" sqref="B43"/>
    </sheetView>
  </sheetViews>
  <sheetFormatPr defaultRowHeight="12.75"/>
  <cols>
    <col min="1" max="1" width="8.28515625" style="39" customWidth="1"/>
    <col min="2" max="2" width="55.42578125" style="40" bestFit="1" customWidth="1"/>
    <col min="3" max="3" width="9.5703125" style="40" customWidth="1"/>
    <col min="4" max="4" width="9.140625" style="40"/>
    <col min="5" max="5" width="12.42578125" style="40" customWidth="1"/>
    <col min="6" max="6" width="18.5703125" style="40" customWidth="1"/>
    <col min="7" max="7" width="23.5703125" style="40" customWidth="1"/>
    <col min="8" max="8" width="17.140625" style="40" customWidth="1"/>
    <col min="9" max="9" width="21.140625" style="40" customWidth="1"/>
    <col min="10" max="10" width="19.85546875" style="40" customWidth="1"/>
    <col min="11" max="11" width="17.5703125" style="40" customWidth="1"/>
    <col min="12" max="12" width="21.7109375" style="40" customWidth="1"/>
    <col min="13" max="16384" width="9.140625" style="40"/>
  </cols>
  <sheetData>
    <row r="1" spans="1:11" ht="18" customHeight="1">
      <c r="A1" s="135" t="s">
        <v>272</v>
      </c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  <c r="F3" s="44" t="s">
        <v>254</v>
      </c>
    </row>
    <row r="5" spans="1:11" ht="18" customHeight="1">
      <c r="B5" s="45" t="s">
        <v>135</v>
      </c>
      <c r="C5" s="826" t="s">
        <v>55</v>
      </c>
      <c r="D5" s="827"/>
      <c r="E5" s="827"/>
      <c r="F5" s="827"/>
      <c r="G5" s="828"/>
    </row>
    <row r="6" spans="1:11" ht="18" customHeight="1">
      <c r="B6" s="45" t="s">
        <v>136</v>
      </c>
      <c r="C6" s="829" t="s">
        <v>255</v>
      </c>
      <c r="D6" s="830"/>
      <c r="E6" s="830"/>
      <c r="F6" s="830"/>
      <c r="G6" s="831"/>
    </row>
    <row r="7" spans="1:11" ht="18" customHeight="1">
      <c r="B7" s="45" t="s">
        <v>137</v>
      </c>
      <c r="C7" s="832"/>
      <c r="D7" s="833"/>
      <c r="E7" s="833"/>
      <c r="F7" s="833"/>
      <c r="G7" s="834"/>
    </row>
    <row r="9" spans="1:11" ht="18" customHeight="1">
      <c r="B9" s="45" t="s">
        <v>138</v>
      </c>
      <c r="C9" s="826" t="s">
        <v>256</v>
      </c>
      <c r="D9" s="827"/>
      <c r="E9" s="827"/>
      <c r="F9" s="827"/>
      <c r="G9" s="828"/>
    </row>
    <row r="10" spans="1:11" ht="18" customHeight="1">
      <c r="B10" s="45" t="s">
        <v>140</v>
      </c>
      <c r="C10" s="835" t="s">
        <v>257</v>
      </c>
      <c r="D10" s="836"/>
      <c r="E10" s="836"/>
      <c r="F10" s="836"/>
      <c r="G10" s="837"/>
    </row>
    <row r="11" spans="1:11" ht="18" customHeight="1">
      <c r="B11" s="45" t="s">
        <v>142</v>
      </c>
      <c r="C11" s="838" t="s">
        <v>258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2" ht="18" customHeight="1">
      <c r="A17" s="48" t="s">
        <v>151</v>
      </c>
      <c r="B17" s="43" t="s">
        <v>152</v>
      </c>
    </row>
    <row r="18" spans="1:12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7512301</v>
      </c>
      <c r="I18" s="52">
        <v>0</v>
      </c>
      <c r="J18" s="51">
        <v>6423957</v>
      </c>
      <c r="K18" s="53">
        <f>(H18+I18)-J18</f>
        <v>1088344</v>
      </c>
      <c r="L18" s="114">
        <f>+H18+I18-J18</f>
        <v>1088344</v>
      </c>
    </row>
    <row r="19" spans="1:12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2" ht="18" customHeight="1">
      <c r="A20" s="48" t="s">
        <v>260</v>
      </c>
      <c r="B20" s="43" t="s">
        <v>155</v>
      </c>
    </row>
    <row r="21" spans="1:12" ht="18" customHeight="1">
      <c r="A21" s="45" t="s">
        <v>164</v>
      </c>
      <c r="B21" s="49" t="s">
        <v>156</v>
      </c>
      <c r="F21" s="50">
        <v>3158.55</v>
      </c>
      <c r="G21" s="50">
        <v>166184</v>
      </c>
      <c r="H21" s="51">
        <v>234206</v>
      </c>
      <c r="I21" s="52">
        <f t="shared" ref="I21:I34" si="0">H21*F$114</f>
        <v>170010.1354</v>
      </c>
      <c r="J21" s="51">
        <v>12345</v>
      </c>
      <c r="K21" s="53">
        <f t="shared" ref="K21:K34" si="1">(H21+I21)-J21</f>
        <v>391871.13540000003</v>
      </c>
    </row>
    <row r="22" spans="1:12" ht="18" customHeight="1">
      <c r="A22" s="45" t="s">
        <v>261</v>
      </c>
      <c r="B22" s="40" t="s">
        <v>157</v>
      </c>
      <c r="F22" s="50">
        <v>2877</v>
      </c>
      <c r="G22" s="50">
        <v>8546</v>
      </c>
      <c r="H22" s="51">
        <v>102245</v>
      </c>
      <c r="I22" s="52">
        <f t="shared" si="0"/>
        <v>74219.645499999999</v>
      </c>
      <c r="J22" s="51">
        <v>0</v>
      </c>
      <c r="K22" s="53">
        <f t="shared" si="1"/>
        <v>176464.64549999998</v>
      </c>
    </row>
    <row r="23" spans="1:12" ht="18" customHeight="1">
      <c r="A23" s="45" t="s">
        <v>262</v>
      </c>
      <c r="B23" s="40" t="s">
        <v>158</v>
      </c>
      <c r="F23" s="50"/>
      <c r="G23" s="50"/>
      <c r="H23" s="51"/>
      <c r="I23" s="52">
        <f t="shared" si="0"/>
        <v>0</v>
      </c>
      <c r="J23" s="51"/>
      <c r="K23" s="53">
        <f t="shared" si="1"/>
        <v>0</v>
      </c>
    </row>
    <row r="24" spans="1:12" ht="18" customHeight="1">
      <c r="A24" s="45" t="s">
        <v>263</v>
      </c>
      <c r="B24" s="40" t="s">
        <v>159</v>
      </c>
      <c r="F24" s="50"/>
      <c r="G24" s="50"/>
      <c r="H24" s="51"/>
      <c r="I24" s="52">
        <f t="shared" si="0"/>
        <v>0</v>
      </c>
      <c r="J24" s="51"/>
      <c r="K24" s="53">
        <f t="shared" si="1"/>
        <v>0</v>
      </c>
    </row>
    <row r="25" spans="1:12" ht="18" customHeight="1">
      <c r="A25" s="45" t="s">
        <v>264</v>
      </c>
      <c r="B25" s="40" t="s">
        <v>160</v>
      </c>
      <c r="F25" s="50">
        <v>378.55</v>
      </c>
      <c r="G25" s="50">
        <v>943</v>
      </c>
      <c r="H25" s="51">
        <v>13124</v>
      </c>
      <c r="I25" s="52">
        <f t="shared" si="0"/>
        <v>9526.7116000000005</v>
      </c>
      <c r="J25" s="51">
        <v>0</v>
      </c>
      <c r="K25" s="53">
        <f t="shared" si="1"/>
        <v>22650.711600000002</v>
      </c>
    </row>
    <row r="26" spans="1:12" ht="18" customHeight="1">
      <c r="A26" s="45" t="s">
        <v>265</v>
      </c>
      <c r="B26" s="40" t="s">
        <v>161</v>
      </c>
      <c r="F26" s="50"/>
      <c r="G26" s="50"/>
      <c r="H26" s="51"/>
      <c r="I26" s="52">
        <f t="shared" si="0"/>
        <v>0</v>
      </c>
      <c r="J26" s="51"/>
      <c r="K26" s="53">
        <f t="shared" si="1"/>
        <v>0</v>
      </c>
    </row>
    <row r="27" spans="1:12" ht="18" customHeight="1">
      <c r="A27" s="45" t="s">
        <v>266</v>
      </c>
      <c r="B27" s="40" t="s">
        <v>162</v>
      </c>
      <c r="F27" s="50"/>
      <c r="G27" s="50"/>
      <c r="H27" s="51"/>
      <c r="I27" s="52">
        <f t="shared" si="0"/>
        <v>0</v>
      </c>
      <c r="J27" s="51"/>
      <c r="K27" s="53">
        <f t="shared" si="1"/>
        <v>0</v>
      </c>
    </row>
    <row r="28" spans="1:12" ht="18" customHeight="1">
      <c r="A28" s="45" t="s">
        <v>267</v>
      </c>
      <c r="B28" s="40" t="s">
        <v>163</v>
      </c>
      <c r="F28" s="50"/>
      <c r="G28" s="50"/>
      <c r="H28" s="51"/>
      <c r="I28" s="52">
        <f t="shared" si="0"/>
        <v>0</v>
      </c>
      <c r="J28" s="51"/>
      <c r="K28" s="53">
        <f t="shared" si="1"/>
        <v>0</v>
      </c>
    </row>
    <row r="29" spans="1:12" ht="18" customHeight="1">
      <c r="A29" s="45" t="s">
        <v>268</v>
      </c>
      <c r="B29" s="40" t="s">
        <v>165</v>
      </c>
      <c r="F29" s="50">
        <v>7942.5</v>
      </c>
      <c r="G29" s="50">
        <v>3672</v>
      </c>
      <c r="H29" s="51">
        <v>345588</v>
      </c>
      <c r="I29" s="52">
        <f t="shared" si="0"/>
        <v>250862.32920000001</v>
      </c>
      <c r="J29" s="51">
        <v>6744</v>
      </c>
      <c r="K29" s="53">
        <f t="shared" si="1"/>
        <v>589706.32920000004</v>
      </c>
    </row>
    <row r="30" spans="1:12" ht="18" customHeight="1">
      <c r="A30" s="45" t="s">
        <v>269</v>
      </c>
      <c r="B30" s="814"/>
      <c r="C30" s="815"/>
      <c r="D30" s="816"/>
      <c r="F30" s="50"/>
      <c r="G30" s="50"/>
      <c r="H30" s="51"/>
      <c r="I30" s="52">
        <f t="shared" si="0"/>
        <v>0</v>
      </c>
      <c r="J30" s="51"/>
      <c r="K30" s="53">
        <f t="shared" si="1"/>
        <v>0</v>
      </c>
    </row>
    <row r="31" spans="1:12" ht="18" customHeight="1">
      <c r="A31" s="45" t="s">
        <v>270</v>
      </c>
      <c r="B31" s="814"/>
      <c r="C31" s="815"/>
      <c r="D31" s="816"/>
      <c r="F31" s="50"/>
      <c r="G31" s="50"/>
      <c r="H31" s="51"/>
      <c r="I31" s="52">
        <f t="shared" si="0"/>
        <v>0</v>
      </c>
      <c r="J31" s="51"/>
      <c r="K31" s="53">
        <f t="shared" si="1"/>
        <v>0</v>
      </c>
    </row>
    <row r="32" spans="1:12" ht="18" customHeight="1">
      <c r="A32" s="45" t="s">
        <v>271</v>
      </c>
      <c r="B32" s="54"/>
      <c r="C32" s="55"/>
      <c r="D32" s="56"/>
      <c r="F32" s="50"/>
      <c r="G32" s="57" t="s">
        <v>272</v>
      </c>
      <c r="H32" s="51"/>
      <c r="I32" s="52">
        <f t="shared" si="0"/>
        <v>0</v>
      </c>
      <c r="J32" s="51"/>
      <c r="K32" s="53">
        <f t="shared" si="1"/>
        <v>0</v>
      </c>
    </row>
    <row r="33" spans="1:11" ht="18" customHeight="1">
      <c r="A33" s="45" t="s">
        <v>273</v>
      </c>
      <c r="B33" s="54"/>
      <c r="C33" s="55"/>
      <c r="D33" s="56"/>
      <c r="F33" s="50"/>
      <c r="G33" s="57" t="s">
        <v>272</v>
      </c>
      <c r="H33" s="51"/>
      <c r="I33" s="52">
        <f t="shared" si="0"/>
        <v>0</v>
      </c>
      <c r="J33" s="51"/>
      <c r="K33" s="53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0"/>
        <v>0</v>
      </c>
      <c r="J34" s="51"/>
      <c r="K34" s="53">
        <f t="shared" si="1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14356.6</v>
      </c>
      <c r="G36" s="59">
        <f t="shared" si="2"/>
        <v>179345</v>
      </c>
      <c r="H36" s="59">
        <f t="shared" si="2"/>
        <v>695163</v>
      </c>
      <c r="I36" s="53">
        <f t="shared" si="2"/>
        <v>504618.82170000003</v>
      </c>
      <c r="J36" s="53">
        <f t="shared" si="2"/>
        <v>19089</v>
      </c>
      <c r="K36" s="53">
        <f t="shared" si="2"/>
        <v>1180692.8217000002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/>
      <c r="G40" s="50"/>
      <c r="H40" s="51"/>
      <c r="I40" s="52">
        <v>0</v>
      </c>
      <c r="J40" s="51"/>
      <c r="K40" s="53">
        <f t="shared" ref="K40:K47" si="3">(H40+I40)-J40</f>
        <v>0</v>
      </c>
    </row>
    <row r="41" spans="1:11" ht="18" customHeight="1">
      <c r="A41" s="45" t="s">
        <v>278</v>
      </c>
      <c r="B41" s="818" t="s">
        <v>172</v>
      </c>
      <c r="C41" s="819"/>
      <c r="F41" s="50"/>
      <c r="G41" s="50"/>
      <c r="H41" s="51"/>
      <c r="I41" s="52">
        <v>0</v>
      </c>
      <c r="J41" s="51"/>
      <c r="K41" s="53">
        <f t="shared" si="3"/>
        <v>0</v>
      </c>
    </row>
    <row r="42" spans="1:11" ht="18" customHeight="1">
      <c r="A42" s="45" t="s">
        <v>279</v>
      </c>
      <c r="B42" s="49" t="s">
        <v>174</v>
      </c>
      <c r="F42" s="50">
        <v>4292.75</v>
      </c>
      <c r="G42" s="50">
        <v>2828</v>
      </c>
      <c r="H42" s="51">
        <v>162082</v>
      </c>
      <c r="I42" s="52">
        <v>0</v>
      </c>
      <c r="J42" s="51">
        <v>0</v>
      </c>
      <c r="K42" s="53">
        <f t="shared" si="3"/>
        <v>162082</v>
      </c>
    </row>
    <row r="43" spans="1:11" ht="18" customHeight="1">
      <c r="A43" s="45" t="s">
        <v>280</v>
      </c>
      <c r="B43" s="49" t="s">
        <v>176</v>
      </c>
      <c r="F43" s="50"/>
      <c r="G43" s="50"/>
      <c r="H43" s="51"/>
      <c r="I43" s="52">
        <v>0</v>
      </c>
      <c r="J43" s="51"/>
      <c r="K43" s="53">
        <f t="shared" si="3"/>
        <v>0</v>
      </c>
    </row>
    <row r="44" spans="1:11" ht="18" customHeight="1">
      <c r="A44" s="45" t="s">
        <v>281</v>
      </c>
      <c r="B44" s="814" t="s">
        <v>282</v>
      </c>
      <c r="C44" s="815"/>
      <c r="D44" s="816"/>
      <c r="F44" s="50">
        <v>2086</v>
      </c>
      <c r="G44" s="50">
        <v>1042</v>
      </c>
      <c r="H44" s="50">
        <v>158886</v>
      </c>
      <c r="I44" s="52">
        <v>0</v>
      </c>
      <c r="J44" s="50">
        <v>4800</v>
      </c>
      <c r="K44" s="63">
        <f t="shared" si="3"/>
        <v>154086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v>0</v>
      </c>
      <c r="J45" s="51"/>
      <c r="K45" s="53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v>0</v>
      </c>
      <c r="J46" s="51"/>
      <c r="K46" s="53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6378.75</v>
      </c>
      <c r="G49" s="64">
        <f t="shared" si="4"/>
        <v>3870</v>
      </c>
      <c r="H49" s="53">
        <f t="shared" si="4"/>
        <v>320968</v>
      </c>
      <c r="I49" s="53">
        <f t="shared" si="4"/>
        <v>0</v>
      </c>
      <c r="J49" s="53">
        <f t="shared" si="4"/>
        <v>4800</v>
      </c>
      <c r="K49" s="53">
        <f t="shared" si="4"/>
        <v>316168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22" t="s">
        <v>288</v>
      </c>
      <c r="C53" s="823"/>
      <c r="D53" s="813"/>
      <c r="F53" s="50">
        <f>6944+10764</f>
        <v>17708</v>
      </c>
      <c r="G53" s="50">
        <f>3952+3089</f>
        <v>7041</v>
      </c>
      <c r="H53" s="51">
        <f>697695+482465</f>
        <v>1180160</v>
      </c>
      <c r="I53" s="52">
        <f t="shared" ref="I53:I56" si="5">H53*F$114</f>
        <v>856678.14399999997</v>
      </c>
      <c r="J53" s="51">
        <f>323692+338138</f>
        <v>661830</v>
      </c>
      <c r="K53" s="53">
        <f t="shared" ref="K53:K62" si="6">(H53+I53)-J53</f>
        <v>1375008.1439999999</v>
      </c>
    </row>
    <row r="54" spans="1:11" ht="18" customHeight="1">
      <c r="A54" s="45" t="s">
        <v>289</v>
      </c>
      <c r="B54" s="66" t="s">
        <v>290</v>
      </c>
      <c r="C54" s="67"/>
      <c r="D54" s="68"/>
      <c r="F54" s="50">
        <v>3518</v>
      </c>
      <c r="G54" s="50">
        <v>5976</v>
      </c>
      <c r="H54" s="51">
        <v>132687</v>
      </c>
      <c r="I54" s="52">
        <f t="shared" si="5"/>
        <v>96317.493300000002</v>
      </c>
      <c r="J54" s="51">
        <v>26375</v>
      </c>
      <c r="K54" s="53">
        <f t="shared" si="6"/>
        <v>202629.4933</v>
      </c>
    </row>
    <row r="55" spans="1:11" ht="18" customHeight="1">
      <c r="A55" s="45" t="s">
        <v>291</v>
      </c>
      <c r="B55" s="817" t="s">
        <v>292</v>
      </c>
      <c r="C55" s="812"/>
      <c r="D55" s="813"/>
      <c r="F55" s="50">
        <v>3467</v>
      </c>
      <c r="G55" s="50">
        <v>1011</v>
      </c>
      <c r="H55" s="51">
        <v>5879107</v>
      </c>
      <c r="I55" s="52">
        <v>0</v>
      </c>
      <c r="J55" s="51">
        <v>991791</v>
      </c>
      <c r="K55" s="53">
        <f t="shared" si="6"/>
        <v>4887316</v>
      </c>
    </row>
    <row r="56" spans="1:11" ht="18" customHeight="1">
      <c r="A56" s="45" t="s">
        <v>293</v>
      </c>
      <c r="B56" s="817" t="s">
        <v>294</v>
      </c>
      <c r="C56" s="812"/>
      <c r="D56" s="813"/>
      <c r="F56" s="50">
        <v>12521</v>
      </c>
      <c r="G56" s="50">
        <v>12153</v>
      </c>
      <c r="H56" s="51">
        <v>1377072</v>
      </c>
      <c r="I56" s="52">
        <f t="shared" si="5"/>
        <v>999616.56479999993</v>
      </c>
      <c r="J56" s="51">
        <v>941028</v>
      </c>
      <c r="K56" s="53">
        <f t="shared" si="6"/>
        <v>1435660.5647999998</v>
      </c>
    </row>
    <row r="57" spans="1:11" ht="18" customHeight="1">
      <c r="A57" s="45" t="s">
        <v>295</v>
      </c>
      <c r="B57" s="817" t="s">
        <v>296</v>
      </c>
      <c r="C57" s="812"/>
      <c r="D57" s="813"/>
      <c r="F57" s="70" t="s">
        <v>297</v>
      </c>
      <c r="G57" s="50">
        <v>68</v>
      </c>
      <c r="H57" s="51">
        <v>113587</v>
      </c>
      <c r="I57" s="52">
        <v>0</v>
      </c>
      <c r="J57" s="51">
        <v>0</v>
      </c>
      <c r="K57" s="53">
        <f t="shared" si="6"/>
        <v>113587</v>
      </c>
    </row>
    <row r="58" spans="1:11" ht="18" customHeight="1">
      <c r="A58" s="45" t="s">
        <v>298</v>
      </c>
      <c r="B58" s="66" t="s">
        <v>299</v>
      </c>
      <c r="C58" s="67"/>
      <c r="D58" s="68"/>
      <c r="F58" s="70" t="s">
        <v>297</v>
      </c>
      <c r="G58" s="70" t="s">
        <v>297</v>
      </c>
      <c r="H58" s="51">
        <v>1614994</v>
      </c>
      <c r="I58" s="52">
        <v>0</v>
      </c>
      <c r="J58" s="51">
        <v>0</v>
      </c>
      <c r="K58" s="53">
        <f t="shared" si="6"/>
        <v>1614994</v>
      </c>
    </row>
    <row r="59" spans="1:11" ht="18" customHeight="1">
      <c r="A59" s="45" t="s">
        <v>300</v>
      </c>
      <c r="B59" s="817" t="s">
        <v>301</v>
      </c>
      <c r="C59" s="812"/>
      <c r="D59" s="813"/>
      <c r="F59" s="70" t="s">
        <v>297</v>
      </c>
      <c r="G59" s="70" t="s">
        <v>297</v>
      </c>
      <c r="H59" s="51">
        <v>1304703</v>
      </c>
      <c r="I59" s="52">
        <v>0</v>
      </c>
      <c r="J59" s="51">
        <v>0</v>
      </c>
      <c r="K59" s="53">
        <f t="shared" si="6"/>
        <v>1304703</v>
      </c>
    </row>
    <row r="60" spans="1:11" ht="18" customHeight="1">
      <c r="A60" s="45" t="s">
        <v>302</v>
      </c>
      <c r="B60" s="71"/>
      <c r="C60" s="67"/>
      <c r="D60" s="68"/>
      <c r="F60" s="50"/>
      <c r="G60" s="50"/>
      <c r="H60" s="51"/>
      <c r="I60" s="52">
        <v>0</v>
      </c>
      <c r="J60" s="51"/>
      <c r="K60" s="53">
        <f t="shared" si="6"/>
        <v>0</v>
      </c>
    </row>
    <row r="61" spans="1:11" ht="18" customHeight="1">
      <c r="A61" s="45" t="s">
        <v>303</v>
      </c>
      <c r="B61" s="71"/>
      <c r="C61" s="67"/>
      <c r="D61" s="68"/>
      <c r="F61" s="50"/>
      <c r="G61" s="50"/>
      <c r="H61" s="51"/>
      <c r="I61" s="52">
        <v>0</v>
      </c>
      <c r="J61" s="51"/>
      <c r="K61" s="53">
        <f t="shared" si="6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6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7">SUM(F53:F62)</f>
        <v>37214</v>
      </c>
      <c r="G64" s="59">
        <f t="shared" si="7"/>
        <v>26249</v>
      </c>
      <c r="H64" s="53">
        <f t="shared" si="7"/>
        <v>11602310</v>
      </c>
      <c r="I64" s="53">
        <f t="shared" si="7"/>
        <v>1952612.2020999999</v>
      </c>
      <c r="J64" s="53">
        <f t="shared" si="7"/>
        <v>2621024</v>
      </c>
      <c r="K64" s="53">
        <f t="shared" si="7"/>
        <v>10933898.202099999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>
        <v>3920</v>
      </c>
      <c r="G68" s="78">
        <v>984</v>
      </c>
      <c r="H68" s="78">
        <v>484338</v>
      </c>
      <c r="I68" s="52">
        <v>0</v>
      </c>
      <c r="J68" s="78">
        <v>386627</v>
      </c>
      <c r="K68" s="53">
        <f>(H68+I68)-J68</f>
        <v>97711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71"/>
      <c r="C70" s="67"/>
      <c r="D70" s="68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71"/>
      <c r="C71" s="67"/>
      <c r="D71" s="68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81"/>
      <c r="C72" s="82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8">SUM(F68:F72)</f>
        <v>3920</v>
      </c>
      <c r="G74" s="86">
        <f t="shared" si="8"/>
        <v>984</v>
      </c>
      <c r="H74" s="86">
        <f t="shared" si="8"/>
        <v>484338</v>
      </c>
      <c r="I74" s="87">
        <f t="shared" si="8"/>
        <v>0</v>
      </c>
      <c r="J74" s="86">
        <f t="shared" si="8"/>
        <v>386627</v>
      </c>
      <c r="K74" s="63">
        <f t="shared" si="8"/>
        <v>97711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/>
      <c r="G77" s="50"/>
      <c r="H77" s="51">
        <v>43624</v>
      </c>
      <c r="I77" s="52">
        <v>0</v>
      </c>
      <c r="J77" s="51">
        <v>43624</v>
      </c>
      <c r="K77" s="53">
        <f>(H77+I77)-J77</f>
        <v>0</v>
      </c>
    </row>
    <row r="78" spans="1:11" ht="18" customHeight="1">
      <c r="A78" s="45" t="s">
        <v>313</v>
      </c>
      <c r="B78" s="49" t="s">
        <v>197</v>
      </c>
      <c r="F78" s="50"/>
      <c r="G78" s="50"/>
      <c r="H78" s="51">
        <f>109252+46116+197811</f>
        <v>353179</v>
      </c>
      <c r="I78" s="52">
        <v>0</v>
      </c>
      <c r="J78" s="51">
        <f>109252+46116</f>
        <v>155368</v>
      </c>
      <c r="K78" s="53">
        <f>(H78+I78)-J78</f>
        <v>197811</v>
      </c>
    </row>
    <row r="79" spans="1:11" ht="18" customHeight="1">
      <c r="A79" s="45" t="s">
        <v>314</v>
      </c>
      <c r="B79" s="49" t="s">
        <v>199</v>
      </c>
      <c r="F79" s="50">
        <v>814.5</v>
      </c>
      <c r="G79" s="50">
        <v>1127</v>
      </c>
      <c r="H79" s="51">
        <v>101495</v>
      </c>
      <c r="I79" s="52">
        <v>0</v>
      </c>
      <c r="J79" s="51"/>
      <c r="K79" s="53">
        <f>(H79+I79)-J79</f>
        <v>101495</v>
      </c>
    </row>
    <row r="80" spans="1:11" ht="18" customHeight="1">
      <c r="A80" s="45" t="s">
        <v>315</v>
      </c>
      <c r="B80" s="49" t="s">
        <v>316</v>
      </c>
      <c r="F80" s="50"/>
      <c r="G80" s="50"/>
      <c r="H80" s="51"/>
      <c r="I80" s="52">
        <v>0</v>
      </c>
      <c r="J80" s="51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9">SUM(F77:F80)</f>
        <v>814.5</v>
      </c>
      <c r="G82" s="86">
        <f t="shared" si="9"/>
        <v>1127</v>
      </c>
      <c r="H82" s="63">
        <f t="shared" si="9"/>
        <v>498298</v>
      </c>
      <c r="I82" s="63">
        <f t="shared" si="9"/>
        <v>0</v>
      </c>
      <c r="J82" s="63">
        <f t="shared" si="9"/>
        <v>198992</v>
      </c>
      <c r="K82" s="63">
        <f t="shared" si="9"/>
        <v>299306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/>
      <c r="G86" s="50"/>
      <c r="H86" s="51"/>
      <c r="I86" s="52">
        <f t="shared" ref="I86:I96" si="10">H86*F$114</f>
        <v>0</v>
      </c>
      <c r="J86" s="51"/>
      <c r="K86" s="53">
        <f t="shared" ref="K86:K96" si="11">(H86+I86)-J86</f>
        <v>0</v>
      </c>
    </row>
    <row r="87" spans="1:11" ht="18" customHeight="1">
      <c r="A87" s="45" t="s">
        <v>320</v>
      </c>
      <c r="B87" s="49" t="s">
        <v>206</v>
      </c>
      <c r="F87" s="50"/>
      <c r="G87" s="50"/>
      <c r="H87" s="51"/>
      <c r="I87" s="52">
        <f t="shared" si="10"/>
        <v>0</v>
      </c>
      <c r="J87" s="51"/>
      <c r="K87" s="53">
        <f t="shared" si="11"/>
        <v>0</v>
      </c>
    </row>
    <row r="88" spans="1:11" ht="18" customHeight="1">
      <c r="A88" s="45" t="s">
        <v>321</v>
      </c>
      <c r="B88" s="49" t="s">
        <v>208</v>
      </c>
      <c r="F88" s="50">
        <v>48</v>
      </c>
      <c r="G88" s="50">
        <v>4075</v>
      </c>
      <c r="H88" s="51">
        <v>16139</v>
      </c>
      <c r="I88" s="52">
        <f t="shared" si="10"/>
        <v>11715.3001</v>
      </c>
      <c r="J88" s="51">
        <v>3000</v>
      </c>
      <c r="K88" s="53">
        <f t="shared" si="11"/>
        <v>24854.3001</v>
      </c>
    </row>
    <row r="89" spans="1:11" ht="18" customHeight="1">
      <c r="A89" s="45" t="s">
        <v>322</v>
      </c>
      <c r="B89" s="49" t="s">
        <v>210</v>
      </c>
      <c r="F89" s="50"/>
      <c r="G89" s="50"/>
      <c r="H89" s="51"/>
      <c r="I89" s="52">
        <f t="shared" si="10"/>
        <v>0</v>
      </c>
      <c r="J89" s="51"/>
      <c r="K89" s="53">
        <f t="shared" si="11"/>
        <v>0</v>
      </c>
    </row>
    <row r="90" spans="1:11" ht="18" customHeight="1">
      <c r="A90" s="45" t="s">
        <v>323</v>
      </c>
      <c r="B90" s="818" t="s">
        <v>212</v>
      </c>
      <c r="C90" s="819"/>
      <c r="F90" s="50"/>
      <c r="G90" s="50"/>
      <c r="H90" s="51"/>
      <c r="I90" s="52">
        <f t="shared" si="10"/>
        <v>0</v>
      </c>
      <c r="J90" s="51"/>
      <c r="K90" s="53">
        <f t="shared" si="11"/>
        <v>0</v>
      </c>
    </row>
    <row r="91" spans="1:11" ht="18" customHeight="1">
      <c r="A91" s="45" t="s">
        <v>324</v>
      </c>
      <c r="B91" s="49" t="s">
        <v>214</v>
      </c>
      <c r="F91" s="50"/>
      <c r="G91" s="50"/>
      <c r="H91" s="51"/>
      <c r="I91" s="52">
        <f t="shared" si="10"/>
        <v>0</v>
      </c>
      <c r="J91" s="51"/>
      <c r="K91" s="53">
        <f t="shared" si="11"/>
        <v>0</v>
      </c>
    </row>
    <row r="92" spans="1:11" ht="18" customHeight="1">
      <c r="A92" s="45" t="s">
        <v>325</v>
      </c>
      <c r="B92" s="49" t="s">
        <v>216</v>
      </c>
      <c r="F92" s="89">
        <v>29.5</v>
      </c>
      <c r="G92" s="89">
        <v>1</v>
      </c>
      <c r="H92" s="90">
        <v>1036</v>
      </c>
      <c r="I92" s="52">
        <f t="shared" si="10"/>
        <v>752.03239999999994</v>
      </c>
      <c r="J92" s="90"/>
      <c r="K92" s="53">
        <f t="shared" si="11"/>
        <v>1788.0324000000001</v>
      </c>
    </row>
    <row r="93" spans="1:11" ht="18" customHeight="1">
      <c r="A93" s="45" t="s">
        <v>326</v>
      </c>
      <c r="B93" s="49" t="s">
        <v>218</v>
      </c>
      <c r="F93" s="50"/>
      <c r="G93" s="50"/>
      <c r="H93" s="51"/>
      <c r="I93" s="52">
        <f t="shared" si="10"/>
        <v>0</v>
      </c>
      <c r="J93" s="51"/>
      <c r="K93" s="53">
        <f t="shared" si="11"/>
        <v>0</v>
      </c>
    </row>
    <row r="94" spans="1:11" ht="18" customHeight="1">
      <c r="A94" s="45" t="s">
        <v>327</v>
      </c>
      <c r="B94" s="817" t="s">
        <v>328</v>
      </c>
      <c r="C94" s="812"/>
      <c r="D94" s="813"/>
      <c r="F94" s="50">
        <v>22</v>
      </c>
      <c r="G94" s="50">
        <v>850</v>
      </c>
      <c r="H94" s="51">
        <v>830</v>
      </c>
      <c r="I94" s="52">
        <f t="shared" si="10"/>
        <v>602.49699999999996</v>
      </c>
      <c r="J94" s="51"/>
      <c r="K94" s="53">
        <f t="shared" si="11"/>
        <v>1432.4969999999998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10"/>
        <v>0</v>
      </c>
      <c r="J95" s="51"/>
      <c r="K95" s="53">
        <f t="shared" si="11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10"/>
        <v>0</v>
      </c>
      <c r="J96" s="51"/>
      <c r="K96" s="53">
        <f t="shared" si="11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2">SUM(F86:F96)</f>
        <v>99.5</v>
      </c>
      <c r="G98" s="59">
        <f t="shared" si="12"/>
        <v>4926</v>
      </c>
      <c r="H98" s="59">
        <f t="shared" si="12"/>
        <v>18005</v>
      </c>
      <c r="I98" s="59">
        <f t="shared" si="12"/>
        <v>13069.8295</v>
      </c>
      <c r="J98" s="59">
        <f t="shared" si="12"/>
        <v>3000</v>
      </c>
      <c r="K98" s="59">
        <f t="shared" si="12"/>
        <v>28074.8295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813</v>
      </c>
      <c r="G102" s="50"/>
      <c r="H102" s="51">
        <v>36756</v>
      </c>
      <c r="I102" s="52">
        <f>H102*F$114</f>
        <v>26681.180400000001</v>
      </c>
      <c r="J102" s="51"/>
      <c r="K102" s="53">
        <f>(H102+I102)-J102</f>
        <v>63437.180399999997</v>
      </c>
    </row>
    <row r="103" spans="1:11" ht="18" customHeight="1">
      <c r="A103" s="45" t="s">
        <v>333</v>
      </c>
      <c r="B103" s="818" t="s">
        <v>226</v>
      </c>
      <c r="C103" s="818"/>
      <c r="F103" s="50"/>
      <c r="G103" s="50"/>
      <c r="H103" s="51"/>
      <c r="I103" s="52">
        <f>H103*F$114</f>
        <v>0</v>
      </c>
      <c r="J103" s="51"/>
      <c r="K103" s="53">
        <f>(H103+I103)-J103</f>
        <v>0</v>
      </c>
    </row>
    <row r="104" spans="1:11" ht="18" customHeight="1">
      <c r="A104" s="45" t="s">
        <v>334</v>
      </c>
      <c r="B104" s="817" t="s">
        <v>335</v>
      </c>
      <c r="C104" s="812"/>
      <c r="D104" s="813"/>
      <c r="F104" s="50">
        <v>116.5</v>
      </c>
      <c r="G104" s="50">
        <v>87</v>
      </c>
      <c r="H104" s="51">
        <v>3740</v>
      </c>
      <c r="I104" s="52">
        <f>H104*F$114</f>
        <v>2714.866</v>
      </c>
      <c r="J104" s="51"/>
      <c r="K104" s="53">
        <f>(H104+I104)-J104</f>
        <v>6454.866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3">SUM(F102:F106)</f>
        <v>929.5</v>
      </c>
      <c r="G108" s="59">
        <f t="shared" si="13"/>
        <v>87</v>
      </c>
      <c r="H108" s="53">
        <f t="shared" si="13"/>
        <v>40496</v>
      </c>
      <c r="I108" s="53">
        <f t="shared" si="13"/>
        <v>29396.046399999999</v>
      </c>
      <c r="J108" s="53">
        <f t="shared" si="13"/>
        <v>0</v>
      </c>
      <c r="K108" s="53">
        <f t="shared" si="13"/>
        <v>69892.046399999992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12006630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0.72589999999999999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281423435</v>
      </c>
    </row>
    <row r="118" spans="1:6">
      <c r="A118" s="45" t="s">
        <v>343</v>
      </c>
      <c r="B118" s="40" t="s">
        <v>237</v>
      </c>
      <c r="F118" s="51">
        <f>12776152+2649009+102223</f>
        <v>15527384</v>
      </c>
    </row>
    <row r="119" spans="1:6">
      <c r="A119" s="45" t="s">
        <v>344</v>
      </c>
      <c r="B119" s="43" t="s">
        <v>238</v>
      </c>
      <c r="F119" s="63">
        <f>SUM(F117:F118)</f>
        <v>296950819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f>285886346</f>
        <v>285886346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f>F119-F121</f>
        <v>11064473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f>-11291050+9867533-524527-79</f>
        <v>-1948123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f>F123+F125</f>
        <v>9116350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4">SUM(F131:F135)</f>
        <v>0</v>
      </c>
      <c r="G137" s="59">
        <f t="shared" si="14"/>
        <v>0</v>
      </c>
      <c r="H137" s="53">
        <f t="shared" si="14"/>
        <v>0</v>
      </c>
      <c r="I137" s="53">
        <f t="shared" si="14"/>
        <v>0</v>
      </c>
      <c r="J137" s="53">
        <f t="shared" si="14"/>
        <v>0</v>
      </c>
      <c r="K137" s="53">
        <f t="shared" si="14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5">F36</f>
        <v>14356.6</v>
      </c>
      <c r="G141" s="95">
        <f t="shared" si="15"/>
        <v>179345</v>
      </c>
      <c r="H141" s="95">
        <f t="shared" si="15"/>
        <v>695163</v>
      </c>
      <c r="I141" s="95">
        <f t="shared" si="15"/>
        <v>504618.82170000003</v>
      </c>
      <c r="J141" s="95">
        <f t="shared" si="15"/>
        <v>19089</v>
      </c>
      <c r="K141" s="95">
        <f t="shared" si="15"/>
        <v>1180692.8217000002</v>
      </c>
    </row>
    <row r="142" spans="1:11" ht="18" customHeight="1">
      <c r="A142" s="45" t="s">
        <v>286</v>
      </c>
      <c r="B142" s="43" t="s">
        <v>125</v>
      </c>
      <c r="F142" s="95">
        <f t="shared" ref="F142:K142" si="16">F49</f>
        <v>6378.75</v>
      </c>
      <c r="G142" s="95">
        <f t="shared" si="16"/>
        <v>3870</v>
      </c>
      <c r="H142" s="95">
        <f t="shared" si="16"/>
        <v>320968</v>
      </c>
      <c r="I142" s="95">
        <f t="shared" si="16"/>
        <v>0</v>
      </c>
      <c r="J142" s="95">
        <f t="shared" si="16"/>
        <v>4800</v>
      </c>
      <c r="K142" s="95">
        <f t="shared" si="16"/>
        <v>316168</v>
      </c>
    </row>
    <row r="143" spans="1:11" ht="18" customHeight="1">
      <c r="A143" s="45" t="s">
        <v>305</v>
      </c>
      <c r="B143" s="43" t="s">
        <v>247</v>
      </c>
      <c r="F143" s="95">
        <f t="shared" ref="F143:K143" si="17">F64</f>
        <v>37214</v>
      </c>
      <c r="G143" s="95">
        <f t="shared" si="17"/>
        <v>26249</v>
      </c>
      <c r="H143" s="95">
        <f t="shared" si="17"/>
        <v>11602310</v>
      </c>
      <c r="I143" s="95">
        <f t="shared" si="17"/>
        <v>1952612.2020999999</v>
      </c>
      <c r="J143" s="95">
        <f t="shared" si="17"/>
        <v>2621024</v>
      </c>
      <c r="K143" s="95">
        <f t="shared" si="17"/>
        <v>10933898.202099999</v>
      </c>
    </row>
    <row r="144" spans="1:11" ht="18" customHeight="1">
      <c r="A144" s="45" t="s">
        <v>311</v>
      </c>
      <c r="B144" s="43" t="s">
        <v>127</v>
      </c>
      <c r="F144" s="95">
        <f t="shared" ref="F144:K144" si="18">F74</f>
        <v>3920</v>
      </c>
      <c r="G144" s="95">
        <f t="shared" si="18"/>
        <v>984</v>
      </c>
      <c r="H144" s="95">
        <f t="shared" si="18"/>
        <v>484338</v>
      </c>
      <c r="I144" s="95">
        <f t="shared" si="18"/>
        <v>0</v>
      </c>
      <c r="J144" s="95">
        <f t="shared" si="18"/>
        <v>386627</v>
      </c>
      <c r="K144" s="95">
        <f t="shared" si="18"/>
        <v>97711</v>
      </c>
    </row>
    <row r="145" spans="1:11" ht="18" customHeight="1">
      <c r="A145" s="45" t="s">
        <v>317</v>
      </c>
      <c r="B145" s="43" t="s">
        <v>248</v>
      </c>
      <c r="F145" s="95">
        <f t="shared" ref="F145:K145" si="19">F82</f>
        <v>814.5</v>
      </c>
      <c r="G145" s="95">
        <f t="shared" si="19"/>
        <v>1127</v>
      </c>
      <c r="H145" s="95">
        <f t="shared" si="19"/>
        <v>498298</v>
      </c>
      <c r="I145" s="95">
        <f t="shared" si="19"/>
        <v>0</v>
      </c>
      <c r="J145" s="95">
        <f t="shared" si="19"/>
        <v>198992</v>
      </c>
      <c r="K145" s="95">
        <f t="shared" si="19"/>
        <v>299306</v>
      </c>
    </row>
    <row r="146" spans="1:11" ht="18" customHeight="1">
      <c r="A146" s="45" t="s">
        <v>331</v>
      </c>
      <c r="B146" s="43" t="s">
        <v>249</v>
      </c>
      <c r="F146" s="95">
        <f t="shared" ref="F146:K146" si="20">F98</f>
        <v>99.5</v>
      </c>
      <c r="G146" s="95">
        <f t="shared" si="20"/>
        <v>4926</v>
      </c>
      <c r="H146" s="95">
        <f t="shared" si="20"/>
        <v>18005</v>
      </c>
      <c r="I146" s="95">
        <f t="shared" si="20"/>
        <v>13069.8295</v>
      </c>
      <c r="J146" s="95">
        <f t="shared" si="20"/>
        <v>3000</v>
      </c>
      <c r="K146" s="95">
        <f t="shared" si="20"/>
        <v>28074.8295</v>
      </c>
    </row>
    <row r="147" spans="1:11" ht="18" customHeight="1">
      <c r="A147" s="45" t="s">
        <v>338</v>
      </c>
      <c r="B147" s="43" t="s">
        <v>129</v>
      </c>
      <c r="F147" s="59">
        <f t="shared" ref="F147:K147" si="21">F108</f>
        <v>929.5</v>
      </c>
      <c r="G147" s="59">
        <f t="shared" si="21"/>
        <v>87</v>
      </c>
      <c r="H147" s="59">
        <f t="shared" si="21"/>
        <v>40496</v>
      </c>
      <c r="I147" s="59">
        <f t="shared" si="21"/>
        <v>29396.046399999999</v>
      </c>
      <c r="J147" s="59">
        <f t="shared" si="21"/>
        <v>0</v>
      </c>
      <c r="K147" s="59">
        <f t="shared" si="21"/>
        <v>69892.046399999992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12006630</v>
      </c>
    </row>
    <row r="149" spans="1:11" ht="18" customHeight="1">
      <c r="A149" s="45" t="s">
        <v>358</v>
      </c>
      <c r="B149" s="43" t="s">
        <v>250</v>
      </c>
      <c r="F149" s="59">
        <f t="shared" ref="F149:K149" si="22">F137</f>
        <v>0</v>
      </c>
      <c r="G149" s="59">
        <f t="shared" si="22"/>
        <v>0</v>
      </c>
      <c r="H149" s="59">
        <f t="shared" si="22"/>
        <v>0</v>
      </c>
      <c r="I149" s="59">
        <f t="shared" si="22"/>
        <v>0</v>
      </c>
      <c r="J149" s="59">
        <f t="shared" si="22"/>
        <v>0</v>
      </c>
      <c r="K149" s="59">
        <f t="shared" si="22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7512301</v>
      </c>
      <c r="I150" s="59">
        <f>I18</f>
        <v>0</v>
      </c>
      <c r="J150" s="59">
        <f>J18</f>
        <v>6423957</v>
      </c>
      <c r="K150" s="59">
        <f>K18</f>
        <v>1088344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3">SUM(F141:F150)</f>
        <v>63712.85</v>
      </c>
      <c r="G152" s="99">
        <f t="shared" si="23"/>
        <v>216588</v>
      </c>
      <c r="H152" s="99">
        <f t="shared" si="23"/>
        <v>21171879</v>
      </c>
      <c r="I152" s="99">
        <f t="shared" si="23"/>
        <v>2499696.8997</v>
      </c>
      <c r="J152" s="99">
        <f t="shared" si="23"/>
        <v>9657489</v>
      </c>
      <c r="K152" s="99">
        <f t="shared" si="23"/>
        <v>26020716.899700001</v>
      </c>
    </row>
    <row r="154" spans="1:11" ht="18" customHeight="1">
      <c r="A154" s="48" t="s">
        <v>361</v>
      </c>
      <c r="B154" s="43" t="s">
        <v>252</v>
      </c>
      <c r="F154" s="100">
        <f>K152/F121</f>
        <v>9.1017697290447022E-2</v>
      </c>
    </row>
    <row r="155" spans="1:11" ht="18" customHeight="1">
      <c r="A155" s="48" t="s">
        <v>362</v>
      </c>
      <c r="B155" s="43" t="s">
        <v>253</v>
      </c>
      <c r="F155" s="100">
        <f>K152/F127</f>
        <v>2.8542911252529795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RowHeight="12.75"/>
  <cols>
    <col min="1" max="1" width="8.28515625" style="39" customWidth="1"/>
    <col min="2" max="2" width="55.42578125" style="40" bestFit="1" customWidth="1"/>
    <col min="3" max="3" width="9.5703125" style="40" customWidth="1"/>
    <col min="4" max="4" width="9.140625" style="40"/>
    <col min="5" max="5" width="12.42578125" style="40" customWidth="1"/>
    <col min="6" max="6" width="18.5703125" style="40" customWidth="1"/>
    <col min="7" max="7" width="23.5703125" style="40" customWidth="1"/>
    <col min="8" max="8" width="17.140625" style="40" customWidth="1"/>
    <col min="9" max="9" width="21.140625" style="40" customWidth="1"/>
    <col min="10" max="10" width="19.85546875" style="40" customWidth="1"/>
    <col min="11" max="11" width="17.5703125" style="40" customWidth="1"/>
    <col min="12" max="16384" width="9.14062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375</v>
      </c>
      <c r="D5" s="844"/>
      <c r="E5" s="844"/>
      <c r="F5" s="844"/>
      <c r="G5" s="845"/>
    </row>
    <row r="6" spans="1:11" ht="18" customHeight="1">
      <c r="B6" s="45" t="s">
        <v>136</v>
      </c>
      <c r="C6" s="843" t="s">
        <v>376</v>
      </c>
      <c r="D6" s="844"/>
      <c r="E6" s="844"/>
      <c r="F6" s="844"/>
      <c r="G6" s="845"/>
    </row>
    <row r="7" spans="1:11" ht="18" customHeight="1">
      <c r="B7" s="45" t="s">
        <v>137</v>
      </c>
      <c r="C7" s="843">
        <v>8011</v>
      </c>
      <c r="D7" s="844"/>
      <c r="E7" s="844"/>
      <c r="F7" s="844"/>
      <c r="G7" s="845"/>
    </row>
    <row r="9" spans="1:11" ht="18" customHeight="1">
      <c r="B9" s="45" t="s">
        <v>138</v>
      </c>
      <c r="C9" s="843" t="s">
        <v>377</v>
      </c>
      <c r="D9" s="844"/>
      <c r="E9" s="844"/>
      <c r="F9" s="844"/>
      <c r="G9" s="845"/>
    </row>
    <row r="10" spans="1:11" ht="18" customHeight="1">
      <c r="B10" s="45" t="s">
        <v>140</v>
      </c>
      <c r="C10" s="843" t="s">
        <v>378</v>
      </c>
      <c r="D10" s="844"/>
      <c r="E10" s="844"/>
      <c r="F10" s="844"/>
      <c r="G10" s="845"/>
    </row>
    <row r="11" spans="1:11" ht="18" customHeight="1">
      <c r="B11" s="45" t="s">
        <v>142</v>
      </c>
      <c r="C11" s="843" t="s">
        <v>379</v>
      </c>
      <c r="D11" s="844"/>
      <c r="E11" s="844"/>
      <c r="F11" s="844"/>
      <c r="G11" s="845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34007741.651574738</v>
      </c>
      <c r="I18" s="50">
        <v>0</v>
      </c>
      <c r="J18" s="50">
        <v>29080871.202998348</v>
      </c>
      <c r="K18" s="53">
        <f>(H18+I18)-J18</f>
        <v>4926870.4485763907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113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  <c r="H20" s="114"/>
    </row>
    <row r="21" spans="1:11" ht="18" customHeight="1">
      <c r="A21" s="45" t="s">
        <v>164</v>
      </c>
      <c r="B21" s="49" t="s">
        <v>156</v>
      </c>
      <c r="F21" s="50">
        <v>17057.5</v>
      </c>
      <c r="G21" s="50">
        <v>41121.5</v>
      </c>
      <c r="H21" s="51">
        <v>1335828.1629166701</v>
      </c>
      <c r="I21" s="52">
        <f>H21*F$114</f>
        <v>530059.47122958209</v>
      </c>
      <c r="J21" s="50">
        <v>0</v>
      </c>
      <c r="K21" s="53">
        <f>(H21+I21)-J21</f>
        <v>1865887.6341462522</v>
      </c>
    </row>
    <row r="22" spans="1:11" ht="18" customHeight="1">
      <c r="A22" s="45" t="s">
        <v>261</v>
      </c>
      <c r="B22" s="40" t="s">
        <v>157</v>
      </c>
      <c r="F22" s="50">
        <v>141.5</v>
      </c>
      <c r="G22" s="50">
        <v>431</v>
      </c>
      <c r="H22" s="51">
        <v>4073.9229166703672</v>
      </c>
      <c r="I22" s="52">
        <f t="shared" ref="I22:I34" si="0">H22*F$114</f>
        <v>1616.5413239420359</v>
      </c>
      <c r="J22" s="50">
        <v>0</v>
      </c>
      <c r="K22" s="53">
        <f t="shared" ref="K22:K34" si="1">(H22+I22)-J22</f>
        <v>5690.464240612403</v>
      </c>
    </row>
    <row r="23" spans="1:11" ht="18" customHeight="1">
      <c r="A23" s="45" t="s">
        <v>262</v>
      </c>
      <c r="B23" s="40" t="s">
        <v>158</v>
      </c>
      <c r="F23" s="50">
        <v>0</v>
      </c>
      <c r="G23" s="50">
        <v>0</v>
      </c>
      <c r="H23" s="51">
        <v>0</v>
      </c>
      <c r="I23" s="52">
        <f t="shared" si="0"/>
        <v>0</v>
      </c>
      <c r="J23" s="50">
        <v>0</v>
      </c>
      <c r="K23" s="53">
        <f t="shared" si="1"/>
        <v>0</v>
      </c>
    </row>
    <row r="24" spans="1:11" ht="18" customHeight="1">
      <c r="A24" s="45" t="s">
        <v>263</v>
      </c>
      <c r="B24" s="40" t="s">
        <v>159</v>
      </c>
      <c r="F24" s="50">
        <v>0</v>
      </c>
      <c r="G24" s="50">
        <v>0</v>
      </c>
      <c r="H24" s="51">
        <v>0</v>
      </c>
      <c r="I24" s="52">
        <f t="shared" si="0"/>
        <v>0</v>
      </c>
      <c r="J24" s="50">
        <v>0</v>
      </c>
      <c r="K24" s="53">
        <f t="shared" si="1"/>
        <v>0</v>
      </c>
    </row>
    <row r="25" spans="1:11" ht="18" customHeight="1">
      <c r="A25" s="45" t="s">
        <v>264</v>
      </c>
      <c r="B25" s="40" t="s">
        <v>160</v>
      </c>
      <c r="F25" s="50">
        <v>0</v>
      </c>
      <c r="G25" s="50">
        <v>2342</v>
      </c>
      <c r="H25" s="51">
        <v>237275</v>
      </c>
      <c r="I25" s="52">
        <f t="shared" si="0"/>
        <v>94151.227326567969</v>
      </c>
      <c r="J25" s="50">
        <v>0</v>
      </c>
      <c r="K25" s="53">
        <f t="shared" si="1"/>
        <v>331426.22732656798</v>
      </c>
    </row>
    <row r="26" spans="1:11" ht="18" customHeight="1">
      <c r="A26" s="45" t="s">
        <v>265</v>
      </c>
      <c r="B26" s="40" t="s">
        <v>161</v>
      </c>
      <c r="F26" s="50">
        <v>0</v>
      </c>
      <c r="G26" s="50">
        <v>0</v>
      </c>
      <c r="H26" s="51">
        <v>0</v>
      </c>
      <c r="I26" s="52">
        <f t="shared" si="0"/>
        <v>0</v>
      </c>
      <c r="J26" s="50">
        <v>0</v>
      </c>
      <c r="K26" s="53">
        <f t="shared" si="1"/>
        <v>0</v>
      </c>
    </row>
    <row r="27" spans="1:11" ht="18" customHeight="1">
      <c r="A27" s="45" t="s">
        <v>266</v>
      </c>
      <c r="B27" s="40" t="s">
        <v>162</v>
      </c>
      <c r="F27" s="50">
        <v>0</v>
      </c>
      <c r="G27" s="50">
        <v>0</v>
      </c>
      <c r="H27" s="51">
        <v>0</v>
      </c>
      <c r="I27" s="52">
        <f t="shared" si="0"/>
        <v>0</v>
      </c>
      <c r="J27" s="50">
        <v>0</v>
      </c>
      <c r="K27" s="53">
        <f t="shared" si="1"/>
        <v>0</v>
      </c>
    </row>
    <row r="28" spans="1:11" ht="18" customHeight="1">
      <c r="A28" s="45" t="s">
        <v>267</v>
      </c>
      <c r="B28" s="40" t="s">
        <v>163</v>
      </c>
      <c r="F28" s="50">
        <v>4368</v>
      </c>
      <c r="G28" s="50">
        <v>512</v>
      </c>
      <c r="H28" s="51">
        <v>165562.12</v>
      </c>
      <c r="I28" s="52">
        <f t="shared" si="0"/>
        <v>65695.403210572229</v>
      </c>
      <c r="J28" s="50">
        <v>0</v>
      </c>
      <c r="K28" s="53">
        <f t="shared" si="1"/>
        <v>231257.52321057222</v>
      </c>
    </row>
    <row r="29" spans="1:11" ht="18" customHeight="1">
      <c r="A29" s="45" t="s">
        <v>268</v>
      </c>
      <c r="B29" s="40" t="s">
        <v>165</v>
      </c>
      <c r="F29" s="50">
        <v>0</v>
      </c>
      <c r="G29" s="50">
        <v>0</v>
      </c>
      <c r="H29" s="51">
        <v>0</v>
      </c>
      <c r="I29" s="52">
        <f t="shared" si="0"/>
        <v>0</v>
      </c>
      <c r="J29" s="50">
        <v>0</v>
      </c>
      <c r="K29" s="53">
        <f t="shared" si="1"/>
        <v>0</v>
      </c>
    </row>
    <row r="30" spans="1:11" ht="18" customHeight="1">
      <c r="A30" s="45" t="s">
        <v>269</v>
      </c>
      <c r="B30" s="814"/>
      <c r="C30" s="815"/>
      <c r="D30" s="816"/>
      <c r="F30" s="50">
        <v>0</v>
      </c>
      <c r="G30" s="50">
        <v>0</v>
      </c>
      <c r="H30" s="51">
        <v>0</v>
      </c>
      <c r="I30" s="52">
        <f t="shared" si="0"/>
        <v>0</v>
      </c>
      <c r="J30" s="50">
        <v>0</v>
      </c>
      <c r="K30" s="53">
        <f t="shared" si="1"/>
        <v>0</v>
      </c>
    </row>
    <row r="31" spans="1:11" ht="18" customHeight="1">
      <c r="A31" s="45" t="s">
        <v>270</v>
      </c>
      <c r="B31" s="814"/>
      <c r="C31" s="815"/>
      <c r="D31" s="816"/>
      <c r="F31" s="50">
        <v>0</v>
      </c>
      <c r="G31" s="50">
        <v>0</v>
      </c>
      <c r="H31" s="51">
        <v>0</v>
      </c>
      <c r="I31" s="52">
        <f t="shared" si="0"/>
        <v>0</v>
      </c>
      <c r="J31" s="50">
        <v>0</v>
      </c>
      <c r="K31" s="53">
        <f t="shared" si="1"/>
        <v>0</v>
      </c>
    </row>
    <row r="32" spans="1:11" ht="18" customHeight="1">
      <c r="A32" s="45" t="s">
        <v>271</v>
      </c>
      <c r="B32" s="54"/>
      <c r="C32" s="55"/>
      <c r="D32" s="56"/>
      <c r="F32" s="50">
        <v>0</v>
      </c>
      <c r="G32" s="50" t="s">
        <v>272</v>
      </c>
      <c r="H32" s="51">
        <v>0</v>
      </c>
      <c r="I32" s="52">
        <f t="shared" si="0"/>
        <v>0</v>
      </c>
      <c r="J32" s="50">
        <v>0</v>
      </c>
      <c r="K32" s="53">
        <f t="shared" si="1"/>
        <v>0</v>
      </c>
    </row>
    <row r="33" spans="1:11" ht="18" customHeight="1">
      <c r="A33" s="45" t="s">
        <v>273</v>
      </c>
      <c r="B33" s="54"/>
      <c r="C33" s="55"/>
      <c r="D33" s="56"/>
      <c r="F33" s="50">
        <v>0</v>
      </c>
      <c r="G33" s="50" t="s">
        <v>272</v>
      </c>
      <c r="H33" s="51">
        <v>0</v>
      </c>
      <c r="I33" s="52">
        <f t="shared" si="0"/>
        <v>0</v>
      </c>
      <c r="J33" s="50">
        <v>0</v>
      </c>
      <c r="K33" s="53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0">
        <v>0</v>
      </c>
      <c r="G34" s="50" t="s">
        <v>272</v>
      </c>
      <c r="H34" s="51">
        <v>0</v>
      </c>
      <c r="I34" s="52">
        <f t="shared" si="0"/>
        <v>0</v>
      </c>
      <c r="J34" s="50">
        <v>0</v>
      </c>
      <c r="K34" s="53">
        <f t="shared" si="1"/>
        <v>0</v>
      </c>
    </row>
    <row r="35" spans="1:11" ht="18" customHeight="1">
      <c r="H35" s="114"/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21567</v>
      </c>
      <c r="G36" s="59">
        <f t="shared" si="2"/>
        <v>44406.5</v>
      </c>
      <c r="H36" s="53">
        <f t="shared" si="2"/>
        <v>1742739.2058333405</v>
      </c>
      <c r="I36" s="53">
        <f t="shared" si="2"/>
        <v>691522.64309066429</v>
      </c>
      <c r="J36" s="53">
        <f t="shared" si="2"/>
        <v>0</v>
      </c>
      <c r="K36" s="53">
        <f t="shared" si="2"/>
        <v>2434261.8489240045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113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  <c r="H39" s="114"/>
    </row>
    <row r="40" spans="1:11" ht="18" customHeight="1">
      <c r="A40" s="45" t="s">
        <v>277</v>
      </c>
      <c r="B40" s="40" t="s">
        <v>170</v>
      </c>
      <c r="F40" s="50">
        <v>2320596.3728271425</v>
      </c>
      <c r="G40" s="50">
        <v>0</v>
      </c>
      <c r="H40" s="51">
        <v>87240024.811800525</v>
      </c>
      <c r="I40" s="52">
        <f t="shared" ref="I40:I47" si="3">H40*F$114</f>
        <v>34617028.376488298</v>
      </c>
      <c r="J40" s="50">
        <v>0</v>
      </c>
      <c r="K40" s="53">
        <f t="shared" ref="K40:K47" si="4">(H40+I40)-J40</f>
        <v>121857053.18828882</v>
      </c>
    </row>
    <row r="41" spans="1:11" ht="18" customHeight="1">
      <c r="A41" s="45" t="s">
        <v>278</v>
      </c>
      <c r="B41" s="818" t="s">
        <v>172</v>
      </c>
      <c r="C41" s="819"/>
      <c r="F41" s="50">
        <v>8288</v>
      </c>
      <c r="G41" s="50">
        <v>865</v>
      </c>
      <c r="H41" s="51">
        <v>267370.88</v>
      </c>
      <c r="I41" s="52">
        <f t="shared" si="3"/>
        <v>106093.33685969666</v>
      </c>
      <c r="J41" s="50">
        <v>0</v>
      </c>
      <c r="K41" s="53">
        <f t="shared" si="4"/>
        <v>373464.21685969667</v>
      </c>
    </row>
    <row r="42" spans="1:11" ht="18" customHeight="1">
      <c r="A42" s="45" t="s">
        <v>279</v>
      </c>
      <c r="B42" s="49" t="s">
        <v>174</v>
      </c>
      <c r="F42" s="50">
        <v>0</v>
      </c>
      <c r="G42" s="50">
        <v>0</v>
      </c>
      <c r="H42" s="51">
        <v>0</v>
      </c>
      <c r="I42" s="52">
        <f t="shared" si="3"/>
        <v>0</v>
      </c>
      <c r="J42" s="50">
        <v>0</v>
      </c>
      <c r="K42" s="53">
        <f t="shared" si="4"/>
        <v>0</v>
      </c>
    </row>
    <row r="43" spans="1:11" ht="18" customHeight="1">
      <c r="A43" s="45" t="s">
        <v>280</v>
      </c>
      <c r="B43" s="49" t="s">
        <v>176</v>
      </c>
      <c r="F43" s="50">
        <v>0</v>
      </c>
      <c r="G43" s="50">
        <v>0</v>
      </c>
      <c r="H43" s="51">
        <v>0</v>
      </c>
      <c r="I43" s="52">
        <f t="shared" si="3"/>
        <v>0</v>
      </c>
      <c r="J43" s="50">
        <v>0</v>
      </c>
      <c r="K43" s="53">
        <f t="shared" si="4"/>
        <v>0</v>
      </c>
    </row>
    <row r="44" spans="1:11" ht="18" customHeight="1">
      <c r="A44" s="45" t="s">
        <v>281</v>
      </c>
      <c r="B44" s="814"/>
      <c r="C44" s="815"/>
      <c r="D44" s="816"/>
      <c r="F44" s="50">
        <v>0</v>
      </c>
      <c r="G44" s="50">
        <v>0</v>
      </c>
      <c r="H44" s="51">
        <v>0</v>
      </c>
      <c r="I44" s="52">
        <f t="shared" si="3"/>
        <v>0</v>
      </c>
      <c r="J44" s="50">
        <v>0</v>
      </c>
      <c r="K44" s="53">
        <f t="shared" si="4"/>
        <v>0</v>
      </c>
    </row>
    <row r="45" spans="1:11" ht="18" customHeight="1">
      <c r="A45" s="45" t="s">
        <v>283</v>
      </c>
      <c r="B45" s="814"/>
      <c r="C45" s="815"/>
      <c r="D45" s="816"/>
      <c r="F45" s="50">
        <v>0</v>
      </c>
      <c r="G45" s="50">
        <v>0</v>
      </c>
      <c r="H45" s="51">
        <v>0</v>
      </c>
      <c r="I45" s="52">
        <f t="shared" si="3"/>
        <v>0</v>
      </c>
      <c r="J45" s="50">
        <v>0</v>
      </c>
      <c r="K45" s="53">
        <f t="shared" si="4"/>
        <v>0</v>
      </c>
    </row>
    <row r="46" spans="1:11" ht="18" customHeight="1">
      <c r="A46" s="45" t="s">
        <v>284</v>
      </c>
      <c r="B46" s="814"/>
      <c r="C46" s="815"/>
      <c r="D46" s="816"/>
      <c r="F46" s="50">
        <v>0</v>
      </c>
      <c r="G46" s="50">
        <v>0</v>
      </c>
      <c r="H46" s="51">
        <v>0</v>
      </c>
      <c r="I46" s="52">
        <f t="shared" si="3"/>
        <v>0</v>
      </c>
      <c r="J46" s="50">
        <v>0</v>
      </c>
      <c r="K46" s="53">
        <f t="shared" si="4"/>
        <v>0</v>
      </c>
    </row>
    <row r="47" spans="1:11" ht="18" customHeight="1">
      <c r="A47" s="45" t="s">
        <v>285</v>
      </c>
      <c r="B47" s="814"/>
      <c r="C47" s="815"/>
      <c r="D47" s="816"/>
      <c r="F47" s="50">
        <v>0</v>
      </c>
      <c r="G47" s="50">
        <v>0</v>
      </c>
      <c r="H47" s="51">
        <v>0</v>
      </c>
      <c r="I47" s="52">
        <f t="shared" si="3"/>
        <v>0</v>
      </c>
      <c r="J47" s="50">
        <v>0</v>
      </c>
      <c r="K47" s="53">
        <f t="shared" si="4"/>
        <v>0</v>
      </c>
    </row>
    <row r="48" spans="1:11" ht="18" customHeight="1">
      <c r="H48" s="114"/>
    </row>
    <row r="49" spans="1:11" ht="18" customHeight="1">
      <c r="A49" s="48" t="s">
        <v>286</v>
      </c>
      <c r="B49" s="43" t="s">
        <v>177</v>
      </c>
      <c r="E49" s="43" t="s">
        <v>276</v>
      </c>
      <c r="F49" s="59">
        <f t="shared" ref="F49:K49" si="5">SUM(F40:F47)</f>
        <v>2328884.3728271425</v>
      </c>
      <c r="G49" s="64">
        <f t="shared" si="5"/>
        <v>865</v>
      </c>
      <c r="H49" s="53">
        <f t="shared" si="5"/>
        <v>87507395.69180052</v>
      </c>
      <c r="I49" s="53">
        <f t="shared" si="5"/>
        <v>34723121.713347994</v>
      </c>
      <c r="J49" s="53">
        <f t="shared" si="5"/>
        <v>0</v>
      </c>
      <c r="K49" s="53">
        <f t="shared" si="5"/>
        <v>122230517.40514852</v>
      </c>
    </row>
    <row r="50" spans="1:11" ht="18" customHeight="1" thickBot="1">
      <c r="G50" s="65"/>
      <c r="H50" s="61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113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  <c r="H52" s="114"/>
    </row>
    <row r="53" spans="1:11" ht="18" customHeight="1">
      <c r="A53" s="45" t="s">
        <v>287</v>
      </c>
      <c r="B53" s="846" t="s">
        <v>380</v>
      </c>
      <c r="C53" s="823"/>
      <c r="D53" s="813"/>
      <c r="F53" s="50">
        <v>88249.209955215454</v>
      </c>
      <c r="G53" s="50">
        <v>30642</v>
      </c>
      <c r="H53" s="51">
        <v>8741000</v>
      </c>
      <c r="I53" s="52">
        <f t="shared" ref="I53:I62" si="6">H53*F$114</f>
        <v>3468447.4894596171</v>
      </c>
      <c r="J53" s="50">
        <v>2332000</v>
      </c>
      <c r="K53" s="53">
        <f t="shared" ref="K53:K62" si="7">(H53+I53)-J53</f>
        <v>9877447.4894596171</v>
      </c>
    </row>
    <row r="54" spans="1:11" ht="18" customHeight="1">
      <c r="A54" s="45" t="s">
        <v>289</v>
      </c>
      <c r="B54" s="72" t="s">
        <v>381</v>
      </c>
      <c r="C54" s="69"/>
      <c r="D54" s="68"/>
      <c r="F54" s="50">
        <v>222570.04999817163</v>
      </c>
      <c r="G54" s="50">
        <v>26493</v>
      </c>
      <c r="H54" s="51">
        <v>11440911.899999999</v>
      </c>
      <c r="I54" s="52">
        <f t="shared" si="6"/>
        <v>4539778.3041624129</v>
      </c>
      <c r="J54" s="50">
        <v>7685207</v>
      </c>
      <c r="K54" s="53">
        <f t="shared" si="7"/>
        <v>8295483.2041624114</v>
      </c>
    </row>
    <row r="55" spans="1:11" ht="18" customHeight="1">
      <c r="A55" s="45" t="s">
        <v>291</v>
      </c>
      <c r="B55" s="811"/>
      <c r="C55" s="812"/>
      <c r="D55" s="813"/>
      <c r="F55" s="50">
        <v>0</v>
      </c>
      <c r="G55" s="50">
        <v>0</v>
      </c>
      <c r="H55" s="51">
        <v>0</v>
      </c>
      <c r="I55" s="52">
        <f t="shared" si="6"/>
        <v>0</v>
      </c>
      <c r="J55" s="50">
        <v>0</v>
      </c>
      <c r="K55" s="53">
        <f t="shared" si="7"/>
        <v>0</v>
      </c>
    </row>
    <row r="56" spans="1:11" ht="18" customHeight="1">
      <c r="A56" s="45" t="s">
        <v>293</v>
      </c>
      <c r="B56" s="811"/>
      <c r="C56" s="812"/>
      <c r="D56" s="813"/>
      <c r="F56" s="50">
        <v>0</v>
      </c>
      <c r="G56" s="50">
        <v>0</v>
      </c>
      <c r="H56" s="51">
        <v>0</v>
      </c>
      <c r="I56" s="52">
        <f t="shared" si="6"/>
        <v>0</v>
      </c>
      <c r="J56" s="50">
        <v>0</v>
      </c>
      <c r="K56" s="53">
        <f t="shared" si="7"/>
        <v>0</v>
      </c>
    </row>
    <row r="57" spans="1:11" ht="18" customHeight="1">
      <c r="A57" s="45" t="s">
        <v>295</v>
      </c>
      <c r="B57" s="811"/>
      <c r="C57" s="812"/>
      <c r="D57" s="813"/>
      <c r="F57" s="50">
        <v>0</v>
      </c>
      <c r="G57" s="50">
        <v>0</v>
      </c>
      <c r="H57" s="51">
        <v>0</v>
      </c>
      <c r="I57" s="52">
        <f t="shared" si="6"/>
        <v>0</v>
      </c>
      <c r="J57" s="50">
        <v>0</v>
      </c>
      <c r="K57" s="53">
        <f t="shared" si="7"/>
        <v>0</v>
      </c>
    </row>
    <row r="58" spans="1:11" ht="18" customHeight="1">
      <c r="A58" s="45" t="s">
        <v>298</v>
      </c>
      <c r="B58" s="72"/>
      <c r="C58" s="69"/>
      <c r="D58" s="68"/>
      <c r="F58" s="50">
        <v>0</v>
      </c>
      <c r="G58" s="50">
        <v>0</v>
      </c>
      <c r="H58" s="51">
        <v>0</v>
      </c>
      <c r="I58" s="52">
        <f t="shared" si="6"/>
        <v>0</v>
      </c>
      <c r="J58" s="50">
        <v>0</v>
      </c>
      <c r="K58" s="53">
        <f t="shared" si="7"/>
        <v>0</v>
      </c>
    </row>
    <row r="59" spans="1:11" ht="18" customHeight="1">
      <c r="A59" s="45" t="s">
        <v>300</v>
      </c>
      <c r="B59" s="811"/>
      <c r="C59" s="812"/>
      <c r="D59" s="813"/>
      <c r="F59" s="50">
        <v>0</v>
      </c>
      <c r="G59" s="50">
        <v>0</v>
      </c>
      <c r="H59" s="51">
        <v>0</v>
      </c>
      <c r="I59" s="52">
        <f t="shared" si="6"/>
        <v>0</v>
      </c>
      <c r="J59" s="50">
        <v>0</v>
      </c>
      <c r="K59" s="53">
        <f t="shared" si="7"/>
        <v>0</v>
      </c>
    </row>
    <row r="60" spans="1:11" ht="18" customHeight="1">
      <c r="A60" s="45" t="s">
        <v>302</v>
      </c>
      <c r="B60" s="72"/>
      <c r="C60" s="69"/>
      <c r="D60" s="68"/>
      <c r="F60" s="50">
        <v>0</v>
      </c>
      <c r="G60" s="50">
        <v>0</v>
      </c>
      <c r="H60" s="51">
        <v>0</v>
      </c>
      <c r="I60" s="52">
        <f t="shared" si="6"/>
        <v>0</v>
      </c>
      <c r="J60" s="50">
        <v>0</v>
      </c>
      <c r="K60" s="53">
        <f t="shared" si="7"/>
        <v>0</v>
      </c>
    </row>
    <row r="61" spans="1:11" ht="18" customHeight="1">
      <c r="A61" s="45" t="s">
        <v>303</v>
      </c>
      <c r="B61" s="72"/>
      <c r="C61" s="69"/>
      <c r="D61" s="68"/>
      <c r="F61" s="50">
        <v>0</v>
      </c>
      <c r="G61" s="50">
        <v>0</v>
      </c>
      <c r="H61" s="51">
        <v>0</v>
      </c>
      <c r="I61" s="52">
        <f t="shared" si="6"/>
        <v>0</v>
      </c>
      <c r="J61" s="50">
        <v>0</v>
      </c>
      <c r="K61" s="53">
        <f t="shared" si="7"/>
        <v>0</v>
      </c>
    </row>
    <row r="62" spans="1:11" ht="18" customHeight="1">
      <c r="A62" s="45" t="s">
        <v>304</v>
      </c>
      <c r="B62" s="811"/>
      <c r="C62" s="812"/>
      <c r="D62" s="813"/>
      <c r="F62" s="50">
        <v>0</v>
      </c>
      <c r="G62" s="50">
        <v>0</v>
      </c>
      <c r="H62" s="51">
        <v>0</v>
      </c>
      <c r="I62" s="52">
        <f t="shared" si="6"/>
        <v>0</v>
      </c>
      <c r="J62" s="50">
        <v>0</v>
      </c>
      <c r="K62" s="53">
        <f t="shared" si="7"/>
        <v>0</v>
      </c>
    </row>
    <row r="63" spans="1:11" ht="18" customHeight="1">
      <c r="A63" s="45"/>
      <c r="H63" s="114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8">SUM(F53:F62)</f>
        <v>310819.25995338708</v>
      </c>
      <c r="G64" s="59">
        <f t="shared" si="8"/>
        <v>57135</v>
      </c>
      <c r="H64" s="53">
        <f t="shared" si="8"/>
        <v>20181911.899999999</v>
      </c>
      <c r="I64" s="53">
        <f t="shared" si="8"/>
        <v>8008225.7936220299</v>
      </c>
      <c r="J64" s="53">
        <f t="shared" si="8"/>
        <v>10017207</v>
      </c>
      <c r="K64" s="53">
        <f t="shared" si="8"/>
        <v>18172930.69362203</v>
      </c>
    </row>
    <row r="65" spans="1:11" ht="18" customHeight="1">
      <c r="F65" s="74"/>
      <c r="G65" s="74"/>
      <c r="H65" s="115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113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7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50">
        <v>0</v>
      </c>
      <c r="G68" s="50">
        <v>0</v>
      </c>
      <c r="H68" s="51">
        <v>0</v>
      </c>
      <c r="I68" s="52">
        <f>H68*F$114</f>
        <v>0</v>
      </c>
      <c r="J68" s="50">
        <v>0</v>
      </c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50">
        <v>0</v>
      </c>
      <c r="G69" s="50">
        <v>0</v>
      </c>
      <c r="H69" s="51">
        <v>0</v>
      </c>
      <c r="I69" s="52">
        <f>H69*F$114</f>
        <v>0</v>
      </c>
      <c r="J69" s="50">
        <v>0</v>
      </c>
      <c r="K69" s="53">
        <f>(H69+I69)-J69</f>
        <v>0</v>
      </c>
    </row>
    <row r="70" spans="1:11" ht="18" customHeight="1">
      <c r="A70" s="45" t="s">
        <v>308</v>
      </c>
      <c r="B70" s="72"/>
      <c r="C70" s="69"/>
      <c r="D70" s="68"/>
      <c r="E70" s="43"/>
      <c r="F70" s="50">
        <v>0</v>
      </c>
      <c r="G70" s="50">
        <v>0</v>
      </c>
      <c r="H70" s="51">
        <v>0</v>
      </c>
      <c r="I70" s="52">
        <f>H70*F$114</f>
        <v>0</v>
      </c>
      <c r="J70" s="50">
        <v>0</v>
      </c>
      <c r="K70" s="53">
        <f>(H70+I70)-J70</f>
        <v>0</v>
      </c>
    </row>
    <row r="71" spans="1:11" ht="18" customHeight="1">
      <c r="A71" s="45" t="s">
        <v>309</v>
      </c>
      <c r="B71" s="72"/>
      <c r="C71" s="69"/>
      <c r="D71" s="68"/>
      <c r="E71" s="43"/>
      <c r="F71" s="50">
        <v>0</v>
      </c>
      <c r="G71" s="50">
        <v>0</v>
      </c>
      <c r="H71" s="51">
        <v>0</v>
      </c>
      <c r="I71" s="52">
        <f>H71*F$114</f>
        <v>0</v>
      </c>
      <c r="J71" s="50">
        <v>0</v>
      </c>
      <c r="K71" s="53">
        <f>(H71+I71)-J71</f>
        <v>0</v>
      </c>
    </row>
    <row r="72" spans="1:11" ht="18" customHeight="1">
      <c r="A72" s="45" t="s">
        <v>310</v>
      </c>
      <c r="B72" s="101"/>
      <c r="C72" s="82"/>
      <c r="D72" s="83"/>
      <c r="E72" s="43"/>
      <c r="F72" s="50">
        <v>0</v>
      </c>
      <c r="G72" s="50">
        <v>0</v>
      </c>
      <c r="H72" s="51">
        <v>0</v>
      </c>
      <c r="I72" s="52">
        <f>H72*F$114</f>
        <v>0</v>
      </c>
      <c r="J72" s="50">
        <v>0</v>
      </c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9">SUM(F68:F72)</f>
        <v>0</v>
      </c>
      <c r="G74" s="86">
        <f t="shared" si="9"/>
        <v>0</v>
      </c>
      <c r="H74" s="63">
        <f t="shared" si="9"/>
        <v>0</v>
      </c>
      <c r="I74" s="87">
        <f t="shared" si="9"/>
        <v>0</v>
      </c>
      <c r="J74" s="86">
        <f t="shared" si="9"/>
        <v>0</v>
      </c>
      <c r="K74" s="63">
        <f t="shared" si="9"/>
        <v>0</v>
      </c>
    </row>
    <row r="75" spans="1:11" ht="42.75" customHeight="1">
      <c r="F75" s="47" t="s">
        <v>145</v>
      </c>
      <c r="G75" s="47" t="s">
        <v>146</v>
      </c>
      <c r="H75" s="113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  <c r="H76" s="114"/>
    </row>
    <row r="77" spans="1:11" ht="18" customHeight="1">
      <c r="A77" s="45" t="s">
        <v>312</v>
      </c>
      <c r="B77" s="49" t="s">
        <v>195</v>
      </c>
      <c r="F77" s="50">
        <v>832</v>
      </c>
      <c r="G77" s="50">
        <v>118.5</v>
      </c>
      <c r="H77" s="51">
        <v>502177.2</v>
      </c>
      <c r="I77" s="52">
        <v>0</v>
      </c>
      <c r="J77" s="50">
        <v>0</v>
      </c>
      <c r="K77" s="53">
        <f>(H77+I77)-J77</f>
        <v>502177.2</v>
      </c>
    </row>
    <row r="78" spans="1:11" ht="18" customHeight="1">
      <c r="A78" s="45" t="s">
        <v>313</v>
      </c>
      <c r="B78" s="49" t="s">
        <v>197</v>
      </c>
      <c r="F78" s="50">
        <v>0</v>
      </c>
      <c r="G78" s="50">
        <v>0</v>
      </c>
      <c r="H78" s="51">
        <v>0</v>
      </c>
      <c r="I78" s="52">
        <f>H78*F$114</f>
        <v>0</v>
      </c>
      <c r="J78" s="50">
        <v>0</v>
      </c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>
        <v>32</v>
      </c>
      <c r="G79" s="50">
        <v>0</v>
      </c>
      <c r="H79" s="51">
        <v>0</v>
      </c>
      <c r="I79" s="52">
        <f>H79*F$114</f>
        <v>0</v>
      </c>
      <c r="J79" s="50">
        <v>0</v>
      </c>
      <c r="K79" s="53">
        <f>(H79+I79)-J79</f>
        <v>0</v>
      </c>
    </row>
    <row r="80" spans="1:11" ht="18" customHeight="1">
      <c r="A80" s="45" t="s">
        <v>315</v>
      </c>
      <c r="B80" s="49" t="s">
        <v>316</v>
      </c>
      <c r="F80" s="50">
        <v>0</v>
      </c>
      <c r="G80" s="50">
        <v>0</v>
      </c>
      <c r="H80" s="51">
        <v>0</v>
      </c>
      <c r="I80" s="52">
        <f>H80*F$114</f>
        <v>0</v>
      </c>
      <c r="J80" s="50">
        <v>0</v>
      </c>
      <c r="K80" s="53">
        <f>(H80+I80)-J80</f>
        <v>0</v>
      </c>
    </row>
    <row r="81" spans="1:11" ht="18" customHeight="1">
      <c r="A81" s="45"/>
      <c r="H81" s="114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10">SUM(F77:F80)</f>
        <v>864</v>
      </c>
      <c r="G82" s="86">
        <f t="shared" si="10"/>
        <v>118.5</v>
      </c>
      <c r="H82" s="63">
        <f t="shared" si="10"/>
        <v>502177.2</v>
      </c>
      <c r="I82" s="63">
        <f t="shared" si="10"/>
        <v>0</v>
      </c>
      <c r="J82" s="63">
        <f t="shared" si="10"/>
        <v>0</v>
      </c>
      <c r="K82" s="63">
        <f t="shared" si="10"/>
        <v>502177.2</v>
      </c>
    </row>
    <row r="83" spans="1:11" ht="18" customHeight="1" thickBot="1">
      <c r="A83" s="45"/>
      <c r="F83" s="65"/>
      <c r="G83" s="65"/>
      <c r="H83" s="61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113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  <c r="H85" s="114"/>
    </row>
    <row r="86" spans="1:11" ht="18" customHeight="1">
      <c r="A86" s="45" t="s">
        <v>319</v>
      </c>
      <c r="B86" s="49" t="s">
        <v>204</v>
      </c>
      <c r="F86" s="50">
        <v>104</v>
      </c>
      <c r="G86" s="50">
        <v>2400</v>
      </c>
      <c r="H86" s="51">
        <v>3950.96</v>
      </c>
      <c r="I86" s="52">
        <f t="shared" ref="I86:I96" si="11">H86*F$114</f>
        <v>1567.7493756956148</v>
      </c>
      <c r="J86" s="50">
        <v>0</v>
      </c>
      <c r="K86" s="53">
        <f t="shared" ref="K86:K96" si="12">(H86+I86)-J86</f>
        <v>5518.7093756956147</v>
      </c>
    </row>
    <row r="87" spans="1:11" ht="18" customHeight="1">
      <c r="A87" s="45" t="s">
        <v>320</v>
      </c>
      <c r="B87" s="49" t="s">
        <v>206</v>
      </c>
      <c r="F87" s="50">
        <v>366</v>
      </c>
      <c r="G87" s="50">
        <v>0</v>
      </c>
      <c r="H87" s="51">
        <v>59859.3</v>
      </c>
      <c r="I87" s="52">
        <f t="shared" si="11"/>
        <v>23752.298227412204</v>
      </c>
      <c r="J87" s="50">
        <v>0</v>
      </c>
      <c r="K87" s="53">
        <f t="shared" si="12"/>
        <v>83611.598227412207</v>
      </c>
    </row>
    <row r="88" spans="1:11" ht="18" customHeight="1">
      <c r="A88" s="45" t="s">
        <v>321</v>
      </c>
      <c r="B88" s="49" t="s">
        <v>208</v>
      </c>
      <c r="F88" s="50">
        <v>0</v>
      </c>
      <c r="G88" s="50">
        <v>0</v>
      </c>
      <c r="H88" s="51">
        <v>0</v>
      </c>
      <c r="I88" s="52">
        <f t="shared" si="11"/>
        <v>0</v>
      </c>
      <c r="J88" s="50">
        <v>0</v>
      </c>
      <c r="K88" s="53">
        <f t="shared" si="12"/>
        <v>0</v>
      </c>
    </row>
    <row r="89" spans="1:11" ht="18" customHeight="1">
      <c r="A89" s="45" t="s">
        <v>322</v>
      </c>
      <c r="B89" s="49" t="s">
        <v>210</v>
      </c>
      <c r="F89" s="50">
        <v>1872</v>
      </c>
      <c r="G89" s="50">
        <v>0</v>
      </c>
      <c r="H89" s="51">
        <v>91016.28</v>
      </c>
      <c r="I89" s="52">
        <f t="shared" si="11"/>
        <v>36115.454509318559</v>
      </c>
      <c r="J89" s="50">
        <v>0</v>
      </c>
      <c r="K89" s="53">
        <f t="shared" si="12"/>
        <v>127131.73450931856</v>
      </c>
    </row>
    <row r="90" spans="1:11" ht="18" customHeight="1">
      <c r="A90" s="45" t="s">
        <v>323</v>
      </c>
      <c r="B90" s="818" t="s">
        <v>212</v>
      </c>
      <c r="C90" s="819"/>
      <c r="F90" s="50">
        <v>0</v>
      </c>
      <c r="G90" s="50">
        <v>0</v>
      </c>
      <c r="H90" s="51">
        <v>0</v>
      </c>
      <c r="I90" s="52">
        <f t="shared" si="11"/>
        <v>0</v>
      </c>
      <c r="J90" s="50">
        <v>0</v>
      </c>
      <c r="K90" s="53">
        <f t="shared" si="12"/>
        <v>0</v>
      </c>
    </row>
    <row r="91" spans="1:11" ht="18" customHeight="1">
      <c r="A91" s="45" t="s">
        <v>324</v>
      </c>
      <c r="B91" s="49" t="s">
        <v>214</v>
      </c>
      <c r="F91" s="50">
        <v>366</v>
      </c>
      <c r="G91" s="50">
        <v>0</v>
      </c>
      <c r="H91" s="51">
        <v>59859.3</v>
      </c>
      <c r="I91" s="52">
        <f t="shared" si="11"/>
        <v>23752.298227412204</v>
      </c>
      <c r="J91" s="50">
        <v>0</v>
      </c>
      <c r="K91" s="53">
        <f t="shared" si="12"/>
        <v>83611.598227412207</v>
      </c>
    </row>
    <row r="92" spans="1:11" ht="18" customHeight="1">
      <c r="A92" s="45" t="s">
        <v>325</v>
      </c>
      <c r="B92" s="49" t="s">
        <v>216</v>
      </c>
      <c r="F92" s="50">
        <v>0</v>
      </c>
      <c r="G92" s="50">
        <v>0</v>
      </c>
      <c r="H92" s="51">
        <v>0</v>
      </c>
      <c r="I92" s="52">
        <f t="shared" si="11"/>
        <v>0</v>
      </c>
      <c r="J92" s="50">
        <v>0</v>
      </c>
      <c r="K92" s="53">
        <f t="shared" si="12"/>
        <v>0</v>
      </c>
    </row>
    <row r="93" spans="1:11" ht="18" customHeight="1">
      <c r="A93" s="45" t="s">
        <v>326</v>
      </c>
      <c r="B93" s="49" t="s">
        <v>218</v>
      </c>
      <c r="F93" s="50">
        <v>1470</v>
      </c>
      <c r="G93" s="50">
        <v>175</v>
      </c>
      <c r="H93" s="51">
        <v>128152.5</v>
      </c>
      <c r="I93" s="52">
        <f t="shared" si="11"/>
        <v>50851.186007662007</v>
      </c>
      <c r="J93" s="50">
        <v>0</v>
      </c>
      <c r="K93" s="53">
        <f t="shared" si="12"/>
        <v>179003.68600766201</v>
      </c>
    </row>
    <row r="94" spans="1:11" ht="18" customHeight="1">
      <c r="A94" s="45" t="s">
        <v>327</v>
      </c>
      <c r="B94" s="811"/>
      <c r="C94" s="812"/>
      <c r="D94" s="813"/>
      <c r="F94" s="50">
        <v>0</v>
      </c>
      <c r="G94" s="50">
        <v>0</v>
      </c>
      <c r="H94" s="51">
        <v>0</v>
      </c>
      <c r="I94" s="52">
        <f t="shared" si="11"/>
        <v>0</v>
      </c>
      <c r="J94" s="50">
        <v>0</v>
      </c>
      <c r="K94" s="53">
        <f t="shared" si="12"/>
        <v>0</v>
      </c>
    </row>
    <row r="95" spans="1:11" ht="18" customHeight="1">
      <c r="A95" s="45" t="s">
        <v>329</v>
      </c>
      <c r="B95" s="811"/>
      <c r="C95" s="812"/>
      <c r="D95" s="813"/>
      <c r="F95" s="50">
        <v>0</v>
      </c>
      <c r="G95" s="50">
        <v>0</v>
      </c>
      <c r="H95" s="51">
        <v>0</v>
      </c>
      <c r="I95" s="52">
        <f t="shared" si="11"/>
        <v>0</v>
      </c>
      <c r="J95" s="50">
        <v>0</v>
      </c>
      <c r="K95" s="53">
        <f t="shared" si="12"/>
        <v>0</v>
      </c>
    </row>
    <row r="96" spans="1:11" ht="18" customHeight="1">
      <c r="A96" s="45" t="s">
        <v>330</v>
      </c>
      <c r="B96" s="811"/>
      <c r="C96" s="812"/>
      <c r="D96" s="813"/>
      <c r="F96" s="50">
        <v>0</v>
      </c>
      <c r="G96" s="50">
        <v>0</v>
      </c>
      <c r="H96" s="51">
        <v>0</v>
      </c>
      <c r="I96" s="52">
        <f t="shared" si="11"/>
        <v>0</v>
      </c>
      <c r="J96" s="50">
        <v>0</v>
      </c>
      <c r="K96" s="53">
        <f t="shared" si="12"/>
        <v>0</v>
      </c>
    </row>
    <row r="97" spans="1:11" ht="18" customHeight="1">
      <c r="A97" s="45"/>
      <c r="B97" s="49"/>
      <c r="H97" s="114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3">SUM(F86:F96)</f>
        <v>4178</v>
      </c>
      <c r="G98" s="59">
        <f t="shared" si="13"/>
        <v>2575</v>
      </c>
      <c r="H98" s="53">
        <f t="shared" si="13"/>
        <v>342838.34</v>
      </c>
      <c r="I98" s="59">
        <f t="shared" si="13"/>
        <v>136038.98634750058</v>
      </c>
      <c r="J98" s="59">
        <f t="shared" si="13"/>
        <v>0</v>
      </c>
      <c r="K98" s="59">
        <f t="shared" si="13"/>
        <v>478877.32634750055</v>
      </c>
    </row>
    <row r="99" spans="1:11" ht="18" customHeight="1" thickBot="1">
      <c r="B99" s="43"/>
      <c r="F99" s="65"/>
      <c r="G99" s="65"/>
      <c r="H99" s="61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113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  <c r="H101" s="114"/>
    </row>
    <row r="102" spans="1:11" ht="18" customHeight="1">
      <c r="A102" s="45" t="s">
        <v>332</v>
      </c>
      <c r="B102" s="49" t="s">
        <v>224</v>
      </c>
      <c r="F102" s="50">
        <v>1344</v>
      </c>
      <c r="G102" s="50">
        <v>270</v>
      </c>
      <c r="H102" s="51">
        <v>160566.5888</v>
      </c>
      <c r="I102" s="52">
        <f>H102*F$114</f>
        <v>63713.165749279789</v>
      </c>
      <c r="J102" s="50">
        <v>0</v>
      </c>
      <c r="K102" s="53">
        <f>(H102+I102)-J102</f>
        <v>224279.75454927978</v>
      </c>
    </row>
    <row r="103" spans="1:11" ht="18" customHeight="1">
      <c r="A103" s="45" t="s">
        <v>333</v>
      </c>
      <c r="B103" s="818" t="s">
        <v>226</v>
      </c>
      <c r="C103" s="818"/>
      <c r="F103" s="50">
        <v>520</v>
      </c>
      <c r="G103" s="50">
        <v>270</v>
      </c>
      <c r="H103" s="51">
        <v>28548</v>
      </c>
      <c r="I103" s="52">
        <f>H103*F$114</f>
        <v>11327.907439548468</v>
      </c>
      <c r="J103" s="50">
        <v>0</v>
      </c>
      <c r="K103" s="53">
        <f>(H103+I103)-J103</f>
        <v>39875.907439548464</v>
      </c>
    </row>
    <row r="104" spans="1:11" ht="18" customHeight="1">
      <c r="A104" s="45" t="s">
        <v>334</v>
      </c>
      <c r="B104" s="811"/>
      <c r="C104" s="812"/>
      <c r="D104" s="813"/>
      <c r="F104" s="50">
        <v>0</v>
      </c>
      <c r="G104" s="50">
        <v>0</v>
      </c>
      <c r="H104" s="51">
        <v>0</v>
      </c>
      <c r="I104" s="52">
        <f>H104*F$114</f>
        <v>0</v>
      </c>
      <c r="J104" s="50">
        <v>0</v>
      </c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>
        <v>0</v>
      </c>
      <c r="G105" s="50">
        <v>0</v>
      </c>
      <c r="H105" s="51">
        <v>0</v>
      </c>
      <c r="I105" s="52">
        <f>H105*F$114</f>
        <v>0</v>
      </c>
      <c r="J105" s="50">
        <v>0</v>
      </c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>
        <v>0</v>
      </c>
      <c r="G106" s="50">
        <v>0</v>
      </c>
      <c r="H106" s="51">
        <v>0</v>
      </c>
      <c r="I106" s="52">
        <f>H106*F$114</f>
        <v>0</v>
      </c>
      <c r="J106" s="50">
        <v>0</v>
      </c>
      <c r="K106" s="53">
        <f>(H106+I106)-J106</f>
        <v>0</v>
      </c>
    </row>
    <row r="107" spans="1:11" ht="18" customHeight="1">
      <c r="B107" s="43"/>
      <c r="H107" s="114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4">SUM(F102:F106)</f>
        <v>1864</v>
      </c>
      <c r="G108" s="59">
        <f t="shared" si="14"/>
        <v>540</v>
      </c>
      <c r="H108" s="53">
        <f t="shared" si="14"/>
        <v>189114.5888</v>
      </c>
      <c r="I108" s="53">
        <f t="shared" si="14"/>
        <v>75041.073188828261</v>
      </c>
      <c r="J108" s="53">
        <f t="shared" si="14"/>
        <v>0</v>
      </c>
      <c r="K108" s="53">
        <f t="shared" si="14"/>
        <v>264155.66198882821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0">
        <v>50504000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0.39680213813746906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0">
        <v>1242963000</v>
      </c>
    </row>
    <row r="118" spans="1:6">
      <c r="A118" s="45" t="s">
        <v>343</v>
      </c>
      <c r="B118" s="40" t="s">
        <v>237</v>
      </c>
      <c r="F118" s="50">
        <v>85559000</v>
      </c>
    </row>
    <row r="119" spans="1:6">
      <c r="A119" s="45" t="s">
        <v>344</v>
      </c>
      <c r="B119" s="43" t="s">
        <v>238</v>
      </c>
      <c r="F119" s="63">
        <f>SUM(F117:F118)</f>
        <v>1328522000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0">
        <v>1280648000</v>
      </c>
    </row>
    <row r="122" spans="1:6">
      <c r="A122" s="45"/>
    </row>
    <row r="123" spans="1:6">
      <c r="A123" s="45" t="s">
        <v>347</v>
      </c>
      <c r="B123" s="43" t="s">
        <v>348</v>
      </c>
      <c r="F123" s="50">
        <v>47874000</v>
      </c>
    </row>
    <row r="124" spans="1:6">
      <c r="A124" s="45"/>
    </row>
    <row r="125" spans="1:6">
      <c r="A125" s="45" t="s">
        <v>349</v>
      </c>
      <c r="B125" s="43" t="s">
        <v>350</v>
      </c>
      <c r="F125" s="50">
        <v>94879000</v>
      </c>
    </row>
    <row r="126" spans="1:6">
      <c r="A126" s="45"/>
    </row>
    <row r="127" spans="1:6">
      <c r="A127" s="45" t="s">
        <v>351</v>
      </c>
      <c r="B127" s="43" t="s">
        <v>352</v>
      </c>
      <c r="F127" s="50">
        <v>142753000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>
        <v>832</v>
      </c>
      <c r="G131" s="50">
        <v>0</v>
      </c>
      <c r="H131" s="116">
        <v>30749.68</v>
      </c>
      <c r="I131" s="52">
        <v>0</v>
      </c>
      <c r="J131" s="50">
        <v>0</v>
      </c>
      <c r="K131" s="53">
        <f>(H131+I131)-J131</f>
        <v>30749.68</v>
      </c>
    </row>
    <row r="132" spans="1:11" ht="18" customHeight="1">
      <c r="A132" s="45" t="s">
        <v>354</v>
      </c>
      <c r="B132" s="40" t="s">
        <v>128</v>
      </c>
      <c r="F132" s="50">
        <v>0</v>
      </c>
      <c r="G132" s="50">
        <v>0</v>
      </c>
      <c r="H132" s="116">
        <v>0</v>
      </c>
      <c r="I132" s="52">
        <f>H132*F$114</f>
        <v>0</v>
      </c>
      <c r="J132" s="50">
        <v>0</v>
      </c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>
        <v>0</v>
      </c>
      <c r="G133" s="50">
        <v>0</v>
      </c>
      <c r="H133" s="116">
        <v>0</v>
      </c>
      <c r="I133" s="52">
        <f>H133*F$114</f>
        <v>0</v>
      </c>
      <c r="J133" s="50">
        <v>0</v>
      </c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>
        <v>0</v>
      </c>
      <c r="G134" s="50">
        <v>0</v>
      </c>
      <c r="H134" s="116">
        <v>0</v>
      </c>
      <c r="I134" s="52">
        <f>H134*F$114</f>
        <v>0</v>
      </c>
      <c r="J134" s="50">
        <v>0</v>
      </c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>
        <v>0</v>
      </c>
      <c r="G135" s="50">
        <v>0</v>
      </c>
      <c r="H135" s="116">
        <v>0</v>
      </c>
      <c r="I135" s="52">
        <f>H135*F$114</f>
        <v>0</v>
      </c>
      <c r="J135" s="50">
        <v>0</v>
      </c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5">SUM(F131:F135)</f>
        <v>832</v>
      </c>
      <c r="G137" s="59">
        <f t="shared" si="15"/>
        <v>0</v>
      </c>
      <c r="H137" s="53">
        <f t="shared" si="15"/>
        <v>30749.68</v>
      </c>
      <c r="I137" s="53">
        <f t="shared" si="15"/>
        <v>0</v>
      </c>
      <c r="J137" s="53">
        <f t="shared" si="15"/>
        <v>0</v>
      </c>
      <c r="K137" s="53">
        <f t="shared" si="15"/>
        <v>30749.68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6">F36</f>
        <v>21567</v>
      </c>
      <c r="G141" s="95">
        <f t="shared" si="16"/>
        <v>44406.5</v>
      </c>
      <c r="H141" s="117">
        <f t="shared" si="16"/>
        <v>1742739.2058333405</v>
      </c>
      <c r="I141" s="117">
        <f t="shared" si="16"/>
        <v>691522.64309066429</v>
      </c>
      <c r="J141" s="117">
        <f t="shared" si="16"/>
        <v>0</v>
      </c>
      <c r="K141" s="117">
        <f t="shared" si="16"/>
        <v>2434261.8489240045</v>
      </c>
    </row>
    <row r="142" spans="1:11" ht="18" customHeight="1">
      <c r="A142" s="45" t="s">
        <v>286</v>
      </c>
      <c r="B142" s="43" t="s">
        <v>125</v>
      </c>
      <c r="F142" s="95">
        <f t="shared" ref="F142:K142" si="17">F49</f>
        <v>2328884.3728271425</v>
      </c>
      <c r="G142" s="95">
        <f t="shared" si="17"/>
        <v>865</v>
      </c>
      <c r="H142" s="117">
        <f t="shared" si="17"/>
        <v>87507395.69180052</v>
      </c>
      <c r="I142" s="117">
        <f t="shared" si="17"/>
        <v>34723121.713347994</v>
      </c>
      <c r="J142" s="117">
        <f t="shared" si="17"/>
        <v>0</v>
      </c>
      <c r="K142" s="117">
        <f t="shared" si="17"/>
        <v>122230517.40514852</v>
      </c>
    </row>
    <row r="143" spans="1:11" ht="18" customHeight="1">
      <c r="A143" s="45" t="s">
        <v>305</v>
      </c>
      <c r="B143" s="43" t="s">
        <v>247</v>
      </c>
      <c r="F143" s="95">
        <f t="shared" ref="F143:K143" si="18">F64</f>
        <v>310819.25995338708</v>
      </c>
      <c r="G143" s="95">
        <f t="shared" si="18"/>
        <v>57135</v>
      </c>
      <c r="H143" s="117">
        <f t="shared" si="18"/>
        <v>20181911.899999999</v>
      </c>
      <c r="I143" s="117">
        <f t="shared" si="18"/>
        <v>8008225.7936220299</v>
      </c>
      <c r="J143" s="117">
        <f t="shared" si="18"/>
        <v>10017207</v>
      </c>
      <c r="K143" s="117">
        <f t="shared" si="18"/>
        <v>18172930.69362203</v>
      </c>
    </row>
    <row r="144" spans="1:11" ht="18" customHeight="1">
      <c r="A144" s="45" t="s">
        <v>311</v>
      </c>
      <c r="B144" s="43" t="s">
        <v>127</v>
      </c>
      <c r="F144" s="95">
        <f t="shared" ref="F144:K144" si="19">F74</f>
        <v>0</v>
      </c>
      <c r="G144" s="95">
        <f t="shared" si="19"/>
        <v>0</v>
      </c>
      <c r="H144" s="117">
        <f t="shared" si="19"/>
        <v>0</v>
      </c>
      <c r="I144" s="117">
        <f t="shared" si="19"/>
        <v>0</v>
      </c>
      <c r="J144" s="117">
        <f t="shared" si="19"/>
        <v>0</v>
      </c>
      <c r="K144" s="117">
        <f t="shared" si="19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20">F82</f>
        <v>864</v>
      </c>
      <c r="G145" s="95">
        <f t="shared" si="20"/>
        <v>118.5</v>
      </c>
      <c r="H145" s="117">
        <f t="shared" si="20"/>
        <v>502177.2</v>
      </c>
      <c r="I145" s="117">
        <f t="shared" si="20"/>
        <v>0</v>
      </c>
      <c r="J145" s="117">
        <f t="shared" si="20"/>
        <v>0</v>
      </c>
      <c r="K145" s="117">
        <f t="shared" si="20"/>
        <v>502177.2</v>
      </c>
    </row>
    <row r="146" spans="1:11" ht="18" customHeight="1">
      <c r="A146" s="45" t="s">
        <v>331</v>
      </c>
      <c r="B146" s="43" t="s">
        <v>249</v>
      </c>
      <c r="F146" s="95">
        <f t="shared" ref="F146:K146" si="21">F98</f>
        <v>4178</v>
      </c>
      <c r="G146" s="95">
        <f t="shared" si="21"/>
        <v>2575</v>
      </c>
      <c r="H146" s="117">
        <f t="shared" si="21"/>
        <v>342838.34</v>
      </c>
      <c r="I146" s="117">
        <f t="shared" si="21"/>
        <v>136038.98634750058</v>
      </c>
      <c r="J146" s="117">
        <f t="shared" si="21"/>
        <v>0</v>
      </c>
      <c r="K146" s="117">
        <f t="shared" si="21"/>
        <v>478877.32634750055</v>
      </c>
    </row>
    <row r="147" spans="1:11" ht="18" customHeight="1">
      <c r="A147" s="45" t="s">
        <v>338</v>
      </c>
      <c r="B147" s="43" t="s">
        <v>129</v>
      </c>
      <c r="F147" s="59">
        <f t="shared" ref="F147:K147" si="22">F108</f>
        <v>1864</v>
      </c>
      <c r="G147" s="59">
        <f t="shared" si="22"/>
        <v>540</v>
      </c>
      <c r="H147" s="118">
        <f t="shared" si="22"/>
        <v>189114.5888</v>
      </c>
      <c r="I147" s="118">
        <f t="shared" si="22"/>
        <v>75041.073188828261</v>
      </c>
      <c r="J147" s="118">
        <f t="shared" si="22"/>
        <v>0</v>
      </c>
      <c r="K147" s="118">
        <f t="shared" si="22"/>
        <v>264155.66198882821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119" t="s">
        <v>122</v>
      </c>
      <c r="I148" s="119" t="s">
        <v>122</v>
      </c>
      <c r="J148" s="119" t="s">
        <v>122</v>
      </c>
      <c r="K148" s="117">
        <f>F111</f>
        <v>50504000</v>
      </c>
    </row>
    <row r="149" spans="1:11" ht="18" customHeight="1">
      <c r="A149" s="45" t="s">
        <v>358</v>
      </c>
      <c r="B149" s="43" t="s">
        <v>250</v>
      </c>
      <c r="F149" s="59">
        <f t="shared" ref="F149:K149" si="23">F137</f>
        <v>832</v>
      </c>
      <c r="G149" s="59">
        <f t="shared" si="23"/>
        <v>0</v>
      </c>
      <c r="H149" s="118">
        <f t="shared" si="23"/>
        <v>30749.68</v>
      </c>
      <c r="I149" s="118">
        <f t="shared" si="23"/>
        <v>0</v>
      </c>
      <c r="J149" s="118">
        <f t="shared" si="23"/>
        <v>0</v>
      </c>
      <c r="K149" s="118">
        <f t="shared" si="23"/>
        <v>30749.68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118">
        <f>H18</f>
        <v>34007741.651574738</v>
      </c>
      <c r="I150" s="118">
        <f>I18</f>
        <v>0</v>
      </c>
      <c r="J150" s="118">
        <f>J18</f>
        <v>29080871.202998348</v>
      </c>
      <c r="K150" s="118">
        <f>K18</f>
        <v>4926870.4485763907</v>
      </c>
    </row>
    <row r="151" spans="1:11" ht="18" customHeight="1">
      <c r="B151" s="43"/>
      <c r="F151" s="74"/>
      <c r="G151" s="74"/>
      <c r="H151" s="120"/>
      <c r="I151" s="120"/>
      <c r="J151" s="120"/>
      <c r="K151" s="120"/>
    </row>
    <row r="152" spans="1:11" ht="18" customHeight="1">
      <c r="A152" s="48" t="s">
        <v>360</v>
      </c>
      <c r="B152" s="43" t="s">
        <v>245</v>
      </c>
      <c r="F152" s="99">
        <f t="shared" ref="F152:K152" si="24">SUM(F141:F150)</f>
        <v>2669008.6327805296</v>
      </c>
      <c r="G152" s="99">
        <f t="shared" si="24"/>
        <v>105640</v>
      </c>
      <c r="H152" s="121">
        <f t="shared" si="24"/>
        <v>144504668.2580086</v>
      </c>
      <c r="I152" s="121">
        <f t="shared" si="24"/>
        <v>43633950.209597021</v>
      </c>
      <c r="J152" s="121">
        <f t="shared" si="24"/>
        <v>39098078.202998348</v>
      </c>
      <c r="K152" s="121">
        <f t="shared" si="24"/>
        <v>199544540.26460728</v>
      </c>
    </row>
    <row r="154" spans="1:11" ht="18" customHeight="1">
      <c r="A154" s="48" t="s">
        <v>361</v>
      </c>
      <c r="B154" s="43" t="s">
        <v>252</v>
      </c>
      <c r="F154" s="100">
        <f>K152/F121</f>
        <v>0.15581529059086283</v>
      </c>
    </row>
    <row r="155" spans="1:11" ht="18" customHeight="1">
      <c r="A155" s="48" t="s">
        <v>362</v>
      </c>
      <c r="B155" s="43" t="s">
        <v>253</v>
      </c>
      <c r="F155" s="100">
        <f>K152/F127</f>
        <v>1.3978308005058198</v>
      </c>
      <c r="G155" s="43"/>
    </row>
    <row r="156" spans="1:11" ht="18" customHeight="1">
      <c r="G156" s="43"/>
    </row>
  </sheetData>
  <mergeCells count="34"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47" workbookViewId="0">
      <selection activeCell="B43" sqref="B43"/>
    </sheetView>
  </sheetViews>
  <sheetFormatPr defaultRowHeight="12.75"/>
  <cols>
    <col min="1" max="1" width="8.28515625" style="39" customWidth="1"/>
    <col min="2" max="2" width="55.42578125" style="40" bestFit="1" customWidth="1"/>
    <col min="3" max="3" width="9.5703125" style="40" customWidth="1"/>
    <col min="4" max="4" width="9.140625" style="40"/>
    <col min="5" max="5" width="12.42578125" style="40" customWidth="1"/>
    <col min="6" max="6" width="18.5703125" style="40" customWidth="1"/>
    <col min="7" max="7" width="23.5703125" style="40" customWidth="1"/>
    <col min="8" max="8" width="17.140625" style="40" customWidth="1"/>
    <col min="9" max="9" width="21.140625" style="40" customWidth="1"/>
    <col min="10" max="10" width="19.85546875" style="40" customWidth="1"/>
    <col min="11" max="11" width="17.5703125" style="40" customWidth="1"/>
    <col min="12" max="16384" width="9.14062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419</v>
      </c>
      <c r="D5" s="827"/>
      <c r="E5" s="827"/>
      <c r="F5" s="827"/>
      <c r="G5" s="828"/>
    </row>
    <row r="6" spans="1:11" ht="18" customHeight="1">
      <c r="B6" s="45" t="s">
        <v>136</v>
      </c>
      <c r="C6" s="847" t="s">
        <v>420</v>
      </c>
      <c r="D6" s="830"/>
      <c r="E6" s="830"/>
      <c r="F6" s="830"/>
      <c r="G6" s="831"/>
    </row>
    <row r="7" spans="1:11" ht="18" customHeight="1">
      <c r="B7" s="45" t="s">
        <v>137</v>
      </c>
      <c r="C7" s="832"/>
      <c r="D7" s="833"/>
      <c r="E7" s="833"/>
      <c r="F7" s="833"/>
      <c r="G7" s="834"/>
    </row>
    <row r="9" spans="1:11" ht="18" customHeight="1">
      <c r="B9" s="45" t="s">
        <v>138</v>
      </c>
      <c r="C9" s="843" t="s">
        <v>421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422</v>
      </c>
      <c r="D10" s="836"/>
      <c r="E10" s="836"/>
      <c r="F10" s="836"/>
      <c r="G10" s="837"/>
    </row>
    <row r="11" spans="1:11" ht="18" customHeight="1">
      <c r="B11" s="45" t="s">
        <v>142</v>
      </c>
      <c r="C11" s="849" t="s">
        <v>423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5809542</v>
      </c>
      <c r="I18" s="52">
        <v>0</v>
      </c>
      <c r="J18" s="51">
        <v>4967885</v>
      </c>
      <c r="K18" s="53">
        <f>(H18+I18)-J18</f>
        <v>841657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780</v>
      </c>
      <c r="G21" s="50">
        <v>4332</v>
      </c>
      <c r="H21" s="51">
        <v>54108</v>
      </c>
      <c r="I21" s="52">
        <f t="shared" ref="I21:I34" si="0">H21*F$114</f>
        <v>29261.606399999997</v>
      </c>
      <c r="J21" s="51">
        <v>12475</v>
      </c>
      <c r="K21" s="53">
        <f t="shared" ref="K21:K34" si="1">(H21+I21)-J21</f>
        <v>70894.60639999999</v>
      </c>
    </row>
    <row r="22" spans="1:11" ht="18" customHeight="1">
      <c r="A22" s="45" t="s">
        <v>261</v>
      </c>
      <c r="B22" s="40" t="s">
        <v>157</v>
      </c>
      <c r="F22" s="50"/>
      <c r="G22" s="50"/>
      <c r="H22" s="51"/>
      <c r="I22" s="52">
        <f t="shared" si="0"/>
        <v>0</v>
      </c>
      <c r="J22" s="51"/>
      <c r="K22" s="53">
        <f t="shared" si="1"/>
        <v>0</v>
      </c>
    </row>
    <row r="23" spans="1:11" ht="18" customHeight="1">
      <c r="A23" s="45" t="s">
        <v>262</v>
      </c>
      <c r="B23" s="40" t="s">
        <v>158</v>
      </c>
      <c r="F23" s="50"/>
      <c r="G23" s="50"/>
      <c r="H23" s="51"/>
      <c r="I23" s="52">
        <f t="shared" si="0"/>
        <v>0</v>
      </c>
      <c r="J23" s="51"/>
      <c r="K23" s="53">
        <f t="shared" si="1"/>
        <v>0</v>
      </c>
    </row>
    <row r="24" spans="1:11" ht="18" customHeight="1">
      <c r="A24" s="45" t="s">
        <v>263</v>
      </c>
      <c r="B24" s="40" t="s">
        <v>159</v>
      </c>
      <c r="F24" s="50"/>
      <c r="G24" s="50"/>
      <c r="H24" s="51"/>
      <c r="I24" s="52">
        <f t="shared" si="0"/>
        <v>0</v>
      </c>
      <c r="J24" s="51"/>
      <c r="K24" s="53">
        <f t="shared" si="1"/>
        <v>0</v>
      </c>
    </row>
    <row r="25" spans="1:11" ht="18" customHeight="1">
      <c r="A25" s="45" t="s">
        <v>264</v>
      </c>
      <c r="B25" s="40" t="s">
        <v>160</v>
      </c>
      <c r="F25" s="50"/>
      <c r="G25" s="50"/>
      <c r="H25" s="51"/>
      <c r="I25" s="52">
        <f t="shared" si="0"/>
        <v>0</v>
      </c>
      <c r="J25" s="51"/>
      <c r="K25" s="53">
        <f t="shared" si="1"/>
        <v>0</v>
      </c>
    </row>
    <row r="26" spans="1:11" ht="18" customHeight="1">
      <c r="A26" s="45" t="s">
        <v>265</v>
      </c>
      <c r="B26" s="40" t="s">
        <v>161</v>
      </c>
      <c r="F26" s="50"/>
      <c r="G26" s="50"/>
      <c r="H26" s="51"/>
      <c r="I26" s="52">
        <f t="shared" si="0"/>
        <v>0</v>
      </c>
      <c r="J26" s="51"/>
      <c r="K26" s="53">
        <f t="shared" si="1"/>
        <v>0</v>
      </c>
    </row>
    <row r="27" spans="1:11" ht="18" customHeight="1">
      <c r="A27" s="45" t="s">
        <v>266</v>
      </c>
      <c r="B27" s="40" t="s">
        <v>162</v>
      </c>
      <c r="F27" s="50"/>
      <c r="G27" s="50"/>
      <c r="H27" s="51"/>
      <c r="I27" s="52">
        <f t="shared" si="0"/>
        <v>0</v>
      </c>
      <c r="J27" s="51"/>
      <c r="K27" s="53">
        <f t="shared" si="1"/>
        <v>0</v>
      </c>
    </row>
    <row r="28" spans="1:11" ht="18" customHeight="1">
      <c r="A28" s="45" t="s">
        <v>267</v>
      </c>
      <c r="B28" s="40" t="s">
        <v>163</v>
      </c>
      <c r="F28" s="50"/>
      <c r="G28" s="50"/>
      <c r="H28" s="51"/>
      <c r="I28" s="52">
        <f t="shared" si="0"/>
        <v>0</v>
      </c>
      <c r="J28" s="51"/>
      <c r="K28" s="53">
        <f t="shared" si="1"/>
        <v>0</v>
      </c>
    </row>
    <row r="29" spans="1:11" ht="18" customHeight="1">
      <c r="A29" s="45" t="s">
        <v>268</v>
      </c>
      <c r="B29" s="40" t="s">
        <v>165</v>
      </c>
      <c r="F29" s="50"/>
      <c r="G29" s="50"/>
      <c r="H29" s="51"/>
      <c r="I29" s="52">
        <f t="shared" si="0"/>
        <v>0</v>
      </c>
      <c r="J29" s="51"/>
      <c r="K29" s="53">
        <f t="shared" si="1"/>
        <v>0</v>
      </c>
    </row>
    <row r="30" spans="1:11" ht="18" customHeight="1">
      <c r="A30" s="45" t="s">
        <v>269</v>
      </c>
      <c r="B30" s="814"/>
      <c r="C30" s="815"/>
      <c r="D30" s="816"/>
      <c r="F30" s="50"/>
      <c r="G30" s="50"/>
      <c r="H30" s="51"/>
      <c r="I30" s="52">
        <f t="shared" si="0"/>
        <v>0</v>
      </c>
      <c r="J30" s="51"/>
      <c r="K30" s="53">
        <f t="shared" si="1"/>
        <v>0</v>
      </c>
    </row>
    <row r="31" spans="1:11" ht="18" customHeight="1">
      <c r="A31" s="45" t="s">
        <v>270</v>
      </c>
      <c r="B31" s="814"/>
      <c r="C31" s="815"/>
      <c r="D31" s="816"/>
      <c r="F31" s="50"/>
      <c r="G31" s="50"/>
      <c r="H31" s="51"/>
      <c r="I31" s="52">
        <f t="shared" si="0"/>
        <v>0</v>
      </c>
      <c r="J31" s="51"/>
      <c r="K31" s="53">
        <f t="shared" si="1"/>
        <v>0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0"/>
        <v>0</v>
      </c>
      <c r="J32" s="51"/>
      <c r="K32" s="53">
        <f t="shared" si="1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0"/>
        <v>0</v>
      </c>
      <c r="J33" s="51"/>
      <c r="K33" s="53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0"/>
        <v>0</v>
      </c>
      <c r="J34" s="51"/>
      <c r="K34" s="53">
        <f t="shared" si="1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780</v>
      </c>
      <c r="G36" s="59">
        <f t="shared" si="2"/>
        <v>4332</v>
      </c>
      <c r="H36" s="59">
        <f t="shared" si="2"/>
        <v>54108</v>
      </c>
      <c r="I36" s="53">
        <f t="shared" si="2"/>
        <v>29261.606399999997</v>
      </c>
      <c r="J36" s="53">
        <f t="shared" si="2"/>
        <v>12475</v>
      </c>
      <c r="K36" s="53">
        <f t="shared" si="2"/>
        <v>70894.60639999999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/>
      <c r="G40" s="50"/>
      <c r="H40" s="51"/>
      <c r="I40" s="52">
        <v>0</v>
      </c>
      <c r="J40" s="51"/>
      <c r="K40" s="53">
        <f t="shared" ref="K40:K47" si="3">(H40+I40)-J40</f>
        <v>0</v>
      </c>
    </row>
    <row r="41" spans="1:11" ht="18" customHeight="1">
      <c r="A41" s="45" t="s">
        <v>278</v>
      </c>
      <c r="B41" s="818" t="s">
        <v>172</v>
      </c>
      <c r="C41" s="819"/>
      <c r="F41" s="50">
        <v>330</v>
      </c>
      <c r="G41" s="50">
        <v>300</v>
      </c>
      <c r="H41" s="51">
        <v>12896</v>
      </c>
      <c r="I41" s="52">
        <f>H41*F$114</f>
        <v>6974.1567999999997</v>
      </c>
      <c r="J41" s="51"/>
      <c r="K41" s="53">
        <f t="shared" si="3"/>
        <v>19870.156800000001</v>
      </c>
    </row>
    <row r="42" spans="1:11" ht="18" customHeight="1">
      <c r="A42" s="45" t="s">
        <v>279</v>
      </c>
      <c r="B42" s="49" t="s">
        <v>174</v>
      </c>
      <c r="F42" s="50">
        <v>41</v>
      </c>
      <c r="G42" s="50">
        <v>50</v>
      </c>
      <c r="H42" s="51">
        <v>639</v>
      </c>
      <c r="I42" s="52">
        <f>H42*F$114</f>
        <v>345.57119999999998</v>
      </c>
      <c r="J42" s="51"/>
      <c r="K42" s="53">
        <f t="shared" si="3"/>
        <v>984.57119999999998</v>
      </c>
    </row>
    <row r="43" spans="1:11" ht="18" customHeight="1">
      <c r="A43" s="45" t="s">
        <v>280</v>
      </c>
      <c r="B43" s="49" t="s">
        <v>176</v>
      </c>
      <c r="F43" s="50"/>
      <c r="G43" s="50"/>
      <c r="H43" s="51"/>
      <c r="I43" s="52">
        <v>0</v>
      </c>
      <c r="J43" s="51"/>
      <c r="K43" s="53">
        <f t="shared" si="3"/>
        <v>0</v>
      </c>
    </row>
    <row r="44" spans="1:11" ht="18" customHeight="1">
      <c r="A44" s="45" t="s">
        <v>281</v>
      </c>
      <c r="B44" s="814"/>
      <c r="C44" s="815"/>
      <c r="D44" s="816"/>
      <c r="F44" s="50"/>
      <c r="G44" s="50"/>
      <c r="H44" s="50"/>
      <c r="I44" s="52">
        <v>0</v>
      </c>
      <c r="J44" s="50"/>
      <c r="K44" s="63">
        <f t="shared" si="3"/>
        <v>0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v>0</v>
      </c>
      <c r="J45" s="51"/>
      <c r="K45" s="53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v>0</v>
      </c>
      <c r="J46" s="51"/>
      <c r="K46" s="53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371</v>
      </c>
      <c r="G49" s="64">
        <f t="shared" si="4"/>
        <v>350</v>
      </c>
      <c r="H49" s="53">
        <f t="shared" si="4"/>
        <v>13535</v>
      </c>
      <c r="I49" s="53">
        <f t="shared" si="4"/>
        <v>7319.7280000000001</v>
      </c>
      <c r="J49" s="53">
        <f t="shared" si="4"/>
        <v>0</v>
      </c>
      <c r="K49" s="53">
        <f t="shared" si="4"/>
        <v>20854.727999999999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46" t="s">
        <v>424</v>
      </c>
      <c r="C53" s="823"/>
      <c r="D53" s="813"/>
      <c r="F53" s="50"/>
      <c r="G53" s="50"/>
      <c r="H53" s="51">
        <v>18020000</v>
      </c>
      <c r="I53" s="52">
        <f>H53*F$114</f>
        <v>9745215.9999999981</v>
      </c>
      <c r="J53" s="51"/>
      <c r="K53" s="53">
        <f t="shared" ref="K53:K62" si="5">(H53+I53)-J53</f>
        <v>27765216</v>
      </c>
    </row>
    <row r="54" spans="1:11" ht="18" customHeight="1">
      <c r="A54" s="45" t="s">
        <v>289</v>
      </c>
      <c r="B54" s="104" t="s">
        <v>425</v>
      </c>
      <c r="C54" s="105"/>
      <c r="D54" s="106"/>
      <c r="F54" s="50"/>
      <c r="G54" s="50"/>
      <c r="H54" s="51">
        <v>122135</v>
      </c>
      <c r="I54" s="52">
        <v>0</v>
      </c>
      <c r="J54" s="51">
        <v>73900</v>
      </c>
      <c r="K54" s="53">
        <f t="shared" si="5"/>
        <v>48235</v>
      </c>
    </row>
    <row r="55" spans="1:11" ht="18" customHeight="1">
      <c r="A55" s="45" t="s">
        <v>291</v>
      </c>
      <c r="B55" s="811"/>
      <c r="C55" s="812"/>
      <c r="D55" s="813"/>
      <c r="F55" s="50"/>
      <c r="G55" s="50"/>
      <c r="H55" s="51"/>
      <c r="I55" s="52">
        <v>0</v>
      </c>
      <c r="J55" s="51"/>
      <c r="K55" s="53">
        <f t="shared" si="5"/>
        <v>0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v>0</v>
      </c>
      <c r="J56" s="51"/>
      <c r="K56" s="53">
        <f t="shared" si="5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v>0</v>
      </c>
      <c r="J57" s="51"/>
      <c r="K57" s="53">
        <f t="shared" si="5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v>0</v>
      </c>
      <c r="J58" s="51"/>
      <c r="K58" s="53">
        <f t="shared" si="5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v>0</v>
      </c>
      <c r="J59" s="51"/>
      <c r="K59" s="53">
        <f t="shared" si="5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v>0</v>
      </c>
      <c r="J60" s="51"/>
      <c r="K60" s="53">
        <f t="shared" si="5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v>0</v>
      </c>
      <c r="J61" s="51"/>
      <c r="K61" s="53">
        <f t="shared" si="5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5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6">SUM(F53:F62)</f>
        <v>0</v>
      </c>
      <c r="G64" s="59">
        <f t="shared" si="6"/>
        <v>0</v>
      </c>
      <c r="H64" s="53">
        <f t="shared" si="6"/>
        <v>18142135</v>
      </c>
      <c r="I64" s="53">
        <f t="shared" si="6"/>
        <v>9745215.9999999981</v>
      </c>
      <c r="J64" s="53">
        <f t="shared" si="6"/>
        <v>73900</v>
      </c>
      <c r="K64" s="53">
        <f t="shared" si="6"/>
        <v>27813451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/>
      <c r="G68" s="78"/>
      <c r="H68" s="78"/>
      <c r="I68" s="52">
        <v>0</v>
      </c>
      <c r="J68" s="78"/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7">SUM(F68:F72)</f>
        <v>0</v>
      </c>
      <c r="G74" s="86">
        <f t="shared" si="7"/>
        <v>0</v>
      </c>
      <c r="H74" s="86">
        <f t="shared" si="7"/>
        <v>0</v>
      </c>
      <c r="I74" s="87">
        <f t="shared" si="7"/>
        <v>0</v>
      </c>
      <c r="J74" s="86">
        <f t="shared" si="7"/>
        <v>0</v>
      </c>
      <c r="K74" s="63">
        <f t="shared" si="7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/>
      <c r="G77" s="50"/>
      <c r="H77" s="51"/>
      <c r="I77" s="52">
        <v>0</v>
      </c>
      <c r="J77" s="51"/>
      <c r="K77" s="53">
        <f>(H77+I77)-J77</f>
        <v>0</v>
      </c>
    </row>
    <row r="78" spans="1:11" ht="18" customHeight="1">
      <c r="A78" s="45" t="s">
        <v>313</v>
      </c>
      <c r="B78" s="49" t="s">
        <v>197</v>
      </c>
      <c r="F78" s="50"/>
      <c r="G78" s="50"/>
      <c r="H78" s="51"/>
      <c r="I78" s="52">
        <v>0</v>
      </c>
      <c r="J78" s="51"/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/>
      <c r="G79" s="50"/>
      <c r="H79" s="51">
        <v>1425</v>
      </c>
      <c r="I79" s="52">
        <v>0</v>
      </c>
      <c r="J79" s="51"/>
      <c r="K79" s="53">
        <f>(H79+I79)-J79</f>
        <v>1425</v>
      </c>
    </row>
    <row r="80" spans="1:11" ht="18" customHeight="1">
      <c r="A80" s="45" t="s">
        <v>315</v>
      </c>
      <c r="B80" s="49" t="s">
        <v>316</v>
      </c>
      <c r="F80" s="50"/>
      <c r="G80" s="50"/>
      <c r="H80" s="51"/>
      <c r="I80" s="52">
        <v>0</v>
      </c>
      <c r="J80" s="51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8">SUM(F77:F80)</f>
        <v>0</v>
      </c>
      <c r="G82" s="86">
        <f t="shared" si="8"/>
        <v>0</v>
      </c>
      <c r="H82" s="63">
        <f t="shared" si="8"/>
        <v>1425</v>
      </c>
      <c r="I82" s="63">
        <f t="shared" si="8"/>
        <v>0</v>
      </c>
      <c r="J82" s="63">
        <f t="shared" si="8"/>
        <v>0</v>
      </c>
      <c r="K82" s="63">
        <f t="shared" si="8"/>
        <v>1425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/>
      <c r="G86" s="50"/>
      <c r="H86" s="51"/>
      <c r="I86" s="52">
        <f t="shared" ref="I86:I96" si="9">H86*F$114</f>
        <v>0</v>
      </c>
      <c r="J86" s="51"/>
      <c r="K86" s="53">
        <f t="shared" ref="K86:K96" si="10">(H86+I86)-J86</f>
        <v>0</v>
      </c>
    </row>
    <row r="87" spans="1:11" ht="18" customHeight="1">
      <c r="A87" s="45" t="s">
        <v>320</v>
      </c>
      <c r="B87" s="49" t="s">
        <v>206</v>
      </c>
      <c r="F87" s="50"/>
      <c r="G87" s="50"/>
      <c r="H87" s="51"/>
      <c r="I87" s="52">
        <f t="shared" si="9"/>
        <v>0</v>
      </c>
      <c r="J87" s="51"/>
      <c r="K87" s="53">
        <f t="shared" si="10"/>
        <v>0</v>
      </c>
    </row>
    <row r="88" spans="1:11" ht="18" customHeight="1">
      <c r="A88" s="45" t="s">
        <v>321</v>
      </c>
      <c r="B88" s="49" t="s">
        <v>208</v>
      </c>
      <c r="F88" s="50"/>
      <c r="G88" s="50"/>
      <c r="H88" s="51"/>
      <c r="I88" s="52">
        <f t="shared" si="9"/>
        <v>0</v>
      </c>
      <c r="J88" s="51"/>
      <c r="K88" s="53">
        <f t="shared" si="10"/>
        <v>0</v>
      </c>
    </row>
    <row r="89" spans="1:11" ht="18" customHeight="1">
      <c r="A89" s="45" t="s">
        <v>322</v>
      </c>
      <c r="B89" s="49" t="s">
        <v>210</v>
      </c>
      <c r="F89" s="50"/>
      <c r="G89" s="50"/>
      <c r="H89" s="51"/>
      <c r="I89" s="52">
        <f t="shared" si="9"/>
        <v>0</v>
      </c>
      <c r="J89" s="51"/>
      <c r="K89" s="53">
        <f t="shared" si="10"/>
        <v>0</v>
      </c>
    </row>
    <row r="90" spans="1:11" ht="18" customHeight="1">
      <c r="A90" s="45" t="s">
        <v>323</v>
      </c>
      <c r="B90" s="818" t="s">
        <v>212</v>
      </c>
      <c r="C90" s="819"/>
      <c r="F90" s="50"/>
      <c r="G90" s="50"/>
      <c r="H90" s="51"/>
      <c r="I90" s="52">
        <f t="shared" si="9"/>
        <v>0</v>
      </c>
      <c r="J90" s="51"/>
      <c r="K90" s="53">
        <f t="shared" si="10"/>
        <v>0</v>
      </c>
    </row>
    <row r="91" spans="1:11" ht="18" customHeight="1">
      <c r="A91" s="45" t="s">
        <v>324</v>
      </c>
      <c r="B91" s="49" t="s">
        <v>214</v>
      </c>
      <c r="F91" s="50">
        <v>100</v>
      </c>
      <c r="G91" s="50"/>
      <c r="H91" s="51">
        <v>5574</v>
      </c>
      <c r="I91" s="52">
        <f t="shared" si="9"/>
        <v>3014.4191999999998</v>
      </c>
      <c r="J91" s="51"/>
      <c r="K91" s="53">
        <f t="shared" si="10"/>
        <v>8588.4192000000003</v>
      </c>
    </row>
    <row r="92" spans="1:11" ht="18" customHeight="1">
      <c r="A92" s="45" t="s">
        <v>325</v>
      </c>
      <c r="B92" s="49" t="s">
        <v>216</v>
      </c>
      <c r="F92" s="89"/>
      <c r="G92" s="89"/>
      <c r="H92" s="90"/>
      <c r="I92" s="52">
        <f t="shared" si="9"/>
        <v>0</v>
      </c>
      <c r="J92" s="90"/>
      <c r="K92" s="53">
        <f t="shared" si="10"/>
        <v>0</v>
      </c>
    </row>
    <row r="93" spans="1:11" ht="18" customHeight="1">
      <c r="A93" s="45" t="s">
        <v>326</v>
      </c>
      <c r="B93" s="49" t="s">
        <v>218</v>
      </c>
      <c r="F93" s="50"/>
      <c r="G93" s="50"/>
      <c r="H93" s="51"/>
      <c r="I93" s="52">
        <f t="shared" si="9"/>
        <v>0</v>
      </c>
      <c r="J93" s="51"/>
      <c r="K93" s="53">
        <f t="shared" si="10"/>
        <v>0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si="9"/>
        <v>0</v>
      </c>
      <c r="J94" s="51"/>
      <c r="K94" s="53">
        <f t="shared" si="10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9"/>
        <v>0</v>
      </c>
      <c r="J95" s="51"/>
      <c r="K95" s="53">
        <f t="shared" si="10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9"/>
        <v>0</v>
      </c>
      <c r="J96" s="51"/>
      <c r="K96" s="53">
        <f t="shared" si="10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1">SUM(F86:F96)</f>
        <v>100</v>
      </c>
      <c r="G98" s="59">
        <f t="shared" si="11"/>
        <v>0</v>
      </c>
      <c r="H98" s="59">
        <f t="shared" si="11"/>
        <v>5574</v>
      </c>
      <c r="I98" s="59">
        <f t="shared" si="11"/>
        <v>3014.4191999999998</v>
      </c>
      <c r="J98" s="59">
        <f t="shared" si="11"/>
        <v>0</v>
      </c>
      <c r="K98" s="59">
        <f t="shared" si="11"/>
        <v>8588.4192000000003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1182</v>
      </c>
      <c r="G102" s="50"/>
      <c r="H102" s="51">
        <v>35613</v>
      </c>
      <c r="I102" s="52">
        <f>H102*F$114</f>
        <v>19259.510399999999</v>
      </c>
      <c r="J102" s="51"/>
      <c r="K102" s="53">
        <f>(H102+I102)-J102</f>
        <v>54872.510399999999</v>
      </c>
    </row>
    <row r="103" spans="1:11" ht="18" customHeight="1">
      <c r="A103" s="45" t="s">
        <v>333</v>
      </c>
      <c r="B103" s="818" t="s">
        <v>226</v>
      </c>
      <c r="C103" s="818"/>
      <c r="F103" s="50"/>
      <c r="G103" s="50"/>
      <c r="H103" s="51">
        <v>42407</v>
      </c>
      <c r="I103" s="52">
        <f>H103*F$114</f>
        <v>22933.705599999998</v>
      </c>
      <c r="J103" s="51"/>
      <c r="K103" s="53">
        <f>(H103+I103)-J103</f>
        <v>65340.705600000001</v>
      </c>
    </row>
    <row r="104" spans="1:11" ht="18" customHeight="1">
      <c r="A104" s="45" t="s">
        <v>334</v>
      </c>
      <c r="B104" s="811"/>
      <c r="C104" s="812"/>
      <c r="D104" s="813"/>
      <c r="F104" s="50"/>
      <c r="G104" s="50"/>
      <c r="H104" s="51"/>
      <c r="I104" s="52">
        <f>H104*F$114</f>
        <v>0</v>
      </c>
      <c r="J104" s="51"/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2">SUM(F102:F106)</f>
        <v>1182</v>
      </c>
      <c r="G108" s="59">
        <f t="shared" si="12"/>
        <v>0</v>
      </c>
      <c r="H108" s="53">
        <f t="shared" si="12"/>
        <v>78020</v>
      </c>
      <c r="I108" s="53">
        <f t="shared" si="12"/>
        <v>42193.216</v>
      </c>
      <c r="J108" s="53">
        <f t="shared" si="12"/>
        <v>0</v>
      </c>
      <c r="K108" s="53">
        <f t="shared" si="12"/>
        <v>120213.216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21929900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0.54079999999999995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205002800</v>
      </c>
    </row>
    <row r="118" spans="1:6">
      <c r="A118" s="45" t="s">
        <v>343</v>
      </c>
      <c r="B118" s="40" t="s">
        <v>237</v>
      </c>
      <c r="F118" s="51">
        <v>3652400</v>
      </c>
    </row>
    <row r="119" spans="1:6">
      <c r="A119" s="45" t="s">
        <v>344</v>
      </c>
      <c r="B119" s="43" t="s">
        <v>238</v>
      </c>
      <c r="F119" s="63">
        <f>SUM(F117:F118)</f>
        <v>208655200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211129800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v>-2474600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0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v>-2474600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3">SUM(F131:F135)</f>
        <v>0</v>
      </c>
      <c r="G137" s="59">
        <f t="shared" si="13"/>
        <v>0</v>
      </c>
      <c r="H137" s="53">
        <f t="shared" si="13"/>
        <v>0</v>
      </c>
      <c r="I137" s="53">
        <f t="shared" si="13"/>
        <v>0</v>
      </c>
      <c r="J137" s="53">
        <f t="shared" si="13"/>
        <v>0</v>
      </c>
      <c r="K137" s="53">
        <f t="shared" si="13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4">F36</f>
        <v>780</v>
      </c>
      <c r="G141" s="95">
        <f t="shared" si="14"/>
        <v>4332</v>
      </c>
      <c r="H141" s="95">
        <f t="shared" si="14"/>
        <v>54108</v>
      </c>
      <c r="I141" s="95">
        <f t="shared" si="14"/>
        <v>29261.606399999997</v>
      </c>
      <c r="J141" s="95">
        <f t="shared" si="14"/>
        <v>12475</v>
      </c>
      <c r="K141" s="95">
        <f t="shared" si="14"/>
        <v>70894.60639999999</v>
      </c>
    </row>
    <row r="142" spans="1:11" ht="18" customHeight="1">
      <c r="A142" s="45" t="s">
        <v>286</v>
      </c>
      <c r="B142" s="43" t="s">
        <v>125</v>
      </c>
      <c r="F142" s="95">
        <f t="shared" ref="F142:K142" si="15">F49</f>
        <v>371</v>
      </c>
      <c r="G142" s="95">
        <f t="shared" si="15"/>
        <v>350</v>
      </c>
      <c r="H142" s="95">
        <f t="shared" si="15"/>
        <v>13535</v>
      </c>
      <c r="I142" s="95">
        <f t="shared" si="15"/>
        <v>7319.7280000000001</v>
      </c>
      <c r="J142" s="95">
        <f t="shared" si="15"/>
        <v>0</v>
      </c>
      <c r="K142" s="95">
        <f t="shared" si="15"/>
        <v>20854.727999999999</v>
      </c>
    </row>
    <row r="143" spans="1:11" ht="18" customHeight="1">
      <c r="A143" s="45" t="s">
        <v>305</v>
      </c>
      <c r="B143" s="43" t="s">
        <v>247</v>
      </c>
      <c r="F143" s="95">
        <f t="shared" ref="F143:K143" si="16">F64</f>
        <v>0</v>
      </c>
      <c r="G143" s="95">
        <f t="shared" si="16"/>
        <v>0</v>
      </c>
      <c r="H143" s="95">
        <f t="shared" si="16"/>
        <v>18142135</v>
      </c>
      <c r="I143" s="95">
        <f t="shared" si="16"/>
        <v>9745215.9999999981</v>
      </c>
      <c r="J143" s="95">
        <f t="shared" si="16"/>
        <v>73900</v>
      </c>
      <c r="K143" s="95">
        <f t="shared" si="16"/>
        <v>27813451</v>
      </c>
    </row>
    <row r="144" spans="1:11" ht="18" customHeight="1">
      <c r="A144" s="45" t="s">
        <v>311</v>
      </c>
      <c r="B144" s="43" t="s">
        <v>127</v>
      </c>
      <c r="F144" s="95">
        <f t="shared" ref="F144:K144" si="17">F74</f>
        <v>0</v>
      </c>
      <c r="G144" s="95">
        <f t="shared" si="17"/>
        <v>0</v>
      </c>
      <c r="H144" s="95">
        <f t="shared" si="17"/>
        <v>0</v>
      </c>
      <c r="I144" s="95">
        <f t="shared" si="17"/>
        <v>0</v>
      </c>
      <c r="J144" s="95">
        <f t="shared" si="17"/>
        <v>0</v>
      </c>
      <c r="K144" s="95">
        <f t="shared" si="17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18">F82</f>
        <v>0</v>
      </c>
      <c r="G145" s="95">
        <f t="shared" si="18"/>
        <v>0</v>
      </c>
      <c r="H145" s="95">
        <f t="shared" si="18"/>
        <v>1425</v>
      </c>
      <c r="I145" s="95">
        <f t="shared" si="18"/>
        <v>0</v>
      </c>
      <c r="J145" s="95">
        <f t="shared" si="18"/>
        <v>0</v>
      </c>
      <c r="K145" s="95">
        <f t="shared" si="18"/>
        <v>1425</v>
      </c>
    </row>
    <row r="146" spans="1:11" ht="18" customHeight="1">
      <c r="A146" s="45" t="s">
        <v>331</v>
      </c>
      <c r="B146" s="43" t="s">
        <v>249</v>
      </c>
      <c r="F146" s="95">
        <f t="shared" ref="F146:K146" si="19">F98</f>
        <v>100</v>
      </c>
      <c r="G146" s="95">
        <f t="shared" si="19"/>
        <v>0</v>
      </c>
      <c r="H146" s="95">
        <f t="shared" si="19"/>
        <v>5574</v>
      </c>
      <c r="I146" s="95">
        <f t="shared" si="19"/>
        <v>3014.4191999999998</v>
      </c>
      <c r="J146" s="95">
        <f t="shared" si="19"/>
        <v>0</v>
      </c>
      <c r="K146" s="95">
        <f t="shared" si="19"/>
        <v>8588.4192000000003</v>
      </c>
    </row>
    <row r="147" spans="1:11" ht="18" customHeight="1">
      <c r="A147" s="45" t="s">
        <v>338</v>
      </c>
      <c r="B147" s="43" t="s">
        <v>129</v>
      </c>
      <c r="F147" s="59">
        <f t="shared" ref="F147:K147" si="20">F108</f>
        <v>1182</v>
      </c>
      <c r="G147" s="59">
        <f t="shared" si="20"/>
        <v>0</v>
      </c>
      <c r="H147" s="59">
        <f t="shared" si="20"/>
        <v>78020</v>
      </c>
      <c r="I147" s="59">
        <f t="shared" si="20"/>
        <v>42193.216</v>
      </c>
      <c r="J147" s="59">
        <f t="shared" si="20"/>
        <v>0</v>
      </c>
      <c r="K147" s="59">
        <f t="shared" si="20"/>
        <v>120213.216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21929900</v>
      </c>
    </row>
    <row r="149" spans="1:11" ht="18" customHeight="1">
      <c r="A149" s="45" t="s">
        <v>358</v>
      </c>
      <c r="B149" s="43" t="s">
        <v>250</v>
      </c>
      <c r="F149" s="59">
        <f t="shared" ref="F149:K149" si="21">F137</f>
        <v>0</v>
      </c>
      <c r="G149" s="59">
        <f t="shared" si="21"/>
        <v>0</v>
      </c>
      <c r="H149" s="59">
        <f t="shared" si="21"/>
        <v>0</v>
      </c>
      <c r="I149" s="59">
        <f t="shared" si="21"/>
        <v>0</v>
      </c>
      <c r="J149" s="59">
        <f t="shared" si="21"/>
        <v>0</v>
      </c>
      <c r="K149" s="59">
        <f t="shared" si="21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5809542</v>
      </c>
      <c r="I150" s="59">
        <f>I18</f>
        <v>0</v>
      </c>
      <c r="J150" s="59">
        <f>J18</f>
        <v>4967885</v>
      </c>
      <c r="K150" s="59">
        <f>K18</f>
        <v>841657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2">SUM(F141:F150)</f>
        <v>2433</v>
      </c>
      <c r="G152" s="99">
        <f t="shared" si="22"/>
        <v>4682</v>
      </c>
      <c r="H152" s="99">
        <f t="shared" si="22"/>
        <v>24104339</v>
      </c>
      <c r="I152" s="99">
        <f t="shared" si="22"/>
        <v>9827004.9695999976</v>
      </c>
      <c r="J152" s="99">
        <f t="shared" si="22"/>
        <v>5054260</v>
      </c>
      <c r="K152" s="99">
        <f t="shared" si="22"/>
        <v>50806983.969599992</v>
      </c>
    </row>
    <row r="154" spans="1:11" ht="18" customHeight="1">
      <c r="A154" s="48" t="s">
        <v>361</v>
      </c>
      <c r="B154" s="43" t="s">
        <v>252</v>
      </c>
      <c r="F154" s="165">
        <f>K152/F121</f>
        <v>0.24064335763876057</v>
      </c>
    </row>
    <row r="155" spans="1:11" ht="18" customHeight="1">
      <c r="A155" s="48" t="s">
        <v>362</v>
      </c>
      <c r="B155" s="43" t="s">
        <v>253</v>
      </c>
      <c r="F155" s="165">
        <f>K152/F127</f>
        <v>-20.531392536005814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RowHeight="12.75"/>
  <cols>
    <col min="1" max="1" width="8.28515625" style="135" customWidth="1"/>
    <col min="2" max="2" width="55.42578125" style="49" bestFit="1" customWidth="1"/>
    <col min="3" max="3" width="9.5703125" style="49" customWidth="1"/>
    <col min="4" max="4" width="9.140625" style="49"/>
    <col min="5" max="5" width="12.42578125" style="49" customWidth="1"/>
    <col min="6" max="6" width="18.5703125" style="49" customWidth="1"/>
    <col min="7" max="7" width="23.5703125" style="49" customWidth="1"/>
    <col min="8" max="8" width="17.140625" style="49" customWidth="1"/>
    <col min="9" max="9" width="21.140625" style="49" customWidth="1"/>
    <col min="10" max="10" width="19.85546875" style="49" customWidth="1"/>
    <col min="11" max="11" width="17.5703125" style="49" customWidth="1"/>
    <col min="12" max="14" width="9.140625" style="49"/>
    <col min="15" max="15" width="13.85546875" style="49" bestFit="1" customWidth="1"/>
    <col min="16" max="16384" width="9.140625" style="49"/>
  </cols>
  <sheetData>
    <row r="1" spans="1:11">
      <c r="C1" s="346"/>
      <c r="D1" s="42"/>
      <c r="E1" s="346"/>
      <c r="F1" s="346"/>
      <c r="G1" s="346"/>
      <c r="H1" s="346"/>
      <c r="I1" s="346"/>
      <c r="J1" s="346"/>
      <c r="K1" s="346"/>
    </row>
    <row r="2" spans="1:11" ht="15.75">
      <c r="D2" s="824" t="s">
        <v>133</v>
      </c>
      <c r="E2" s="825"/>
      <c r="F2" s="825"/>
      <c r="G2" s="825"/>
      <c r="H2" s="825"/>
    </row>
    <row r="3" spans="1:11">
      <c r="B3" s="43" t="s">
        <v>134</v>
      </c>
    </row>
    <row r="5" spans="1:11">
      <c r="B5" s="45" t="s">
        <v>135</v>
      </c>
      <c r="C5" s="850" t="s">
        <v>722</v>
      </c>
      <c r="D5" s="851"/>
      <c r="E5" s="851"/>
      <c r="F5" s="851"/>
      <c r="G5" s="852"/>
    </row>
    <row r="6" spans="1:11">
      <c r="B6" s="45" t="s">
        <v>136</v>
      </c>
      <c r="C6" s="853">
        <v>4</v>
      </c>
      <c r="D6" s="854"/>
      <c r="E6" s="854"/>
      <c r="F6" s="854"/>
      <c r="G6" s="855"/>
    </row>
    <row r="7" spans="1:11">
      <c r="B7" s="45" t="s">
        <v>137</v>
      </c>
      <c r="C7" s="856">
        <v>3225</v>
      </c>
      <c r="D7" s="857"/>
      <c r="E7" s="857"/>
      <c r="F7" s="857"/>
      <c r="G7" s="858"/>
    </row>
    <row r="9" spans="1:11">
      <c r="B9" s="45" t="s">
        <v>138</v>
      </c>
      <c r="C9" s="850" t="s">
        <v>723</v>
      </c>
      <c r="D9" s="851"/>
      <c r="E9" s="851"/>
      <c r="F9" s="851"/>
      <c r="G9" s="852"/>
    </row>
    <row r="10" spans="1:11">
      <c r="B10" s="45" t="s">
        <v>140</v>
      </c>
      <c r="C10" s="859" t="s">
        <v>724</v>
      </c>
      <c r="D10" s="860"/>
      <c r="E10" s="860"/>
      <c r="F10" s="860"/>
      <c r="G10" s="861"/>
    </row>
    <row r="11" spans="1:11">
      <c r="B11" s="45" t="s">
        <v>142</v>
      </c>
      <c r="C11" s="862" t="s">
        <v>725</v>
      </c>
      <c r="D11" s="863"/>
      <c r="E11" s="863"/>
      <c r="F11" s="863"/>
      <c r="G11" s="863"/>
    </row>
    <row r="12" spans="1:11">
      <c r="B12" s="45"/>
      <c r="C12" s="45"/>
      <c r="D12" s="45"/>
      <c r="E12" s="45"/>
      <c r="F12" s="45"/>
      <c r="G12" s="45"/>
    </row>
    <row r="13" spans="1:11">
      <c r="B13" s="840"/>
      <c r="C13" s="841"/>
      <c r="D13" s="841"/>
      <c r="E13" s="841"/>
      <c r="F13" s="841"/>
      <c r="G13" s="841"/>
      <c r="H13" s="842"/>
      <c r="I13" s="346"/>
    </row>
    <row r="14" spans="1:11">
      <c r="B14" s="46"/>
    </row>
    <row r="15" spans="1:11">
      <c r="B15" s="46"/>
    </row>
    <row r="16" spans="1:11" ht="25.5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>
      <c r="A17" s="48" t="s">
        <v>151</v>
      </c>
      <c r="B17" s="43" t="s">
        <v>152</v>
      </c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167">
        <v>12042149.302069999</v>
      </c>
      <c r="I18" s="167">
        <v>0</v>
      </c>
      <c r="J18" s="167">
        <v>10297543.3196564</v>
      </c>
      <c r="K18" s="348">
        <f>(H18+I18)-J18</f>
        <v>1744605.9824135993</v>
      </c>
    </row>
    <row r="19" spans="1:11" ht="25.5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>
      <c r="A20" s="48" t="s">
        <v>260</v>
      </c>
      <c r="B20" s="43" t="s">
        <v>155</v>
      </c>
    </row>
    <row r="21" spans="1:11">
      <c r="A21" s="45" t="s">
        <v>164</v>
      </c>
      <c r="B21" s="49" t="s">
        <v>156</v>
      </c>
      <c r="F21" s="57">
        <v>19212.400000000001</v>
      </c>
      <c r="G21" s="57">
        <v>189338</v>
      </c>
      <c r="H21" s="347">
        <v>1812263</v>
      </c>
      <c r="I21" s="167">
        <v>1076783</v>
      </c>
      <c r="J21" s="347">
        <v>215384</v>
      </c>
      <c r="K21" s="348">
        <f t="shared" ref="K21:K34" si="0">(H21+I21)-J21</f>
        <v>2673662</v>
      </c>
    </row>
    <row r="22" spans="1:11">
      <c r="A22" s="45" t="s">
        <v>261</v>
      </c>
      <c r="B22" s="49" t="s">
        <v>157</v>
      </c>
      <c r="F22" s="57"/>
      <c r="G22" s="57"/>
      <c r="H22" s="347"/>
      <c r="I22" s="167">
        <f t="shared" ref="I22:I34" si="1">H22*F$114</f>
        <v>0</v>
      </c>
      <c r="J22" s="347"/>
      <c r="K22" s="348">
        <f t="shared" si="0"/>
        <v>0</v>
      </c>
    </row>
    <row r="23" spans="1:11">
      <c r="A23" s="45" t="s">
        <v>262</v>
      </c>
      <c r="B23" s="49" t="s">
        <v>158</v>
      </c>
      <c r="F23" s="57"/>
      <c r="G23" s="57"/>
      <c r="H23" s="347"/>
      <c r="I23" s="167">
        <f t="shared" si="1"/>
        <v>0</v>
      </c>
      <c r="J23" s="347"/>
      <c r="K23" s="348">
        <f t="shared" si="0"/>
        <v>0</v>
      </c>
    </row>
    <row r="24" spans="1:11">
      <c r="A24" s="45" t="s">
        <v>263</v>
      </c>
      <c r="B24" s="49" t="s">
        <v>159</v>
      </c>
      <c r="F24" s="57">
        <v>345</v>
      </c>
      <c r="G24" s="57">
        <v>1858</v>
      </c>
      <c r="H24" s="347">
        <v>13150</v>
      </c>
      <c r="I24" s="167">
        <v>8886</v>
      </c>
      <c r="J24" s="347">
        <v>275</v>
      </c>
      <c r="K24" s="348">
        <f t="shared" si="0"/>
        <v>21761</v>
      </c>
    </row>
    <row r="25" spans="1:11">
      <c r="A25" s="45" t="s">
        <v>264</v>
      </c>
      <c r="B25" s="49" t="s">
        <v>160</v>
      </c>
      <c r="F25" s="57"/>
      <c r="G25" s="57"/>
      <c r="H25" s="347"/>
      <c r="I25" s="167">
        <f t="shared" si="1"/>
        <v>0</v>
      </c>
      <c r="J25" s="347"/>
      <c r="K25" s="348">
        <f t="shared" si="0"/>
        <v>0</v>
      </c>
    </row>
    <row r="26" spans="1:11">
      <c r="A26" s="45" t="s">
        <v>265</v>
      </c>
      <c r="B26" s="49" t="s">
        <v>161</v>
      </c>
      <c r="F26" s="57"/>
      <c r="G26" s="57"/>
      <c r="H26" s="347"/>
      <c r="I26" s="167">
        <f t="shared" si="1"/>
        <v>0</v>
      </c>
      <c r="J26" s="347"/>
      <c r="K26" s="348">
        <f t="shared" si="0"/>
        <v>0</v>
      </c>
    </row>
    <row r="27" spans="1:11">
      <c r="A27" s="45" t="s">
        <v>266</v>
      </c>
      <c r="B27" s="49" t="s">
        <v>162</v>
      </c>
      <c r="F27" s="57"/>
      <c r="G27" s="57"/>
      <c r="H27" s="347"/>
      <c r="I27" s="167">
        <f t="shared" si="1"/>
        <v>0</v>
      </c>
      <c r="J27" s="347"/>
      <c r="K27" s="348">
        <f t="shared" si="0"/>
        <v>0</v>
      </c>
    </row>
    <row r="28" spans="1:11">
      <c r="A28" s="45" t="s">
        <v>267</v>
      </c>
      <c r="B28" s="49" t="s">
        <v>163</v>
      </c>
      <c r="F28" s="57"/>
      <c r="G28" s="57"/>
      <c r="H28" s="347"/>
      <c r="I28" s="167">
        <f t="shared" si="1"/>
        <v>0</v>
      </c>
      <c r="J28" s="347"/>
      <c r="K28" s="348">
        <f t="shared" si="0"/>
        <v>0</v>
      </c>
    </row>
    <row r="29" spans="1:11">
      <c r="A29" s="45" t="s">
        <v>268</v>
      </c>
      <c r="B29" s="49" t="s">
        <v>165</v>
      </c>
      <c r="F29" s="57">
        <v>17431.599999999999</v>
      </c>
      <c r="G29" s="57">
        <v>22559</v>
      </c>
      <c r="H29" s="347">
        <v>1110384</v>
      </c>
      <c r="I29" s="167">
        <v>491598</v>
      </c>
      <c r="J29" s="347">
        <v>105851</v>
      </c>
      <c r="K29" s="348">
        <f t="shared" si="0"/>
        <v>1496131</v>
      </c>
    </row>
    <row r="30" spans="1:11">
      <c r="A30" s="45" t="s">
        <v>269</v>
      </c>
      <c r="B30" s="817" t="s">
        <v>726</v>
      </c>
      <c r="C30" s="864"/>
      <c r="D30" s="865"/>
      <c r="F30" s="57">
        <v>240</v>
      </c>
      <c r="G30" s="57">
        <v>2196</v>
      </c>
      <c r="H30" s="347">
        <v>308945</v>
      </c>
      <c r="I30" s="167">
        <v>213173</v>
      </c>
      <c r="J30" s="347"/>
      <c r="K30" s="348">
        <f t="shared" si="0"/>
        <v>522118</v>
      </c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>
        <f t="shared" si="1"/>
        <v>0</v>
      </c>
      <c r="J31" s="347"/>
      <c r="K31" s="348">
        <f t="shared" si="0"/>
        <v>0</v>
      </c>
    </row>
    <row r="32" spans="1:11">
      <c r="A32" s="45" t="s">
        <v>271</v>
      </c>
      <c r="B32" s="160"/>
      <c r="C32" s="161"/>
      <c r="D32" s="162"/>
      <c r="F32" s="57"/>
      <c r="G32" s="57" t="s">
        <v>272</v>
      </c>
      <c r="H32" s="347"/>
      <c r="I32" s="167">
        <f t="shared" si="1"/>
        <v>0</v>
      </c>
      <c r="J32" s="347"/>
      <c r="K32" s="348">
        <f t="shared" si="0"/>
        <v>0</v>
      </c>
    </row>
    <row r="33" spans="1:11">
      <c r="A33" s="45" t="s">
        <v>273</v>
      </c>
      <c r="B33" s="160"/>
      <c r="C33" s="161"/>
      <c r="D33" s="162"/>
      <c r="F33" s="57"/>
      <c r="G33" s="57" t="s">
        <v>272</v>
      </c>
      <c r="H33" s="347"/>
      <c r="I33" s="167">
        <f t="shared" si="1"/>
        <v>0</v>
      </c>
      <c r="J33" s="347"/>
      <c r="K33" s="348">
        <f t="shared" si="0"/>
        <v>0</v>
      </c>
    </row>
    <row r="34" spans="1:11">
      <c r="A34" s="45" t="s">
        <v>274</v>
      </c>
      <c r="B34" s="814"/>
      <c r="C34" s="815"/>
      <c r="D34" s="816"/>
      <c r="F34" s="57"/>
      <c r="G34" s="57" t="s">
        <v>272</v>
      </c>
      <c r="H34" s="347"/>
      <c r="I34" s="167">
        <f t="shared" si="1"/>
        <v>0</v>
      </c>
      <c r="J34" s="347"/>
      <c r="K34" s="348">
        <f t="shared" si="0"/>
        <v>0</v>
      </c>
    </row>
    <row r="35" spans="1:11"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2">SUM(F21:F34)</f>
        <v>37229</v>
      </c>
      <c r="G36" s="350">
        <f t="shared" si="2"/>
        <v>215951</v>
      </c>
      <c r="H36" s="350">
        <f t="shared" si="2"/>
        <v>3244742</v>
      </c>
      <c r="I36" s="348">
        <f t="shared" si="2"/>
        <v>1790440</v>
      </c>
      <c r="J36" s="348">
        <f t="shared" si="2"/>
        <v>321510</v>
      </c>
      <c r="K36" s="348">
        <f t="shared" si="2"/>
        <v>4713672</v>
      </c>
    </row>
    <row r="37" spans="1:11" ht="13.5" thickBot="1">
      <c r="B37" s="43"/>
      <c r="F37" s="351"/>
      <c r="G37" s="351"/>
      <c r="H37" s="352"/>
      <c r="I37" s="352"/>
      <c r="J37" s="352"/>
      <c r="K37" s="353"/>
    </row>
    <row r="38" spans="1:11" ht="25.5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>
      <c r="A39" s="48" t="s">
        <v>167</v>
      </c>
      <c r="B39" s="43" t="s">
        <v>168</v>
      </c>
    </row>
    <row r="40" spans="1:11">
      <c r="A40" s="45" t="s">
        <v>277</v>
      </c>
      <c r="B40" s="49" t="s">
        <v>170</v>
      </c>
      <c r="F40" s="57">
        <v>6553.7</v>
      </c>
      <c r="G40" s="57">
        <v>4995</v>
      </c>
      <c r="H40" s="347">
        <v>2591388</v>
      </c>
      <c r="I40" s="167">
        <v>1787920</v>
      </c>
      <c r="J40" s="347">
        <v>0</v>
      </c>
      <c r="K40" s="348">
        <f t="shared" ref="K40:K47" si="3">(H40+I40)-J40</f>
        <v>4379308</v>
      </c>
    </row>
    <row r="41" spans="1:11">
      <c r="A41" s="45" t="s">
        <v>278</v>
      </c>
      <c r="B41" s="818" t="s">
        <v>172</v>
      </c>
      <c r="C41" s="818"/>
      <c r="F41" s="57">
        <v>2079.6</v>
      </c>
      <c r="G41" s="57">
        <v>2482</v>
      </c>
      <c r="H41" s="347">
        <v>95172</v>
      </c>
      <c r="I41" s="167">
        <v>52794</v>
      </c>
      <c r="J41" s="347">
        <v>0</v>
      </c>
      <c r="K41" s="348">
        <f t="shared" si="3"/>
        <v>147966</v>
      </c>
    </row>
    <row r="42" spans="1:11">
      <c r="A42" s="45" t="s">
        <v>279</v>
      </c>
      <c r="B42" s="49" t="s">
        <v>174</v>
      </c>
      <c r="F42" s="57">
        <v>4180</v>
      </c>
      <c r="G42" s="57">
        <v>131</v>
      </c>
      <c r="H42" s="347">
        <v>134133</v>
      </c>
      <c r="I42" s="167">
        <v>92420</v>
      </c>
      <c r="J42" s="347">
        <v>11550</v>
      </c>
      <c r="K42" s="348">
        <f t="shared" si="3"/>
        <v>215003</v>
      </c>
    </row>
    <row r="43" spans="1:11">
      <c r="A43" s="45" t="s">
        <v>280</v>
      </c>
      <c r="B43" s="49" t="s">
        <v>176</v>
      </c>
      <c r="F43" s="57"/>
      <c r="G43" s="57"/>
      <c r="H43" s="347"/>
      <c r="I43" s="167">
        <v>0</v>
      </c>
      <c r="J43" s="347">
        <v>0</v>
      </c>
      <c r="K43" s="348">
        <f t="shared" si="3"/>
        <v>0</v>
      </c>
    </row>
    <row r="44" spans="1:11">
      <c r="A44" s="45" t="s">
        <v>281</v>
      </c>
      <c r="B44" s="814"/>
      <c r="C44" s="815"/>
      <c r="D44" s="816"/>
      <c r="F44" s="57"/>
      <c r="G44" s="57"/>
      <c r="H44" s="57"/>
      <c r="I44" s="167">
        <v>0</v>
      </c>
      <c r="J44" s="57"/>
      <c r="K44" s="354">
        <f t="shared" si="3"/>
        <v>0</v>
      </c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>
        <v>0</v>
      </c>
      <c r="J45" s="347"/>
      <c r="K45" s="348">
        <f t="shared" si="3"/>
        <v>0</v>
      </c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>
        <v>0</v>
      </c>
      <c r="J46" s="347"/>
      <c r="K46" s="348">
        <f t="shared" si="3"/>
        <v>0</v>
      </c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>
        <v>0</v>
      </c>
      <c r="J47" s="347"/>
      <c r="K47" s="348">
        <f t="shared" si="3"/>
        <v>0</v>
      </c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4">SUM(F40:F47)</f>
        <v>12813.3</v>
      </c>
      <c r="G49" s="355">
        <f t="shared" si="4"/>
        <v>7608</v>
      </c>
      <c r="H49" s="348">
        <f t="shared" si="4"/>
        <v>2820693</v>
      </c>
      <c r="I49" s="348">
        <f t="shared" si="4"/>
        <v>1933134</v>
      </c>
      <c r="J49" s="348">
        <f t="shared" si="4"/>
        <v>11550</v>
      </c>
      <c r="K49" s="348">
        <f t="shared" si="4"/>
        <v>4742277</v>
      </c>
    </row>
    <row r="50" spans="1:11" ht="13.5" thickBot="1">
      <c r="G50" s="356"/>
      <c r="H50" s="356"/>
      <c r="I50" s="356"/>
      <c r="J50" s="356"/>
      <c r="K50" s="356"/>
    </row>
    <row r="51" spans="1:11" ht="25.5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>
      <c r="A52" s="48" t="s">
        <v>178</v>
      </c>
      <c r="B52" s="820" t="s">
        <v>179</v>
      </c>
      <c r="C52" s="866"/>
    </row>
    <row r="53" spans="1:11">
      <c r="A53" s="45" t="s">
        <v>287</v>
      </c>
      <c r="B53" s="822" t="s">
        <v>727</v>
      </c>
      <c r="C53" s="867"/>
      <c r="D53" s="865"/>
      <c r="F53" s="57"/>
      <c r="G53" s="57"/>
      <c r="H53" s="347">
        <v>1415919</v>
      </c>
      <c r="I53" s="167">
        <v>976986</v>
      </c>
      <c r="J53" s="347"/>
      <c r="K53" s="348">
        <f t="shared" ref="K53:K62" si="5">(H53+I53)-J53</f>
        <v>2392905</v>
      </c>
    </row>
    <row r="54" spans="1:11">
      <c r="A54" s="45" t="s">
        <v>289</v>
      </c>
      <c r="B54" s="164" t="s">
        <v>728</v>
      </c>
      <c r="C54" s="262"/>
      <c r="D54" s="263"/>
      <c r="F54" s="57"/>
      <c r="G54" s="57"/>
      <c r="H54" s="347">
        <v>424317</v>
      </c>
      <c r="I54" s="167">
        <v>292773</v>
      </c>
      <c r="J54" s="347"/>
      <c r="K54" s="348">
        <f t="shared" si="5"/>
        <v>717090</v>
      </c>
    </row>
    <row r="55" spans="1:11">
      <c r="A55" s="45" t="s">
        <v>291</v>
      </c>
      <c r="B55" s="822" t="s">
        <v>729</v>
      </c>
      <c r="C55" s="867"/>
      <c r="D55" s="865"/>
      <c r="F55" s="57"/>
      <c r="G55" s="57"/>
      <c r="H55" s="347">
        <v>312000</v>
      </c>
      <c r="I55" s="167">
        <v>215280</v>
      </c>
      <c r="J55" s="347"/>
      <c r="K55" s="348">
        <f t="shared" si="5"/>
        <v>527280</v>
      </c>
    </row>
    <row r="56" spans="1:11">
      <c r="A56" s="45" t="s">
        <v>293</v>
      </c>
      <c r="B56" s="822" t="s">
        <v>730</v>
      </c>
      <c r="C56" s="867"/>
      <c r="D56" s="865"/>
      <c r="F56" s="57"/>
      <c r="G56" s="57"/>
      <c r="H56" s="347">
        <v>217043</v>
      </c>
      <c r="I56" s="167">
        <v>149760</v>
      </c>
      <c r="J56" s="347"/>
      <c r="K56" s="348">
        <f t="shared" si="5"/>
        <v>366803</v>
      </c>
    </row>
    <row r="57" spans="1:11">
      <c r="A57" s="45" t="s">
        <v>295</v>
      </c>
      <c r="B57" s="164" t="s">
        <v>731</v>
      </c>
      <c r="C57" s="262"/>
      <c r="D57" s="263"/>
      <c r="F57" s="57"/>
      <c r="G57" s="57"/>
      <c r="H57" s="347"/>
      <c r="I57" s="167">
        <v>2892266</v>
      </c>
      <c r="J57" s="347"/>
      <c r="K57" s="348">
        <f t="shared" si="5"/>
        <v>2892266</v>
      </c>
    </row>
    <row r="58" spans="1:11">
      <c r="A58" s="45" t="s">
        <v>298</v>
      </c>
      <c r="B58" s="164" t="s">
        <v>732</v>
      </c>
      <c r="C58" s="262"/>
      <c r="D58" s="263"/>
      <c r="F58" s="57"/>
      <c r="G58" s="57"/>
      <c r="H58" s="347">
        <v>1033155</v>
      </c>
      <c r="I58" s="167">
        <v>712876</v>
      </c>
      <c r="J58" s="347">
        <v>398887</v>
      </c>
      <c r="K58" s="348">
        <f t="shared" si="5"/>
        <v>1347144</v>
      </c>
    </row>
    <row r="59" spans="1:11">
      <c r="A59" s="45" t="s">
        <v>300</v>
      </c>
      <c r="B59" s="164" t="s">
        <v>733</v>
      </c>
      <c r="C59" s="262"/>
      <c r="D59" s="263"/>
      <c r="F59" s="57">
        <v>1121</v>
      </c>
      <c r="G59" s="57">
        <v>452</v>
      </c>
      <c r="H59" s="347">
        <v>69364</v>
      </c>
      <c r="I59" s="167">
        <v>47861</v>
      </c>
      <c r="J59" s="347"/>
      <c r="K59" s="348">
        <f t="shared" si="5"/>
        <v>117225</v>
      </c>
    </row>
    <row r="60" spans="1:11">
      <c r="A60" s="45" t="s">
        <v>302</v>
      </c>
      <c r="B60" s="164" t="s">
        <v>734</v>
      </c>
      <c r="C60" s="262"/>
      <c r="D60" s="263"/>
      <c r="F60" s="57"/>
      <c r="G60" s="57">
        <v>6318</v>
      </c>
      <c r="H60" s="347">
        <v>530012</v>
      </c>
      <c r="I60" s="167">
        <v>365707</v>
      </c>
      <c r="J60" s="347">
        <v>394444</v>
      </c>
      <c r="K60" s="348">
        <f t="shared" si="5"/>
        <v>501275</v>
      </c>
    </row>
    <row r="61" spans="1:11">
      <c r="A61" s="45" t="s">
        <v>303</v>
      </c>
      <c r="B61" s="164" t="s">
        <v>735</v>
      </c>
      <c r="C61" s="262"/>
      <c r="D61" s="263"/>
      <c r="F61" s="57"/>
      <c r="G61" s="57">
        <v>33597</v>
      </c>
      <c r="H61" s="347">
        <v>187282</v>
      </c>
      <c r="I61" s="167">
        <v>0</v>
      </c>
      <c r="J61" s="347"/>
      <c r="K61" s="348">
        <f t="shared" si="5"/>
        <v>187282</v>
      </c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>
        <v>0</v>
      </c>
      <c r="J62" s="347"/>
      <c r="K62" s="348">
        <f t="shared" si="5"/>
        <v>0</v>
      </c>
    </row>
    <row r="63" spans="1:11">
      <c r="A63" s="45"/>
      <c r="I63" s="357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6">SUM(F53:F62)</f>
        <v>1121</v>
      </c>
      <c r="G64" s="350">
        <f t="shared" si="6"/>
        <v>40367</v>
      </c>
      <c r="H64" s="348">
        <f>SUM(H53:H62)</f>
        <v>4189092</v>
      </c>
      <c r="I64" s="348">
        <f t="shared" si="6"/>
        <v>5653509</v>
      </c>
      <c r="J64" s="348">
        <f t="shared" si="6"/>
        <v>793331</v>
      </c>
      <c r="K64" s="348">
        <f t="shared" si="6"/>
        <v>9049270</v>
      </c>
    </row>
    <row r="65" spans="1:11">
      <c r="F65" s="358"/>
      <c r="G65" s="358"/>
      <c r="H65" s="358"/>
      <c r="I65" s="358"/>
      <c r="J65" s="358"/>
      <c r="K65" s="358"/>
    </row>
    <row r="66" spans="1:11" ht="25.5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>
      <c r="A67" s="48" t="s">
        <v>185</v>
      </c>
      <c r="B67" s="43" t="s">
        <v>186</v>
      </c>
      <c r="F67" s="359"/>
      <c r="G67" s="359"/>
      <c r="H67" s="359"/>
      <c r="I67" s="360"/>
      <c r="J67" s="359"/>
      <c r="K67" s="361"/>
    </row>
    <row r="68" spans="1:11">
      <c r="A68" s="45" t="s">
        <v>306</v>
      </c>
      <c r="B68" s="49" t="s">
        <v>188</v>
      </c>
      <c r="F68" s="362">
        <v>4239.6000000000004</v>
      </c>
      <c r="G68" s="362">
        <v>1305</v>
      </c>
      <c r="H68" s="362">
        <v>170897</v>
      </c>
      <c r="I68" s="167">
        <v>117921</v>
      </c>
      <c r="J68" s="362">
        <v>0</v>
      </c>
      <c r="K68" s="348">
        <f>(H68+I68)-J68</f>
        <v>288818</v>
      </c>
    </row>
    <row r="69" spans="1:11">
      <c r="A69" s="45" t="s">
        <v>307</v>
      </c>
      <c r="B69" s="49" t="s">
        <v>190</v>
      </c>
      <c r="F69" s="362"/>
      <c r="G69" s="362"/>
      <c r="H69" s="362"/>
      <c r="I69" s="167">
        <v>0</v>
      </c>
      <c r="J69" s="362"/>
      <c r="K69" s="348">
        <f>(H69+I69)-J69</f>
        <v>0</v>
      </c>
    </row>
    <row r="70" spans="1:11">
      <c r="A70" s="45" t="s">
        <v>308</v>
      </c>
      <c r="B70" s="164"/>
      <c r="C70" s="262"/>
      <c r="D70" s="263"/>
      <c r="E70" s="43"/>
      <c r="F70" s="364"/>
      <c r="G70" s="364"/>
      <c r="H70" s="363"/>
      <c r="I70" s="167">
        <v>0</v>
      </c>
      <c r="J70" s="363"/>
      <c r="K70" s="348">
        <f>(H70+I70)-J70</f>
        <v>0</v>
      </c>
    </row>
    <row r="71" spans="1:11">
      <c r="A71" s="45" t="s">
        <v>309</v>
      </c>
      <c r="B71" s="164"/>
      <c r="C71" s="262"/>
      <c r="D71" s="263"/>
      <c r="E71" s="43"/>
      <c r="F71" s="364"/>
      <c r="G71" s="364"/>
      <c r="H71" s="363"/>
      <c r="I71" s="167">
        <v>0</v>
      </c>
      <c r="J71" s="363"/>
      <c r="K71" s="348">
        <f>(H71+I71)-J71</f>
        <v>0</v>
      </c>
    </row>
    <row r="72" spans="1:11">
      <c r="A72" s="45" t="s">
        <v>310</v>
      </c>
      <c r="B72" s="163"/>
      <c r="C72" s="264"/>
      <c r="D72" s="365"/>
      <c r="E72" s="43"/>
      <c r="F72" s="57"/>
      <c r="G72" s="57"/>
      <c r="H72" s="347"/>
      <c r="I72" s="167">
        <v>0</v>
      </c>
      <c r="J72" s="347"/>
      <c r="K72" s="348">
        <f>(H72+I72)-J72</f>
        <v>0</v>
      </c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7">SUM(F68:F72)</f>
        <v>4239.6000000000004</v>
      </c>
      <c r="G74" s="368">
        <f t="shared" si="7"/>
        <v>1305</v>
      </c>
      <c r="H74" s="368">
        <f t="shared" si="7"/>
        <v>170897</v>
      </c>
      <c r="I74" s="370">
        <f t="shared" si="7"/>
        <v>117921</v>
      </c>
      <c r="J74" s="368">
        <f t="shared" si="7"/>
        <v>0</v>
      </c>
      <c r="K74" s="354">
        <f t="shared" si="7"/>
        <v>288818</v>
      </c>
    </row>
    <row r="75" spans="1:11" ht="25.5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>
      <c r="A76" s="48" t="s">
        <v>192</v>
      </c>
      <c r="B76" s="43" t="s">
        <v>193</v>
      </c>
    </row>
    <row r="77" spans="1:11">
      <c r="A77" s="45" t="s">
        <v>312</v>
      </c>
      <c r="B77" s="49" t="s">
        <v>195</v>
      </c>
      <c r="F77" s="57"/>
      <c r="G77" s="57"/>
      <c r="H77" s="347"/>
      <c r="I77" s="167">
        <v>0</v>
      </c>
      <c r="J77" s="347"/>
      <c r="K77" s="348">
        <f>(H77+I77)-J77</f>
        <v>0</v>
      </c>
    </row>
    <row r="78" spans="1:11">
      <c r="A78" s="45" t="s">
        <v>313</v>
      </c>
      <c r="B78" s="49" t="s">
        <v>197</v>
      </c>
      <c r="F78" s="57"/>
      <c r="G78" s="57"/>
      <c r="H78" s="347"/>
      <c r="I78" s="167">
        <v>0</v>
      </c>
      <c r="J78" s="347"/>
      <c r="K78" s="348">
        <f>(H78+I78)-J78</f>
        <v>0</v>
      </c>
    </row>
    <row r="79" spans="1:11">
      <c r="A79" s="45" t="s">
        <v>314</v>
      </c>
      <c r="B79" s="49" t="s">
        <v>199</v>
      </c>
      <c r="F79" s="57"/>
      <c r="G79" s="57">
        <v>40848</v>
      </c>
      <c r="H79" s="347">
        <v>189993</v>
      </c>
      <c r="I79" s="167">
        <v>0</v>
      </c>
      <c r="J79" s="347"/>
      <c r="K79" s="348">
        <f>(H79+I79)-J79</f>
        <v>189993</v>
      </c>
    </row>
    <row r="80" spans="1:11">
      <c r="A80" s="45" t="s">
        <v>315</v>
      </c>
      <c r="B80" s="49" t="s">
        <v>316</v>
      </c>
      <c r="F80" s="57"/>
      <c r="G80" s="57"/>
      <c r="H80" s="347"/>
      <c r="I80" s="167">
        <v>0</v>
      </c>
      <c r="J80" s="347"/>
      <c r="K80" s="348">
        <f>(H80+I80)-J80</f>
        <v>0</v>
      </c>
    </row>
    <row r="81" spans="1:11">
      <c r="A81" s="45"/>
      <c r="K81" s="371"/>
    </row>
    <row r="82" spans="1:11">
      <c r="A82" s="45" t="s">
        <v>317</v>
      </c>
      <c r="B82" s="43" t="s">
        <v>318</v>
      </c>
      <c r="E82" s="43" t="s">
        <v>276</v>
      </c>
      <c r="F82" s="368">
        <f t="shared" ref="F82:K82" si="8">SUM(F77:F80)</f>
        <v>0</v>
      </c>
      <c r="G82" s="368">
        <f t="shared" si="8"/>
        <v>40848</v>
      </c>
      <c r="H82" s="354">
        <f t="shared" si="8"/>
        <v>189993</v>
      </c>
      <c r="I82" s="354">
        <f t="shared" si="8"/>
        <v>0</v>
      </c>
      <c r="J82" s="354">
        <f t="shared" si="8"/>
        <v>0</v>
      </c>
      <c r="K82" s="354">
        <f t="shared" si="8"/>
        <v>189993</v>
      </c>
    </row>
    <row r="83" spans="1:11" ht="13.5" thickBot="1">
      <c r="A83" s="45"/>
      <c r="F83" s="356"/>
      <c r="G83" s="356"/>
      <c r="H83" s="356"/>
      <c r="I83" s="356"/>
      <c r="J83" s="356"/>
      <c r="K83" s="356"/>
    </row>
    <row r="84" spans="1:11" ht="25.5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>
      <c r="A85" s="48" t="s">
        <v>201</v>
      </c>
      <c r="B85" s="43" t="s">
        <v>202</v>
      </c>
    </row>
    <row r="86" spans="1:11">
      <c r="A86" s="45" t="s">
        <v>319</v>
      </c>
      <c r="B86" s="49" t="s">
        <v>204</v>
      </c>
      <c r="F86" s="57"/>
      <c r="G86" s="57"/>
      <c r="H86" s="347"/>
      <c r="I86" s="167">
        <f t="shared" ref="I86:I96" si="9">H86*F$114</f>
        <v>0</v>
      </c>
      <c r="J86" s="347"/>
      <c r="K86" s="348">
        <f t="shared" ref="K86:K96" si="10">(H86+I86)-J86</f>
        <v>0</v>
      </c>
    </row>
    <row r="87" spans="1:11">
      <c r="A87" s="45" t="s">
        <v>320</v>
      </c>
      <c r="B87" s="49" t="s">
        <v>206</v>
      </c>
      <c r="F87" s="57"/>
      <c r="G87" s="57"/>
      <c r="H87" s="347"/>
      <c r="I87" s="167">
        <f t="shared" si="9"/>
        <v>0</v>
      </c>
      <c r="J87" s="347"/>
      <c r="K87" s="348">
        <f t="shared" si="10"/>
        <v>0</v>
      </c>
    </row>
    <row r="88" spans="1:11">
      <c r="A88" s="45" t="s">
        <v>321</v>
      </c>
      <c r="B88" s="49" t="s">
        <v>208</v>
      </c>
      <c r="F88" s="57"/>
      <c r="G88" s="57">
        <v>48</v>
      </c>
      <c r="H88" s="347">
        <v>36663</v>
      </c>
      <c r="I88" s="167">
        <v>25300</v>
      </c>
      <c r="J88" s="347"/>
      <c r="K88" s="348">
        <f t="shared" si="10"/>
        <v>61963</v>
      </c>
    </row>
    <row r="89" spans="1:11">
      <c r="A89" s="45" t="s">
        <v>322</v>
      </c>
      <c r="B89" s="49" t="s">
        <v>210</v>
      </c>
      <c r="F89" s="57"/>
      <c r="G89" s="57"/>
      <c r="H89" s="347"/>
      <c r="I89" s="167">
        <f t="shared" si="9"/>
        <v>0</v>
      </c>
      <c r="J89" s="347"/>
      <c r="K89" s="348">
        <f t="shared" si="10"/>
        <v>0</v>
      </c>
    </row>
    <row r="90" spans="1:11">
      <c r="A90" s="45" t="s">
        <v>323</v>
      </c>
      <c r="B90" s="818" t="s">
        <v>212</v>
      </c>
      <c r="C90" s="818"/>
      <c r="F90" s="57"/>
      <c r="G90" s="57"/>
      <c r="H90" s="347"/>
      <c r="I90" s="167">
        <f t="shared" si="9"/>
        <v>0</v>
      </c>
      <c r="J90" s="347"/>
      <c r="K90" s="348">
        <f t="shared" si="10"/>
        <v>0</v>
      </c>
    </row>
    <row r="91" spans="1:11">
      <c r="A91" s="45" t="s">
        <v>324</v>
      </c>
      <c r="B91" s="49" t="s">
        <v>214</v>
      </c>
      <c r="F91" s="57"/>
      <c r="G91" s="57"/>
      <c r="H91" s="347"/>
      <c r="I91" s="167">
        <f t="shared" si="9"/>
        <v>0</v>
      </c>
      <c r="J91" s="347"/>
      <c r="K91" s="348">
        <f t="shared" si="10"/>
        <v>0</v>
      </c>
    </row>
    <row r="92" spans="1:11">
      <c r="A92" s="45" t="s">
        <v>325</v>
      </c>
      <c r="B92" s="49" t="s">
        <v>216</v>
      </c>
      <c r="F92" s="372"/>
      <c r="G92" s="372"/>
      <c r="H92" s="373"/>
      <c r="I92" s="167">
        <f t="shared" si="9"/>
        <v>0</v>
      </c>
      <c r="J92" s="373"/>
      <c r="K92" s="348">
        <f t="shared" si="10"/>
        <v>0</v>
      </c>
    </row>
    <row r="93" spans="1:11">
      <c r="A93" s="45" t="s">
        <v>326</v>
      </c>
      <c r="B93" s="49" t="s">
        <v>218</v>
      </c>
      <c r="F93" s="57"/>
      <c r="G93" s="57"/>
      <c r="H93" s="347"/>
      <c r="I93" s="167">
        <f t="shared" si="9"/>
        <v>0</v>
      </c>
      <c r="J93" s="347"/>
      <c r="K93" s="348">
        <f t="shared" si="10"/>
        <v>0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>
        <f t="shared" si="9"/>
        <v>0</v>
      </c>
      <c r="J94" s="347"/>
      <c r="K94" s="348">
        <f t="shared" si="10"/>
        <v>0</v>
      </c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>
        <f t="shared" si="9"/>
        <v>0</v>
      </c>
      <c r="J95" s="347"/>
      <c r="K95" s="348">
        <f t="shared" si="10"/>
        <v>0</v>
      </c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>
        <f t="shared" si="9"/>
        <v>0</v>
      </c>
      <c r="J96" s="347"/>
      <c r="K96" s="348">
        <f t="shared" si="10"/>
        <v>0</v>
      </c>
    </row>
    <row r="97" spans="1:11" ht="18" customHeight="1">
      <c r="A97" s="45"/>
    </row>
    <row r="98" spans="1:11" ht="18" customHeight="1">
      <c r="A98" s="48" t="s">
        <v>331</v>
      </c>
      <c r="B98" s="43" t="s">
        <v>220</v>
      </c>
      <c r="E98" s="43" t="s">
        <v>276</v>
      </c>
      <c r="F98" s="350">
        <f t="shared" ref="F98:K98" si="11">SUM(F86:F96)</f>
        <v>0</v>
      </c>
      <c r="G98" s="350">
        <f t="shared" si="11"/>
        <v>48</v>
      </c>
      <c r="H98" s="350">
        <f t="shared" si="11"/>
        <v>36663</v>
      </c>
      <c r="I98" s="350">
        <f t="shared" si="11"/>
        <v>25300</v>
      </c>
      <c r="J98" s="350">
        <f t="shared" si="11"/>
        <v>0</v>
      </c>
      <c r="K98" s="350">
        <f t="shared" si="11"/>
        <v>61963</v>
      </c>
    </row>
    <row r="99" spans="1:11" ht="18" customHeight="1" thickBot="1">
      <c r="B99" s="43"/>
      <c r="F99" s="356"/>
      <c r="G99" s="356"/>
      <c r="H99" s="356"/>
      <c r="I99" s="356"/>
      <c r="J99" s="356"/>
      <c r="K99" s="356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7">
        <v>6266.3</v>
      </c>
      <c r="G102" s="57"/>
      <c r="H102" s="347">
        <v>311158</v>
      </c>
      <c r="I102" s="167">
        <v>201150</v>
      </c>
      <c r="J102" s="347"/>
      <c r="K102" s="348">
        <f>(H102+I102)-J102</f>
        <v>512308</v>
      </c>
    </row>
    <row r="103" spans="1:11" ht="18" customHeight="1">
      <c r="A103" s="45" t="s">
        <v>333</v>
      </c>
      <c r="B103" s="818" t="s">
        <v>226</v>
      </c>
      <c r="C103" s="818"/>
      <c r="F103" s="57">
        <v>52.5</v>
      </c>
      <c r="G103" s="57">
        <v>59</v>
      </c>
      <c r="H103" s="347">
        <v>4690</v>
      </c>
      <c r="I103" s="167">
        <f>H103*F$114</f>
        <v>3236.1</v>
      </c>
      <c r="J103" s="347"/>
      <c r="K103" s="348">
        <f>(H103+I103)-J103</f>
        <v>7926.1</v>
      </c>
    </row>
    <row r="104" spans="1:11" ht="18" customHeight="1">
      <c r="A104" s="45" t="s">
        <v>334</v>
      </c>
      <c r="B104" s="817" t="s">
        <v>736</v>
      </c>
      <c r="C104" s="864"/>
      <c r="D104" s="865"/>
      <c r="F104" s="57"/>
      <c r="G104" s="57"/>
      <c r="H104" s="347">
        <v>378900</v>
      </c>
      <c r="I104" s="167">
        <v>239394</v>
      </c>
      <c r="J104" s="347"/>
      <c r="K104" s="348">
        <f>(H104+I104)-J104</f>
        <v>618294</v>
      </c>
    </row>
    <row r="105" spans="1:11" ht="18" customHeight="1">
      <c r="A105" s="45" t="s">
        <v>336</v>
      </c>
      <c r="B105" s="817"/>
      <c r="C105" s="864"/>
      <c r="D105" s="865"/>
      <c r="F105" s="57"/>
      <c r="G105" s="57"/>
      <c r="H105" s="347"/>
      <c r="I105" s="167">
        <f>H105*F$114</f>
        <v>0</v>
      </c>
      <c r="J105" s="347"/>
      <c r="K105" s="348">
        <f>(H105+I105)-J105</f>
        <v>0</v>
      </c>
    </row>
    <row r="106" spans="1:11" ht="18" customHeight="1">
      <c r="A106" s="45" t="s">
        <v>337</v>
      </c>
      <c r="B106" s="817"/>
      <c r="C106" s="864"/>
      <c r="D106" s="865"/>
      <c r="F106" s="57"/>
      <c r="G106" s="57"/>
      <c r="H106" s="347"/>
      <c r="I106" s="167">
        <f>H106*F$114</f>
        <v>0</v>
      </c>
      <c r="J106" s="347"/>
      <c r="K106" s="348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350">
        <f t="shared" ref="F108:K108" si="12">SUM(F102:F106)</f>
        <v>6318.8</v>
      </c>
      <c r="G108" s="350">
        <f t="shared" si="12"/>
        <v>59</v>
      </c>
      <c r="H108" s="348">
        <f t="shared" si="12"/>
        <v>694748</v>
      </c>
      <c r="I108" s="348">
        <f t="shared" si="12"/>
        <v>443780.1</v>
      </c>
      <c r="J108" s="348">
        <f t="shared" si="12"/>
        <v>0</v>
      </c>
      <c r="K108" s="348">
        <f t="shared" si="12"/>
        <v>1138528.1000000001</v>
      </c>
    </row>
    <row r="109" spans="1:11" ht="18" customHeight="1" thickBot="1">
      <c r="A109" s="374"/>
      <c r="B109" s="92"/>
      <c r="C109" s="375"/>
      <c r="D109" s="375"/>
      <c r="E109" s="375"/>
      <c r="F109" s="356"/>
      <c r="G109" s="356"/>
      <c r="H109" s="356"/>
      <c r="I109" s="356"/>
      <c r="J109" s="356"/>
      <c r="K109" s="356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347">
        <v>26812613.400000002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376">
        <v>0.69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354">
        <v>386790197.40000004</v>
      </c>
    </row>
    <row r="118" spans="1:6">
      <c r="A118" s="45" t="s">
        <v>343</v>
      </c>
      <c r="B118" s="49" t="s">
        <v>237</v>
      </c>
      <c r="F118" s="347"/>
    </row>
    <row r="119" spans="1:6">
      <c r="A119" s="45" t="s">
        <v>344</v>
      </c>
      <c r="B119" s="43" t="s">
        <v>238</v>
      </c>
      <c r="F119" s="354">
        <f>SUM(F117:F118)</f>
        <v>386790197.40000004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354">
        <v>379906397.09000003</v>
      </c>
    </row>
    <row r="122" spans="1:6">
      <c r="A122" s="45"/>
    </row>
    <row r="123" spans="1:6">
      <c r="A123" s="45" t="s">
        <v>347</v>
      </c>
      <c r="B123" s="43" t="s">
        <v>348</v>
      </c>
      <c r="F123" s="354">
        <v>24138380.310000002</v>
      </c>
    </row>
    <row r="124" spans="1:6">
      <c r="A124" s="45"/>
    </row>
    <row r="125" spans="1:6">
      <c r="A125" s="45" t="s">
        <v>349</v>
      </c>
      <c r="B125" s="43" t="s">
        <v>350</v>
      </c>
      <c r="F125" s="354">
        <v>13278135.290000001</v>
      </c>
    </row>
    <row r="126" spans="1:6">
      <c r="A126" s="45"/>
    </row>
    <row r="127" spans="1:6">
      <c r="A127" s="45" t="s">
        <v>351</v>
      </c>
      <c r="B127" s="43" t="s">
        <v>352</v>
      </c>
      <c r="F127" s="354">
        <v>37416515.600000001</v>
      </c>
    </row>
    <row r="128" spans="1:6">
      <c r="A128" s="45"/>
    </row>
    <row r="129" spans="1:11" ht="25.5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>
      <c r="A130" s="48" t="s">
        <v>239</v>
      </c>
      <c r="B130" s="43" t="s">
        <v>240</v>
      </c>
    </row>
    <row r="131" spans="1:11">
      <c r="A131" s="45" t="s">
        <v>353</v>
      </c>
      <c r="B131" s="49" t="s">
        <v>242</v>
      </c>
      <c r="F131" s="57"/>
      <c r="G131" s="57"/>
      <c r="H131" s="347"/>
      <c r="I131" s="167">
        <v>0</v>
      </c>
      <c r="J131" s="347"/>
      <c r="K131" s="348">
        <f>(H131+I131)-J131</f>
        <v>0</v>
      </c>
    </row>
    <row r="132" spans="1:11">
      <c r="A132" s="45" t="s">
        <v>354</v>
      </c>
      <c r="B132" s="49" t="s">
        <v>128</v>
      </c>
      <c r="F132" s="57"/>
      <c r="G132" s="57"/>
      <c r="H132" s="347"/>
      <c r="I132" s="167">
        <v>0</v>
      </c>
      <c r="J132" s="347"/>
      <c r="K132" s="348">
        <f>(H132+I132)-J132</f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>
        <v>0</v>
      </c>
      <c r="J133" s="347"/>
      <c r="K133" s="348">
        <f>(H133+I133)-J133</f>
        <v>0</v>
      </c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>
        <v>0</v>
      </c>
      <c r="J134" s="347"/>
      <c r="K134" s="348">
        <f>(H134+I134)-J134</f>
        <v>0</v>
      </c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>
        <v>0</v>
      </c>
      <c r="J135" s="347"/>
      <c r="K135" s="348">
        <f>(H135+I135)-J135</f>
        <v>0</v>
      </c>
    </row>
    <row r="136" spans="1:11">
      <c r="A136" s="48"/>
    </row>
    <row r="137" spans="1:11">
      <c r="A137" s="48" t="s">
        <v>358</v>
      </c>
      <c r="B137" s="43" t="s">
        <v>359</v>
      </c>
      <c r="F137" s="350">
        <f t="shared" ref="F137:K137" si="13">SUM(F131:F135)</f>
        <v>0</v>
      </c>
      <c r="G137" s="350">
        <f t="shared" si="13"/>
        <v>0</v>
      </c>
      <c r="H137" s="348">
        <f t="shared" si="13"/>
        <v>0</v>
      </c>
      <c r="I137" s="348">
        <f t="shared" si="13"/>
        <v>0</v>
      </c>
      <c r="J137" s="348">
        <f t="shared" si="13"/>
        <v>0</v>
      </c>
      <c r="K137" s="348">
        <f t="shared" si="13"/>
        <v>0</v>
      </c>
    </row>
    <row r="138" spans="1:11">
      <c r="A138" s="49"/>
    </row>
    <row r="139" spans="1:11" ht="25.5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>
      <c r="A140" s="48" t="s">
        <v>244</v>
      </c>
      <c r="B140" s="43" t="s">
        <v>245</v>
      </c>
    </row>
    <row r="141" spans="1:11">
      <c r="A141" s="45" t="s">
        <v>275</v>
      </c>
      <c r="B141" s="43" t="s">
        <v>246</v>
      </c>
      <c r="F141" s="377">
        <f t="shared" ref="F141:K141" si="14">F36</f>
        <v>37229</v>
      </c>
      <c r="G141" s="377">
        <f t="shared" si="14"/>
        <v>215951</v>
      </c>
      <c r="H141" s="377">
        <f t="shared" si="14"/>
        <v>3244742</v>
      </c>
      <c r="I141" s="377">
        <f t="shared" si="14"/>
        <v>1790440</v>
      </c>
      <c r="J141" s="377">
        <f t="shared" si="14"/>
        <v>321510</v>
      </c>
      <c r="K141" s="377">
        <f t="shared" si="14"/>
        <v>4713672</v>
      </c>
    </row>
    <row r="142" spans="1:11">
      <c r="A142" s="45" t="s">
        <v>286</v>
      </c>
      <c r="B142" s="43" t="s">
        <v>125</v>
      </c>
      <c r="F142" s="377">
        <f t="shared" ref="F142:K142" si="15">F49</f>
        <v>12813.3</v>
      </c>
      <c r="G142" s="377">
        <f t="shared" si="15"/>
        <v>7608</v>
      </c>
      <c r="H142" s="377">
        <f t="shared" si="15"/>
        <v>2820693</v>
      </c>
      <c r="I142" s="377">
        <f t="shared" si="15"/>
        <v>1933134</v>
      </c>
      <c r="J142" s="377">
        <f t="shared" si="15"/>
        <v>11550</v>
      </c>
      <c r="K142" s="377">
        <f t="shared" si="15"/>
        <v>4742277</v>
      </c>
    </row>
    <row r="143" spans="1:11">
      <c r="A143" s="45" t="s">
        <v>305</v>
      </c>
      <c r="B143" s="43" t="s">
        <v>247</v>
      </c>
      <c r="F143" s="377">
        <f t="shared" ref="F143:K143" si="16">F64</f>
        <v>1121</v>
      </c>
      <c r="G143" s="377">
        <f t="shared" si="16"/>
        <v>40367</v>
      </c>
      <c r="H143" s="377">
        <f t="shared" si="16"/>
        <v>4189092</v>
      </c>
      <c r="I143" s="377">
        <f t="shared" si="16"/>
        <v>5653509</v>
      </c>
      <c r="J143" s="377">
        <f t="shared" si="16"/>
        <v>793331</v>
      </c>
      <c r="K143" s="377">
        <f t="shared" si="16"/>
        <v>9049270</v>
      </c>
    </row>
    <row r="144" spans="1:11">
      <c r="A144" s="45" t="s">
        <v>311</v>
      </c>
      <c r="B144" s="43" t="s">
        <v>127</v>
      </c>
      <c r="F144" s="377">
        <f t="shared" ref="F144:K144" si="17">F74</f>
        <v>4239.6000000000004</v>
      </c>
      <c r="G144" s="377">
        <f t="shared" si="17"/>
        <v>1305</v>
      </c>
      <c r="H144" s="377">
        <f t="shared" si="17"/>
        <v>170897</v>
      </c>
      <c r="I144" s="377">
        <f t="shared" si="17"/>
        <v>117921</v>
      </c>
      <c r="J144" s="377">
        <f t="shared" si="17"/>
        <v>0</v>
      </c>
      <c r="K144" s="377">
        <f t="shared" si="17"/>
        <v>288818</v>
      </c>
    </row>
    <row r="145" spans="1:11">
      <c r="A145" s="45" t="s">
        <v>317</v>
      </c>
      <c r="B145" s="43" t="s">
        <v>248</v>
      </c>
      <c r="F145" s="377">
        <f t="shared" ref="F145:K145" si="18">F82</f>
        <v>0</v>
      </c>
      <c r="G145" s="377">
        <f t="shared" si="18"/>
        <v>40848</v>
      </c>
      <c r="H145" s="377">
        <f t="shared" si="18"/>
        <v>189993</v>
      </c>
      <c r="I145" s="377">
        <f t="shared" si="18"/>
        <v>0</v>
      </c>
      <c r="J145" s="377">
        <f t="shared" si="18"/>
        <v>0</v>
      </c>
      <c r="K145" s="377">
        <f t="shared" si="18"/>
        <v>189993</v>
      </c>
    </row>
    <row r="146" spans="1:11">
      <c r="A146" s="45" t="s">
        <v>331</v>
      </c>
      <c r="B146" s="43" t="s">
        <v>249</v>
      </c>
      <c r="F146" s="377">
        <f t="shared" ref="F146:K146" si="19">F98</f>
        <v>0</v>
      </c>
      <c r="G146" s="377">
        <f t="shared" si="19"/>
        <v>48</v>
      </c>
      <c r="H146" s="377">
        <f t="shared" si="19"/>
        <v>36663</v>
      </c>
      <c r="I146" s="377">
        <f t="shared" si="19"/>
        <v>25300</v>
      </c>
      <c r="J146" s="377">
        <f t="shared" si="19"/>
        <v>0</v>
      </c>
      <c r="K146" s="377">
        <f t="shared" si="19"/>
        <v>61963</v>
      </c>
    </row>
    <row r="147" spans="1:11">
      <c r="A147" s="45" t="s">
        <v>338</v>
      </c>
      <c r="B147" s="43" t="s">
        <v>129</v>
      </c>
      <c r="F147" s="350">
        <f t="shared" ref="F147:K147" si="20">F108</f>
        <v>6318.8</v>
      </c>
      <c r="G147" s="350">
        <f t="shared" si="20"/>
        <v>59</v>
      </c>
      <c r="H147" s="350">
        <f t="shared" si="20"/>
        <v>694748</v>
      </c>
      <c r="I147" s="350">
        <f t="shared" si="20"/>
        <v>443780.1</v>
      </c>
      <c r="J147" s="350">
        <f t="shared" si="20"/>
        <v>0</v>
      </c>
      <c r="K147" s="350">
        <f t="shared" si="20"/>
        <v>1138528.1000000001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26812613.400000002</v>
      </c>
    </row>
    <row r="149" spans="1:11">
      <c r="A149" s="45" t="s">
        <v>358</v>
      </c>
      <c r="B149" s="43" t="s">
        <v>250</v>
      </c>
      <c r="F149" s="350">
        <f t="shared" ref="F149:K149" si="21">F137</f>
        <v>0</v>
      </c>
      <c r="G149" s="350">
        <f t="shared" si="21"/>
        <v>0</v>
      </c>
      <c r="H149" s="350">
        <f t="shared" si="21"/>
        <v>0</v>
      </c>
      <c r="I149" s="350">
        <f t="shared" si="21"/>
        <v>0</v>
      </c>
      <c r="J149" s="350">
        <f t="shared" si="21"/>
        <v>0</v>
      </c>
      <c r="K149" s="350">
        <f t="shared" si="21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50">
        <f>H18</f>
        <v>12042149.302069999</v>
      </c>
      <c r="I150" s="350">
        <f>I18</f>
        <v>0</v>
      </c>
      <c r="J150" s="350">
        <f>J18</f>
        <v>10297543.3196564</v>
      </c>
      <c r="K150" s="350">
        <f>K18</f>
        <v>1744605.9824135993</v>
      </c>
    </row>
    <row r="151" spans="1:11">
      <c r="B151" s="43"/>
      <c r="F151" s="358"/>
      <c r="G151" s="358"/>
      <c r="H151" s="358"/>
      <c r="I151" s="358"/>
      <c r="J151" s="358"/>
      <c r="K151" s="358"/>
    </row>
    <row r="152" spans="1:11">
      <c r="A152" s="48" t="s">
        <v>360</v>
      </c>
      <c r="B152" s="43" t="s">
        <v>245</v>
      </c>
      <c r="F152" s="381">
        <f t="shared" ref="F152:K152" si="22">SUM(F141:F150)</f>
        <v>61721.700000000004</v>
      </c>
      <c r="G152" s="381">
        <f t="shared" si="22"/>
        <v>306186</v>
      </c>
      <c r="H152" s="381">
        <f t="shared" si="22"/>
        <v>23388977.302069999</v>
      </c>
      <c r="I152" s="381">
        <f t="shared" si="22"/>
        <v>9964084.0999999996</v>
      </c>
      <c r="J152" s="381">
        <f t="shared" si="22"/>
        <v>11423934.3196564</v>
      </c>
      <c r="K152" s="381">
        <f t="shared" si="22"/>
        <v>48741740.482413597</v>
      </c>
    </row>
    <row r="154" spans="1:11">
      <c r="A154" s="48" t="s">
        <v>361</v>
      </c>
      <c r="B154" s="43" t="s">
        <v>252</v>
      </c>
      <c r="F154" s="383">
        <f>K152/F121</f>
        <v>0.12829934124764594</v>
      </c>
    </row>
    <row r="155" spans="1:11">
      <c r="A155" s="48" t="s">
        <v>362</v>
      </c>
      <c r="B155" s="43" t="s">
        <v>253</v>
      </c>
      <c r="F155" s="383">
        <f>K152/F127</f>
        <v>1.3026798380556204</v>
      </c>
      <c r="G155" s="43"/>
    </row>
    <row r="156" spans="1:11">
      <c r="G156" s="43"/>
    </row>
  </sheetData>
  <mergeCells count="32">
    <mergeCell ref="B134:D134"/>
    <mergeCell ref="B135:D135"/>
    <mergeCell ref="B96:D96"/>
    <mergeCell ref="B103:C103"/>
    <mergeCell ref="B104:D104"/>
    <mergeCell ref="B105:D105"/>
    <mergeCell ref="B106:D106"/>
    <mergeCell ref="B133:D133"/>
    <mergeCell ref="B95:D95"/>
    <mergeCell ref="B44:D44"/>
    <mergeCell ref="B45:D45"/>
    <mergeCell ref="B46:D46"/>
    <mergeCell ref="B47:D47"/>
    <mergeCell ref="B52:C52"/>
    <mergeCell ref="B53:D53"/>
    <mergeCell ref="B55:D55"/>
    <mergeCell ref="B56:D56"/>
    <mergeCell ref="B62:D62"/>
    <mergeCell ref="B90:C90"/>
    <mergeCell ref="B94:D94"/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</mergeCells>
  <hyperlinks>
    <hyperlink ref="C11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RowHeight="12.75"/>
  <cols>
    <col min="1" max="1" width="8.28515625" style="135" customWidth="1"/>
    <col min="2" max="2" width="55.42578125" style="49" bestFit="1" customWidth="1"/>
    <col min="3" max="3" width="9.5703125" style="49" customWidth="1"/>
    <col min="4" max="4" width="9.140625" style="49"/>
    <col min="5" max="5" width="12.42578125" style="49" customWidth="1"/>
    <col min="6" max="6" width="18.5703125" style="49" customWidth="1"/>
    <col min="7" max="7" width="23.5703125" style="49" customWidth="1"/>
    <col min="8" max="8" width="17.140625" style="384" customWidth="1"/>
    <col min="9" max="9" width="21.140625" style="384" customWidth="1"/>
    <col min="10" max="10" width="19.85546875" style="384" customWidth="1"/>
    <col min="11" max="11" width="17.5703125" style="384" customWidth="1"/>
    <col min="12" max="16384" width="9.14062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75">
      <c r="D2" s="873" t="s">
        <v>133</v>
      </c>
      <c r="E2" s="873"/>
      <c r="F2" s="873"/>
      <c r="G2" s="873"/>
      <c r="H2" s="873"/>
    </row>
    <row r="3" spans="1:11" ht="15">
      <c r="B3" s="43" t="s">
        <v>134</v>
      </c>
      <c r="F3" s="44"/>
    </row>
    <row r="5" spans="1:11">
      <c r="B5" s="45" t="s">
        <v>135</v>
      </c>
      <c r="C5" s="826" t="s">
        <v>431</v>
      </c>
      <c r="D5" s="874"/>
      <c r="E5" s="874"/>
      <c r="F5" s="874"/>
      <c r="G5" s="875"/>
    </row>
    <row r="6" spans="1:11">
      <c r="B6" s="45" t="s">
        <v>136</v>
      </c>
      <c r="C6" s="829">
        <v>5</v>
      </c>
      <c r="D6" s="876"/>
      <c r="E6" s="876"/>
      <c r="F6" s="876"/>
      <c r="G6" s="877"/>
    </row>
    <row r="7" spans="1:11">
      <c r="B7" s="45" t="s">
        <v>137</v>
      </c>
      <c r="C7" s="878">
        <v>2207</v>
      </c>
      <c r="D7" s="879"/>
      <c r="E7" s="879"/>
      <c r="F7" s="879"/>
      <c r="G7" s="880"/>
    </row>
    <row r="9" spans="1:11">
      <c r="B9" s="45" t="s">
        <v>138</v>
      </c>
      <c r="C9" s="826" t="s">
        <v>432</v>
      </c>
      <c r="D9" s="874"/>
      <c r="E9" s="874"/>
      <c r="F9" s="874"/>
      <c r="G9" s="875"/>
    </row>
    <row r="10" spans="1:11">
      <c r="B10" s="45" t="s">
        <v>140</v>
      </c>
      <c r="C10" s="835" t="s">
        <v>433</v>
      </c>
      <c r="D10" s="881"/>
      <c r="E10" s="881"/>
      <c r="F10" s="881"/>
      <c r="G10" s="882"/>
    </row>
    <row r="11" spans="1:11">
      <c r="B11" s="45" t="s">
        <v>142</v>
      </c>
      <c r="C11" s="838" t="s">
        <v>434</v>
      </c>
      <c r="D11" s="872"/>
      <c r="E11" s="872"/>
      <c r="F11" s="872"/>
      <c r="G11" s="872"/>
    </row>
    <row r="12" spans="1:11">
      <c r="B12" s="45"/>
      <c r="C12" s="45"/>
      <c r="D12" s="45"/>
      <c r="E12" s="45"/>
      <c r="F12" s="45"/>
      <c r="G12" s="45"/>
    </row>
    <row r="13" spans="1:11">
      <c r="B13" s="840"/>
      <c r="C13" s="841"/>
      <c r="D13" s="841"/>
      <c r="E13" s="841"/>
      <c r="F13" s="841"/>
      <c r="G13" s="841"/>
      <c r="H13" s="842"/>
      <c r="I13" s="454"/>
    </row>
    <row r="14" spans="1:11">
      <c r="B14" s="46"/>
    </row>
    <row r="15" spans="1:11">
      <c r="B15" s="46"/>
    </row>
    <row r="16" spans="1:11" ht="25.5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8887761</v>
      </c>
      <c r="I18" s="167">
        <v>0</v>
      </c>
      <c r="J18" s="347">
        <v>7600147</v>
      </c>
      <c r="K18" s="348">
        <v>1287614</v>
      </c>
    </row>
    <row r="19" spans="1:11" ht="25.5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</row>
    <row r="21" spans="1:11">
      <c r="A21" s="45" t="s">
        <v>164</v>
      </c>
      <c r="B21" s="49" t="s">
        <v>156</v>
      </c>
      <c r="F21" s="57">
        <v>11921</v>
      </c>
      <c r="G21" s="57">
        <v>29731</v>
      </c>
      <c r="H21" s="347">
        <v>675665</v>
      </c>
      <c r="I21" s="167">
        <v>378845</v>
      </c>
      <c r="J21" s="347">
        <v>76677</v>
      </c>
      <c r="K21" s="348">
        <v>977833</v>
      </c>
    </row>
    <row r="22" spans="1:11">
      <c r="A22" s="45" t="s">
        <v>261</v>
      </c>
      <c r="B22" s="49" t="s">
        <v>157</v>
      </c>
      <c r="F22" s="57">
        <v>0</v>
      </c>
      <c r="G22" s="57">
        <v>0</v>
      </c>
      <c r="H22" s="347">
        <v>0</v>
      </c>
      <c r="I22" s="167">
        <v>0</v>
      </c>
      <c r="J22" s="347">
        <v>0</v>
      </c>
      <c r="K22" s="348">
        <v>0</v>
      </c>
    </row>
    <row r="23" spans="1:11">
      <c r="A23" s="45" t="s">
        <v>262</v>
      </c>
      <c r="B23" s="49" t="s">
        <v>158</v>
      </c>
      <c r="F23" s="57">
        <v>6829</v>
      </c>
      <c r="G23" s="57">
        <v>6854</v>
      </c>
      <c r="H23" s="347">
        <v>442206</v>
      </c>
      <c r="I23" s="167">
        <v>247945</v>
      </c>
      <c r="J23" s="347">
        <v>513242</v>
      </c>
      <c r="K23" s="348">
        <v>176909</v>
      </c>
    </row>
    <row r="24" spans="1:11">
      <c r="A24" s="45" t="s">
        <v>263</v>
      </c>
      <c r="B24" s="49" t="s">
        <v>159</v>
      </c>
      <c r="F24" s="57">
        <v>19293</v>
      </c>
      <c r="G24" s="57">
        <v>23221</v>
      </c>
      <c r="H24" s="347">
        <v>458149</v>
      </c>
      <c r="I24" s="167">
        <v>256884</v>
      </c>
      <c r="J24" s="347">
        <v>161368</v>
      </c>
      <c r="K24" s="348">
        <v>553665</v>
      </c>
    </row>
    <row r="25" spans="1:11">
      <c r="A25" s="45" t="s">
        <v>264</v>
      </c>
      <c r="B25" s="49" t="s">
        <v>160</v>
      </c>
      <c r="F25" s="57">
        <v>0</v>
      </c>
      <c r="G25" s="57">
        <v>0</v>
      </c>
      <c r="H25" s="347">
        <v>0</v>
      </c>
      <c r="I25" s="167">
        <v>0</v>
      </c>
      <c r="J25" s="347">
        <v>0</v>
      </c>
      <c r="K25" s="348">
        <v>0</v>
      </c>
    </row>
    <row r="26" spans="1:11">
      <c r="A26" s="45" t="s">
        <v>265</v>
      </c>
      <c r="B26" s="49" t="s">
        <v>161</v>
      </c>
      <c r="F26" s="57">
        <v>0</v>
      </c>
      <c r="G26" s="57">
        <v>0</v>
      </c>
      <c r="H26" s="347">
        <v>0</v>
      </c>
      <c r="I26" s="167">
        <v>0</v>
      </c>
      <c r="J26" s="347">
        <v>0</v>
      </c>
      <c r="K26" s="348">
        <v>0</v>
      </c>
    </row>
    <row r="27" spans="1:11">
      <c r="A27" s="45" t="s">
        <v>266</v>
      </c>
      <c r="B27" s="49" t="s">
        <v>162</v>
      </c>
      <c r="F27" s="57">
        <v>0</v>
      </c>
      <c r="G27" s="57">
        <v>0</v>
      </c>
      <c r="H27" s="347">
        <v>0</v>
      </c>
      <c r="I27" s="167">
        <v>0</v>
      </c>
      <c r="J27" s="347">
        <v>0</v>
      </c>
      <c r="K27" s="348">
        <v>0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17547</v>
      </c>
      <c r="G29" s="57">
        <v>6321</v>
      </c>
      <c r="H29" s="347">
        <v>914132</v>
      </c>
      <c r="I29" s="167">
        <v>512554</v>
      </c>
      <c r="J29" s="347">
        <v>435453</v>
      </c>
      <c r="K29" s="348">
        <v>991233</v>
      </c>
    </row>
    <row r="30" spans="1:11">
      <c r="A30" s="45" t="s">
        <v>269</v>
      </c>
      <c r="B30" s="814"/>
      <c r="C30" s="815"/>
      <c r="D30" s="816"/>
      <c r="F30" s="57"/>
      <c r="G30" s="57"/>
      <c r="H30" s="347"/>
      <c r="I30" s="167"/>
      <c r="J30" s="347"/>
      <c r="K30" s="348"/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332"/>
      <c r="C32" s="333"/>
      <c r="D32" s="334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332"/>
      <c r="C33" s="333"/>
      <c r="D33" s="334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55590</v>
      </c>
      <c r="G36" s="350">
        <f t="shared" si="0"/>
        <v>66127</v>
      </c>
      <c r="H36" s="348">
        <f t="shared" si="0"/>
        <v>2490152</v>
      </c>
      <c r="I36" s="348">
        <f t="shared" si="0"/>
        <v>1396228</v>
      </c>
      <c r="J36" s="348">
        <f t="shared" si="0"/>
        <v>1186740</v>
      </c>
      <c r="K36" s="348">
        <f t="shared" si="0"/>
        <v>2699640</v>
      </c>
    </row>
    <row r="37" spans="1:11" ht="13.5" thickBot="1">
      <c r="B37" s="43"/>
      <c r="F37" s="351"/>
      <c r="G37" s="351"/>
      <c r="H37" s="352"/>
      <c r="I37" s="352"/>
      <c r="J37" s="352"/>
      <c r="K37" s="353"/>
    </row>
    <row r="38" spans="1:11" ht="25.5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</row>
    <row r="40" spans="1:11">
      <c r="A40" s="45" t="s">
        <v>277</v>
      </c>
      <c r="B40" s="49" t="s">
        <v>170</v>
      </c>
      <c r="F40" s="57">
        <v>0</v>
      </c>
      <c r="G40" s="57">
        <v>0</v>
      </c>
      <c r="H40" s="347">
        <v>0</v>
      </c>
      <c r="I40" s="167">
        <v>0</v>
      </c>
      <c r="J40" s="347">
        <v>0</v>
      </c>
      <c r="K40" s="348">
        <v>0</v>
      </c>
    </row>
    <row r="41" spans="1:11">
      <c r="A41" s="45" t="s">
        <v>278</v>
      </c>
      <c r="B41" s="818" t="s">
        <v>172</v>
      </c>
      <c r="C41" s="818"/>
      <c r="F41" s="57">
        <v>0</v>
      </c>
      <c r="G41" s="57">
        <v>0</v>
      </c>
      <c r="H41" s="347">
        <v>0</v>
      </c>
      <c r="I41" s="167">
        <v>0</v>
      </c>
      <c r="J41" s="347">
        <v>0</v>
      </c>
      <c r="K41" s="348">
        <v>0</v>
      </c>
    </row>
    <row r="42" spans="1:11">
      <c r="A42" s="45" t="s">
        <v>279</v>
      </c>
      <c r="B42" s="49" t="s">
        <v>174</v>
      </c>
      <c r="F42" s="57">
        <v>0</v>
      </c>
      <c r="G42" s="57">
        <v>0</v>
      </c>
      <c r="H42" s="347">
        <v>0</v>
      </c>
      <c r="I42" s="167">
        <v>0</v>
      </c>
      <c r="J42" s="347">
        <v>0</v>
      </c>
      <c r="K42" s="348">
        <v>0</v>
      </c>
    </row>
    <row r="43" spans="1:11">
      <c r="A43" s="45" t="s">
        <v>280</v>
      </c>
      <c r="B43" s="49" t="s">
        <v>176</v>
      </c>
      <c r="F43" s="57">
        <v>0</v>
      </c>
      <c r="G43" s="57">
        <v>0</v>
      </c>
      <c r="H43" s="347">
        <v>103372</v>
      </c>
      <c r="I43" s="167">
        <v>0</v>
      </c>
      <c r="J43" s="347">
        <v>0</v>
      </c>
      <c r="K43" s="348">
        <v>103372</v>
      </c>
    </row>
    <row r="44" spans="1:11">
      <c r="A44" s="45" t="s">
        <v>281</v>
      </c>
      <c r="B44" s="814"/>
      <c r="C44" s="815"/>
      <c r="D44" s="816"/>
      <c r="F44" s="57"/>
      <c r="G44" s="57"/>
      <c r="H44" s="347"/>
      <c r="I44" s="167"/>
      <c r="J44" s="347"/>
      <c r="K44" s="354"/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1">SUM(F40:F47)</f>
        <v>0</v>
      </c>
      <c r="G49" s="355">
        <f t="shared" si="1"/>
        <v>0</v>
      </c>
      <c r="H49" s="348">
        <f t="shared" si="1"/>
        <v>103372</v>
      </c>
      <c r="I49" s="348">
        <f t="shared" si="1"/>
        <v>0</v>
      </c>
      <c r="J49" s="348">
        <f t="shared" si="1"/>
        <v>0</v>
      </c>
      <c r="K49" s="348">
        <f t="shared" si="1"/>
        <v>103372</v>
      </c>
    </row>
    <row r="50" spans="1:11" ht="13.5" thickBot="1">
      <c r="G50" s="356"/>
      <c r="H50" s="352"/>
      <c r="I50" s="352"/>
      <c r="J50" s="352"/>
      <c r="K50" s="352"/>
    </row>
    <row r="51" spans="1:11" ht="25.5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</row>
    <row r="53" spans="1:11">
      <c r="A53" s="45" t="s">
        <v>287</v>
      </c>
      <c r="B53" s="868" t="s">
        <v>435</v>
      </c>
      <c r="C53" s="868"/>
      <c r="D53" s="868"/>
      <c r="F53" s="57">
        <v>49920</v>
      </c>
      <c r="G53" s="57">
        <v>10023</v>
      </c>
      <c r="H53" s="347">
        <v>2055891</v>
      </c>
      <c r="I53" s="167">
        <v>1152738</v>
      </c>
      <c r="J53" s="347">
        <v>0</v>
      </c>
      <c r="K53" s="348">
        <v>3208629</v>
      </c>
    </row>
    <row r="54" spans="1:11">
      <c r="A54" s="45" t="s">
        <v>289</v>
      </c>
      <c r="B54" s="817" t="s">
        <v>436</v>
      </c>
      <c r="C54" s="864"/>
      <c r="D54" s="865"/>
      <c r="F54" s="57">
        <v>8760</v>
      </c>
      <c r="G54" s="57">
        <v>0</v>
      </c>
      <c r="H54" s="347">
        <v>730000</v>
      </c>
      <c r="I54" s="167">
        <v>409311</v>
      </c>
      <c r="J54" s="347">
        <v>0</v>
      </c>
      <c r="K54" s="348">
        <v>1139311</v>
      </c>
    </row>
    <row r="55" spans="1:11">
      <c r="A55" s="45" t="s">
        <v>291</v>
      </c>
      <c r="B55" s="335" t="s">
        <v>437</v>
      </c>
      <c r="C55" s="337"/>
      <c r="D55" s="338"/>
      <c r="F55" s="57">
        <v>157680</v>
      </c>
      <c r="G55" s="57">
        <v>0</v>
      </c>
      <c r="H55" s="347">
        <v>2194854</v>
      </c>
      <c r="I55" s="167">
        <v>1230655</v>
      </c>
      <c r="J55" s="347">
        <v>0</v>
      </c>
      <c r="K55" s="348">
        <v>3425509</v>
      </c>
    </row>
    <row r="56" spans="1:11">
      <c r="A56" s="45" t="s">
        <v>293</v>
      </c>
      <c r="B56" s="335" t="s">
        <v>438</v>
      </c>
      <c r="C56" s="337"/>
      <c r="D56" s="338"/>
      <c r="F56" s="57">
        <v>17520</v>
      </c>
      <c r="G56" s="57">
        <v>0</v>
      </c>
      <c r="H56" s="347">
        <v>950000</v>
      </c>
      <c r="I56" s="167">
        <v>532665</v>
      </c>
      <c r="J56" s="347">
        <v>0</v>
      </c>
      <c r="K56" s="348">
        <v>1482665</v>
      </c>
    </row>
    <row r="57" spans="1:11">
      <c r="A57" s="45" t="s">
        <v>295</v>
      </c>
      <c r="B57" s="335" t="s">
        <v>439</v>
      </c>
      <c r="C57" s="337"/>
      <c r="D57" s="338"/>
      <c r="F57" s="70">
        <v>8760</v>
      </c>
      <c r="G57" s="57">
        <v>0</v>
      </c>
      <c r="H57" s="347">
        <v>877264</v>
      </c>
      <c r="I57" s="167">
        <v>491882</v>
      </c>
      <c r="J57" s="347">
        <v>0</v>
      </c>
      <c r="K57" s="348">
        <v>1369146</v>
      </c>
    </row>
    <row r="58" spans="1:11">
      <c r="A58" s="45" t="s">
        <v>298</v>
      </c>
      <c r="B58" s="335" t="s">
        <v>440</v>
      </c>
      <c r="C58" s="337"/>
      <c r="D58" s="338"/>
      <c r="F58" s="70">
        <v>0</v>
      </c>
      <c r="G58" s="70">
        <v>0</v>
      </c>
      <c r="H58" s="347">
        <v>228820</v>
      </c>
      <c r="I58" s="167">
        <v>0</v>
      </c>
      <c r="J58" s="347">
        <v>0</v>
      </c>
      <c r="K58" s="348">
        <v>228820</v>
      </c>
    </row>
    <row r="59" spans="1:11">
      <c r="A59" s="45" t="s">
        <v>300</v>
      </c>
      <c r="B59" s="335" t="s">
        <v>441</v>
      </c>
      <c r="C59" s="337"/>
      <c r="D59" s="338"/>
      <c r="F59" s="70">
        <v>10424</v>
      </c>
      <c r="G59" s="70">
        <v>0</v>
      </c>
      <c r="H59" s="347">
        <v>693901</v>
      </c>
      <c r="I59" s="167">
        <v>389070</v>
      </c>
      <c r="J59" s="347">
        <v>0</v>
      </c>
      <c r="K59" s="348">
        <v>1082971</v>
      </c>
    </row>
    <row r="60" spans="1:11">
      <c r="A60" s="45" t="s">
        <v>302</v>
      </c>
      <c r="B60" s="335" t="s">
        <v>442</v>
      </c>
      <c r="C60" s="337"/>
      <c r="D60" s="338"/>
      <c r="F60" s="57">
        <v>0</v>
      </c>
      <c r="G60" s="57">
        <v>0</v>
      </c>
      <c r="H60" s="347">
        <v>200459</v>
      </c>
      <c r="I60" s="167">
        <v>0</v>
      </c>
      <c r="J60" s="347">
        <v>0</v>
      </c>
      <c r="K60" s="348">
        <v>200459</v>
      </c>
    </row>
    <row r="61" spans="1:11">
      <c r="A61" s="45" t="s">
        <v>303</v>
      </c>
      <c r="B61" s="335" t="s">
        <v>443</v>
      </c>
      <c r="C61" s="337"/>
      <c r="D61" s="338"/>
      <c r="F61" s="57">
        <v>5007</v>
      </c>
      <c r="G61" s="57">
        <v>2643</v>
      </c>
      <c r="H61" s="347">
        <v>160554</v>
      </c>
      <c r="I61" s="167">
        <v>90023</v>
      </c>
      <c r="J61" s="347">
        <v>104515</v>
      </c>
      <c r="K61" s="348">
        <v>146062</v>
      </c>
    </row>
    <row r="62" spans="1:11">
      <c r="A62" s="45" t="s">
        <v>304</v>
      </c>
      <c r="B62" s="335" t="s">
        <v>444</v>
      </c>
      <c r="C62" s="337"/>
      <c r="D62" s="338"/>
      <c r="F62" s="57">
        <v>17394</v>
      </c>
      <c r="G62" s="57">
        <v>17132</v>
      </c>
      <c r="H62" s="347">
        <v>1908291</v>
      </c>
      <c r="I62" s="167">
        <v>1069978</v>
      </c>
      <c r="J62" s="347">
        <v>1806784</v>
      </c>
      <c r="K62" s="348">
        <v>1171485</v>
      </c>
    </row>
    <row r="63" spans="1:11">
      <c r="A63" s="45" t="s">
        <v>524</v>
      </c>
      <c r="B63" s="869" t="s">
        <v>445</v>
      </c>
      <c r="C63" s="870"/>
      <c r="D63" s="871"/>
      <c r="F63" s="461">
        <v>0</v>
      </c>
      <c r="G63" s="461">
        <v>0</v>
      </c>
      <c r="H63" s="348">
        <v>76042</v>
      </c>
      <c r="I63" s="354">
        <v>42637</v>
      </c>
      <c r="J63" s="348">
        <v>0</v>
      </c>
      <c r="K63" s="348">
        <v>118679</v>
      </c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SUM(F53:F63)</f>
        <v>275465</v>
      </c>
      <c r="G64" s="350">
        <f t="shared" si="2"/>
        <v>29798</v>
      </c>
      <c r="H64" s="348">
        <f t="shared" si="2"/>
        <v>10076076</v>
      </c>
      <c r="I64" s="348">
        <f t="shared" si="2"/>
        <v>5408959</v>
      </c>
      <c r="J64" s="348">
        <f t="shared" si="2"/>
        <v>1911299</v>
      </c>
      <c r="K64" s="348">
        <f t="shared" si="2"/>
        <v>13573736</v>
      </c>
    </row>
    <row r="65" spans="1:11">
      <c r="F65" s="358"/>
      <c r="G65" s="358"/>
      <c r="H65" s="394"/>
      <c r="I65" s="394"/>
      <c r="J65" s="394"/>
      <c r="K65" s="394"/>
    </row>
    <row r="66" spans="1:11" ht="25.5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0</v>
      </c>
      <c r="G68" s="362">
        <v>0</v>
      </c>
      <c r="H68" s="347">
        <v>0</v>
      </c>
      <c r="I68" s="167">
        <v>0</v>
      </c>
      <c r="J68" s="462">
        <v>0</v>
      </c>
      <c r="K68" s="348">
        <v>0</v>
      </c>
    </row>
    <row r="69" spans="1:11">
      <c r="A69" s="45" t="s">
        <v>307</v>
      </c>
      <c r="B69" s="49" t="s">
        <v>190</v>
      </c>
      <c r="F69" s="362">
        <v>0</v>
      </c>
      <c r="G69" s="362">
        <v>0</v>
      </c>
      <c r="H69" s="347">
        <v>0</v>
      </c>
      <c r="I69" s="167">
        <v>0</v>
      </c>
      <c r="J69" s="462">
        <v>0</v>
      </c>
      <c r="K69" s="348">
        <v>0</v>
      </c>
    </row>
    <row r="70" spans="1:11">
      <c r="A70" s="45" t="s">
        <v>308</v>
      </c>
      <c r="B70" s="335"/>
      <c r="C70" s="337"/>
      <c r="D70" s="338"/>
      <c r="E70" s="43"/>
      <c r="F70" s="364"/>
      <c r="G70" s="364"/>
      <c r="H70" s="363"/>
      <c r="I70" s="167"/>
      <c r="J70" s="463"/>
      <c r="K70" s="348"/>
    </row>
    <row r="71" spans="1:11">
      <c r="A71" s="45" t="s">
        <v>309</v>
      </c>
      <c r="B71" s="335"/>
      <c r="C71" s="337"/>
      <c r="D71" s="338"/>
      <c r="E71" s="43"/>
      <c r="F71" s="364"/>
      <c r="G71" s="364"/>
      <c r="H71" s="363"/>
      <c r="I71" s="167"/>
      <c r="J71" s="463"/>
      <c r="K71" s="348"/>
    </row>
    <row r="72" spans="1:11">
      <c r="A72" s="45" t="s">
        <v>310</v>
      </c>
      <c r="B72" s="336"/>
      <c r="C72" s="339"/>
      <c r="D72" s="365"/>
      <c r="E72" s="43"/>
      <c r="F72" s="57"/>
      <c r="G72" s="57"/>
      <c r="H72" s="347"/>
      <c r="I72" s="167"/>
      <c r="J72" s="462"/>
      <c r="K72" s="348"/>
    </row>
    <row r="73" spans="1:11">
      <c r="A73" s="45"/>
      <c r="E73" s="43"/>
      <c r="F73" s="366"/>
      <c r="G73" s="366"/>
      <c r="H73" s="367"/>
      <c r="I73" s="360"/>
      <c r="J73" s="464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3">SUM(F68:F72)</f>
        <v>0</v>
      </c>
      <c r="G74" s="368">
        <f t="shared" si="3"/>
        <v>0</v>
      </c>
      <c r="H74" s="354">
        <f t="shared" si="3"/>
        <v>0</v>
      </c>
      <c r="I74" s="370">
        <f t="shared" si="3"/>
        <v>0</v>
      </c>
      <c r="J74" s="465">
        <f t="shared" si="3"/>
        <v>0</v>
      </c>
      <c r="K74" s="354">
        <f t="shared" si="3"/>
        <v>0</v>
      </c>
    </row>
    <row r="75" spans="1:11" ht="25.5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</row>
    <row r="77" spans="1:11">
      <c r="A77" s="45" t="s">
        <v>312</v>
      </c>
      <c r="B77" s="49" t="s">
        <v>195</v>
      </c>
      <c r="F77" s="57">
        <v>0</v>
      </c>
      <c r="G77" s="57">
        <v>0</v>
      </c>
      <c r="H77" s="347">
        <v>223050</v>
      </c>
      <c r="I77" s="167">
        <v>0</v>
      </c>
      <c r="J77" s="347">
        <v>0</v>
      </c>
      <c r="K77" s="348">
        <v>223050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57">
        <v>0</v>
      </c>
      <c r="G79" s="57">
        <v>0</v>
      </c>
      <c r="H79" s="347">
        <v>0</v>
      </c>
      <c r="I79" s="167">
        <v>0</v>
      </c>
      <c r="J79" s="347">
        <v>0</v>
      </c>
      <c r="K79" s="348">
        <v>0</v>
      </c>
    </row>
    <row r="80" spans="1:11">
      <c r="A80" s="45" t="s">
        <v>315</v>
      </c>
      <c r="B80" s="49" t="s">
        <v>316</v>
      </c>
      <c r="F80" s="57">
        <v>0</v>
      </c>
      <c r="G80" s="57">
        <v>0</v>
      </c>
      <c r="H80" s="347">
        <v>0</v>
      </c>
      <c r="I80" s="167">
        <v>0</v>
      </c>
      <c r="J80" s="347">
        <v>0</v>
      </c>
      <c r="K80" s="348">
        <v>0</v>
      </c>
    </row>
    <row r="81" spans="1:11">
      <c r="A81" s="45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4">SUM(F77:F80)</f>
        <v>0</v>
      </c>
      <c r="G82" s="455">
        <f t="shared" si="4"/>
        <v>0</v>
      </c>
      <c r="H82" s="354">
        <f t="shared" si="4"/>
        <v>223050</v>
      </c>
      <c r="I82" s="354">
        <f t="shared" si="4"/>
        <v>0</v>
      </c>
      <c r="J82" s="354">
        <f t="shared" si="4"/>
        <v>0</v>
      </c>
      <c r="K82" s="354">
        <f t="shared" si="4"/>
        <v>223050</v>
      </c>
    </row>
    <row r="83" spans="1:11" ht="13.5" thickBot="1">
      <c r="A83" s="45"/>
      <c r="F83" s="356"/>
      <c r="G83" s="356"/>
      <c r="H83" s="352"/>
      <c r="I83" s="352"/>
      <c r="J83" s="352"/>
      <c r="K83" s="352"/>
    </row>
    <row r="84" spans="1:11" ht="25.5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0</v>
      </c>
      <c r="G87" s="57">
        <v>0</v>
      </c>
      <c r="H87" s="347">
        <v>0</v>
      </c>
      <c r="I87" s="167">
        <v>0</v>
      </c>
      <c r="J87" s="347">
        <v>0</v>
      </c>
      <c r="K87" s="348">
        <v>0</v>
      </c>
    </row>
    <row r="88" spans="1:11">
      <c r="A88" s="45" t="s">
        <v>321</v>
      </c>
      <c r="B88" s="49" t="s">
        <v>208</v>
      </c>
      <c r="F88" s="57">
        <v>0</v>
      </c>
      <c r="G88" s="57">
        <v>0</v>
      </c>
      <c r="H88" s="347">
        <v>88635</v>
      </c>
      <c r="I88" s="167">
        <v>49698</v>
      </c>
      <c r="J88" s="347">
        <v>40000</v>
      </c>
      <c r="K88" s="348">
        <v>98333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v>0</v>
      </c>
      <c r="J89" s="347">
        <v>0</v>
      </c>
      <c r="K89" s="348">
        <v>0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0</v>
      </c>
      <c r="G91" s="57">
        <v>0</v>
      </c>
      <c r="H91" s="347">
        <v>0</v>
      </c>
      <c r="I91" s="167">
        <v>0</v>
      </c>
      <c r="J91" s="347">
        <v>0</v>
      </c>
      <c r="K91" s="348">
        <v>0</v>
      </c>
    </row>
    <row r="92" spans="1:11">
      <c r="A92" s="45" t="s">
        <v>325</v>
      </c>
      <c r="B92" s="49" t="s">
        <v>216</v>
      </c>
      <c r="F92" s="372">
        <v>0</v>
      </c>
      <c r="G92" s="372">
        <v>0</v>
      </c>
      <c r="H92" s="373">
        <v>0</v>
      </c>
      <c r="I92" s="167">
        <v>0</v>
      </c>
      <c r="J92" s="373">
        <v>0</v>
      </c>
      <c r="K92" s="348">
        <v>0</v>
      </c>
    </row>
    <row r="93" spans="1:11">
      <c r="A93" s="45" t="s">
        <v>326</v>
      </c>
      <c r="B93" s="49" t="s">
        <v>218</v>
      </c>
      <c r="F93" s="57">
        <v>0</v>
      </c>
      <c r="G93" s="57">
        <v>0</v>
      </c>
      <c r="H93" s="347">
        <v>0</v>
      </c>
      <c r="I93" s="167">
        <v>0</v>
      </c>
      <c r="J93" s="347">
        <v>0</v>
      </c>
      <c r="K93" s="348">
        <v>0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0</v>
      </c>
      <c r="G98" s="350">
        <f t="shared" si="5"/>
        <v>0</v>
      </c>
      <c r="H98" s="348">
        <f t="shared" si="5"/>
        <v>88635</v>
      </c>
      <c r="I98" s="348">
        <f t="shared" si="5"/>
        <v>49698</v>
      </c>
      <c r="J98" s="348">
        <f t="shared" si="5"/>
        <v>40000</v>
      </c>
      <c r="K98" s="348">
        <f t="shared" si="5"/>
        <v>98333</v>
      </c>
    </row>
    <row r="99" spans="1:11" ht="13.5" thickBot="1">
      <c r="B99" s="43"/>
      <c r="F99" s="356"/>
      <c r="G99" s="356"/>
      <c r="H99" s="352"/>
      <c r="I99" s="352"/>
      <c r="J99" s="352"/>
      <c r="K99" s="352"/>
    </row>
    <row r="100" spans="1:11" ht="25.5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</row>
    <row r="102" spans="1:11">
      <c r="A102" s="45" t="s">
        <v>332</v>
      </c>
      <c r="B102" s="49" t="s">
        <v>224</v>
      </c>
      <c r="F102" s="57">
        <v>0</v>
      </c>
      <c r="G102" s="57">
        <v>0</v>
      </c>
      <c r="H102" s="347">
        <v>0</v>
      </c>
      <c r="I102" s="167">
        <v>0</v>
      </c>
      <c r="J102" s="347">
        <v>0</v>
      </c>
      <c r="K102" s="348">
        <v>0</v>
      </c>
    </row>
    <row r="103" spans="1:11">
      <c r="A103" s="45" t="s">
        <v>333</v>
      </c>
      <c r="B103" s="818" t="s">
        <v>226</v>
      </c>
      <c r="C103" s="818"/>
      <c r="F103" s="57">
        <v>0</v>
      </c>
      <c r="G103" s="57">
        <v>0</v>
      </c>
      <c r="H103" s="347">
        <v>0</v>
      </c>
      <c r="I103" s="167">
        <v>0</v>
      </c>
      <c r="J103" s="347">
        <v>0</v>
      </c>
      <c r="K103" s="348">
        <v>0</v>
      </c>
    </row>
    <row r="104" spans="1:11">
      <c r="A104" s="45" t="s">
        <v>334</v>
      </c>
      <c r="B104" s="817"/>
      <c r="C104" s="864"/>
      <c r="D104" s="865"/>
      <c r="F104" s="57"/>
      <c r="G104" s="57"/>
      <c r="H104" s="347"/>
      <c r="I104" s="167"/>
      <c r="J104" s="347"/>
      <c r="K104" s="348"/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/>
      <c r="J105" s="347"/>
      <c r="K105" s="348"/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0</v>
      </c>
      <c r="G108" s="350">
        <f t="shared" si="6"/>
        <v>0</v>
      </c>
      <c r="H108" s="348">
        <f t="shared" si="6"/>
        <v>0</v>
      </c>
      <c r="I108" s="348">
        <f t="shared" si="6"/>
        <v>0</v>
      </c>
      <c r="J108" s="348">
        <f t="shared" si="6"/>
        <v>0</v>
      </c>
      <c r="K108" s="348">
        <f t="shared" si="6"/>
        <v>0</v>
      </c>
    </row>
    <row r="109" spans="1:11" ht="13.5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</row>
    <row r="111" spans="1:11">
      <c r="A111" s="48" t="s">
        <v>339</v>
      </c>
      <c r="B111" s="43" t="s">
        <v>232</v>
      </c>
      <c r="E111" s="43" t="s">
        <v>276</v>
      </c>
      <c r="F111" s="347">
        <v>9980036</v>
      </c>
    </row>
    <row r="112" spans="1:11">
      <c r="B112" s="43"/>
      <c r="E112" s="43"/>
    </row>
    <row r="113" spans="1:11">
      <c r="A113" s="48"/>
      <c r="B113" s="43" t="s">
        <v>233</v>
      </c>
      <c r="H113" s="49"/>
      <c r="I113" s="49"/>
      <c r="J113" s="49"/>
      <c r="K113" s="49"/>
    </row>
    <row r="114" spans="1:11">
      <c r="A114" s="45" t="s">
        <v>340</v>
      </c>
      <c r="B114" s="49" t="s">
        <v>341</v>
      </c>
      <c r="F114" s="376">
        <v>56.07</v>
      </c>
      <c r="H114" s="49"/>
      <c r="I114" s="49"/>
      <c r="J114" s="49"/>
      <c r="K114" s="49"/>
    </row>
    <row r="115" spans="1:11">
      <c r="A115" s="45"/>
      <c r="B115" s="43"/>
      <c r="H115" s="49"/>
      <c r="I115" s="49"/>
      <c r="J115" s="49"/>
      <c r="K115" s="49"/>
    </row>
    <row r="116" spans="1:11">
      <c r="A116" s="45" t="s">
        <v>234</v>
      </c>
      <c r="B116" s="43" t="s">
        <v>235</v>
      </c>
      <c r="H116" s="49"/>
      <c r="I116" s="49"/>
      <c r="J116" s="49"/>
      <c r="K116" s="49"/>
    </row>
    <row r="117" spans="1:11">
      <c r="A117" s="45" t="s">
        <v>342</v>
      </c>
      <c r="B117" s="49" t="s">
        <v>236</v>
      </c>
      <c r="F117" s="347">
        <v>330410000</v>
      </c>
      <c r="H117" s="49"/>
      <c r="I117" s="49"/>
      <c r="J117" s="49"/>
      <c r="K117" s="49"/>
    </row>
    <row r="118" spans="1:11">
      <c r="A118" s="45" t="s">
        <v>343</v>
      </c>
      <c r="B118" s="49" t="s">
        <v>237</v>
      </c>
      <c r="F118" s="347">
        <v>12015000</v>
      </c>
      <c r="H118" s="49"/>
      <c r="I118" s="49"/>
      <c r="J118" s="49"/>
      <c r="K118" s="49"/>
    </row>
    <row r="119" spans="1:11">
      <c r="A119" s="45" t="s">
        <v>344</v>
      </c>
      <c r="B119" s="43" t="s">
        <v>238</v>
      </c>
      <c r="F119" s="354">
        <f>SUM(F117:F118)</f>
        <v>342425000</v>
      </c>
      <c r="H119" s="49"/>
      <c r="I119" s="49"/>
      <c r="J119" s="49"/>
      <c r="K119" s="49"/>
    </row>
    <row r="120" spans="1:11">
      <c r="A120" s="45"/>
      <c r="B120" s="43"/>
      <c r="H120" s="49"/>
      <c r="I120" s="49"/>
      <c r="J120" s="49"/>
      <c r="K120" s="49"/>
    </row>
    <row r="121" spans="1:11">
      <c r="A121" s="45" t="s">
        <v>345</v>
      </c>
      <c r="B121" s="43" t="s">
        <v>346</v>
      </c>
      <c r="F121" s="347">
        <v>339915000</v>
      </c>
      <c r="H121" s="49"/>
      <c r="I121" s="49"/>
      <c r="J121" s="49"/>
      <c r="K121" s="49"/>
    </row>
    <row r="122" spans="1:11">
      <c r="A122" s="45"/>
      <c r="H122" s="49"/>
      <c r="I122" s="49"/>
      <c r="J122" s="49"/>
      <c r="K122" s="49"/>
    </row>
    <row r="123" spans="1:11">
      <c r="A123" s="45" t="s">
        <v>347</v>
      </c>
      <c r="B123" s="43" t="s">
        <v>348</v>
      </c>
      <c r="F123" s="347">
        <v>2510000</v>
      </c>
      <c r="H123" s="49"/>
      <c r="I123" s="49"/>
      <c r="J123" s="49"/>
      <c r="K123" s="49"/>
    </row>
    <row r="124" spans="1:11">
      <c r="A124" s="45"/>
      <c r="H124" s="49"/>
      <c r="I124" s="49"/>
      <c r="J124" s="49"/>
      <c r="K124" s="49"/>
    </row>
    <row r="125" spans="1:11">
      <c r="A125" s="45" t="s">
        <v>349</v>
      </c>
      <c r="B125" s="43" t="s">
        <v>350</v>
      </c>
      <c r="F125" s="347">
        <v>8194000</v>
      </c>
      <c r="H125" s="49"/>
      <c r="I125" s="49"/>
      <c r="J125" s="49"/>
      <c r="K125" s="49"/>
    </row>
    <row r="126" spans="1:11">
      <c r="A126" s="45"/>
      <c r="H126" s="49"/>
      <c r="I126" s="49"/>
      <c r="J126" s="49"/>
      <c r="K126" s="49"/>
    </row>
    <row r="127" spans="1:11">
      <c r="A127" s="45" t="s">
        <v>351</v>
      </c>
      <c r="B127" s="43" t="s">
        <v>352</v>
      </c>
      <c r="F127" s="347">
        <v>10704000</v>
      </c>
      <c r="H127" s="49"/>
      <c r="I127" s="49"/>
      <c r="J127" s="49"/>
      <c r="K127" s="49"/>
    </row>
    <row r="128" spans="1:11">
      <c r="A128" s="45"/>
      <c r="H128" s="49"/>
      <c r="I128" s="49"/>
      <c r="J128" s="49"/>
      <c r="K128" s="49"/>
    </row>
    <row r="129" spans="1:11" ht="25.5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</row>
    <row r="139" spans="1:11" ht="25.5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</row>
    <row r="141" spans="1:11">
      <c r="A141" s="45" t="s">
        <v>275</v>
      </c>
      <c r="B141" s="43" t="s">
        <v>246</v>
      </c>
      <c r="F141" s="377">
        <f t="shared" ref="F141:K141" si="8">F36</f>
        <v>55590</v>
      </c>
      <c r="G141" s="377">
        <f t="shared" si="8"/>
        <v>66127</v>
      </c>
      <c r="H141" s="380">
        <f t="shared" si="8"/>
        <v>2490152</v>
      </c>
      <c r="I141" s="380">
        <f t="shared" si="8"/>
        <v>1396228</v>
      </c>
      <c r="J141" s="380">
        <f t="shared" si="8"/>
        <v>1186740</v>
      </c>
      <c r="K141" s="380">
        <f t="shared" si="8"/>
        <v>2699640</v>
      </c>
    </row>
    <row r="142" spans="1:11">
      <c r="A142" s="45" t="s">
        <v>286</v>
      </c>
      <c r="B142" s="43" t="s">
        <v>125</v>
      </c>
      <c r="F142" s="456">
        <f t="shared" ref="F142:K142" si="9">F49</f>
        <v>0</v>
      </c>
      <c r="G142" s="456">
        <f t="shared" si="9"/>
        <v>0</v>
      </c>
      <c r="H142" s="380">
        <f t="shared" si="9"/>
        <v>103372</v>
      </c>
      <c r="I142" s="380">
        <f t="shared" si="9"/>
        <v>0</v>
      </c>
      <c r="J142" s="380">
        <f t="shared" si="9"/>
        <v>0</v>
      </c>
      <c r="K142" s="380">
        <f t="shared" si="9"/>
        <v>103372</v>
      </c>
    </row>
    <row r="143" spans="1:11">
      <c r="A143" s="45" t="s">
        <v>305</v>
      </c>
      <c r="B143" s="43" t="s">
        <v>247</v>
      </c>
      <c r="F143" s="377">
        <f t="shared" ref="F143:K143" si="10">F64</f>
        <v>275465</v>
      </c>
      <c r="G143" s="377">
        <f t="shared" si="10"/>
        <v>29798</v>
      </c>
      <c r="H143" s="380">
        <f t="shared" si="10"/>
        <v>10076076</v>
      </c>
      <c r="I143" s="380">
        <f t="shared" si="10"/>
        <v>5408959</v>
      </c>
      <c r="J143" s="380">
        <f t="shared" si="10"/>
        <v>1911299</v>
      </c>
      <c r="K143" s="380">
        <f t="shared" si="10"/>
        <v>13573736</v>
      </c>
    </row>
    <row r="144" spans="1:11">
      <c r="A144" s="45" t="s">
        <v>311</v>
      </c>
      <c r="B144" s="43" t="s">
        <v>127</v>
      </c>
      <c r="F144" s="377">
        <f t="shared" ref="F144:K144" si="11">F74</f>
        <v>0</v>
      </c>
      <c r="G144" s="377">
        <f t="shared" si="11"/>
        <v>0</v>
      </c>
      <c r="H144" s="380">
        <f t="shared" si="11"/>
        <v>0</v>
      </c>
      <c r="I144" s="380">
        <f t="shared" si="11"/>
        <v>0</v>
      </c>
      <c r="J144" s="380">
        <f t="shared" si="11"/>
        <v>0</v>
      </c>
      <c r="K144" s="380">
        <f t="shared" si="11"/>
        <v>0</v>
      </c>
    </row>
    <row r="145" spans="1:11">
      <c r="A145" s="45" t="s">
        <v>317</v>
      </c>
      <c r="B145" s="43" t="s">
        <v>248</v>
      </c>
      <c r="F145" s="377">
        <f t="shared" ref="F145:K145" si="12">F82</f>
        <v>0</v>
      </c>
      <c r="G145" s="377">
        <f t="shared" si="12"/>
        <v>0</v>
      </c>
      <c r="H145" s="380">
        <f t="shared" si="12"/>
        <v>223050</v>
      </c>
      <c r="I145" s="380">
        <f t="shared" si="12"/>
        <v>0</v>
      </c>
      <c r="J145" s="380">
        <f t="shared" si="12"/>
        <v>0</v>
      </c>
      <c r="K145" s="380">
        <f t="shared" si="12"/>
        <v>223050</v>
      </c>
    </row>
    <row r="146" spans="1:11">
      <c r="A146" s="45" t="s">
        <v>331</v>
      </c>
      <c r="B146" s="43" t="s">
        <v>249</v>
      </c>
      <c r="F146" s="377">
        <f t="shared" ref="F146:K146" si="13">F98</f>
        <v>0</v>
      </c>
      <c r="G146" s="377">
        <f t="shared" si="13"/>
        <v>0</v>
      </c>
      <c r="H146" s="380">
        <f t="shared" si="13"/>
        <v>88635</v>
      </c>
      <c r="I146" s="380">
        <f t="shared" si="13"/>
        <v>49698</v>
      </c>
      <c r="J146" s="380">
        <f t="shared" si="13"/>
        <v>40000</v>
      </c>
      <c r="K146" s="380">
        <f t="shared" si="13"/>
        <v>98333</v>
      </c>
    </row>
    <row r="147" spans="1:11">
      <c r="A147" s="45" t="s">
        <v>338</v>
      </c>
      <c r="B147" s="43" t="s">
        <v>129</v>
      </c>
      <c r="F147" s="350">
        <f t="shared" ref="F147:K147" si="14">F108</f>
        <v>0</v>
      </c>
      <c r="G147" s="350">
        <f t="shared" si="14"/>
        <v>0</v>
      </c>
      <c r="H147" s="348">
        <f t="shared" si="14"/>
        <v>0</v>
      </c>
      <c r="I147" s="348">
        <f t="shared" si="14"/>
        <v>0</v>
      </c>
      <c r="J147" s="348">
        <f t="shared" si="14"/>
        <v>0</v>
      </c>
      <c r="K147" s="348">
        <f t="shared" si="14"/>
        <v>0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9980036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8887761</v>
      </c>
      <c r="I150" s="348">
        <f>I18</f>
        <v>0</v>
      </c>
      <c r="J150" s="348">
        <f>J18</f>
        <v>7600147</v>
      </c>
      <c r="K150" s="348">
        <f>K18</f>
        <v>1287614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331055</v>
      </c>
      <c r="G152" s="381">
        <f t="shared" si="16"/>
        <v>95925</v>
      </c>
      <c r="H152" s="457">
        <f t="shared" si="16"/>
        <v>21869046</v>
      </c>
      <c r="I152" s="457">
        <f t="shared" si="16"/>
        <v>6854885</v>
      </c>
      <c r="J152" s="457">
        <f t="shared" si="16"/>
        <v>10738186</v>
      </c>
      <c r="K152" s="457">
        <f t="shared" si="16"/>
        <v>27965781</v>
      </c>
    </row>
    <row r="154" spans="1:11">
      <c r="A154" s="48" t="s">
        <v>361</v>
      </c>
      <c r="B154" s="43" t="s">
        <v>252</v>
      </c>
      <c r="F154" s="459">
        <f>K152/F121</f>
        <v>8.2272865275142312E-2</v>
      </c>
    </row>
    <row r="155" spans="1:11">
      <c r="A155" s="48" t="s">
        <v>362</v>
      </c>
      <c r="B155" s="43" t="s">
        <v>253</v>
      </c>
      <c r="F155" s="459">
        <f>K152/F127</f>
        <v>2.6126477017937222</v>
      </c>
      <c r="G155" s="43"/>
    </row>
    <row r="156" spans="1:11">
      <c r="G156" s="43"/>
    </row>
  </sheetData>
  <mergeCells count="31">
    <mergeCell ref="C11:G11"/>
    <mergeCell ref="D2:H2"/>
    <mergeCell ref="C5:G5"/>
    <mergeCell ref="C6:G6"/>
    <mergeCell ref="C7:G7"/>
    <mergeCell ref="C9:G9"/>
    <mergeCell ref="C10:G10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B53:D53"/>
    <mergeCell ref="B54:D54"/>
    <mergeCell ref="B63:D63"/>
    <mergeCell ref="B90:C90"/>
    <mergeCell ref="B94:D94"/>
    <mergeCell ref="B106:D106"/>
    <mergeCell ref="B133:D133"/>
    <mergeCell ref="B134:D134"/>
    <mergeCell ref="B135:D135"/>
    <mergeCell ref="B95:D95"/>
    <mergeCell ref="B96:D96"/>
    <mergeCell ref="B103:C103"/>
    <mergeCell ref="B104:D104"/>
    <mergeCell ref="B105:D10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2" workbookViewId="0">
      <selection activeCell="B43" sqref="B43"/>
    </sheetView>
  </sheetViews>
  <sheetFormatPr defaultRowHeight="12.75"/>
  <cols>
    <col min="1" max="1" width="8.28515625" style="39" customWidth="1"/>
    <col min="2" max="2" width="55.42578125" style="40" bestFit="1" customWidth="1"/>
    <col min="3" max="3" width="9.5703125" style="40" customWidth="1"/>
    <col min="4" max="4" width="9.140625" style="40"/>
    <col min="5" max="5" width="12.42578125" style="40" customWidth="1"/>
    <col min="6" max="6" width="18.5703125" style="40" customWidth="1"/>
    <col min="7" max="7" width="23.5703125" style="40" customWidth="1"/>
    <col min="8" max="8" width="17.140625" style="40" customWidth="1"/>
    <col min="9" max="9" width="21.140625" style="40" customWidth="1"/>
    <col min="10" max="10" width="19.85546875" style="40" customWidth="1"/>
    <col min="11" max="11" width="17.5703125" style="40" customWidth="1"/>
    <col min="12" max="16384" width="9.14062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446</v>
      </c>
      <c r="D5" s="827"/>
      <c r="E5" s="827"/>
      <c r="F5" s="827"/>
      <c r="G5" s="828"/>
    </row>
    <row r="6" spans="1:11" ht="18" customHeight="1">
      <c r="B6" s="45" t="s">
        <v>136</v>
      </c>
      <c r="C6" s="886" t="s">
        <v>447</v>
      </c>
      <c r="D6" s="830"/>
      <c r="E6" s="830"/>
      <c r="F6" s="830"/>
      <c r="G6" s="831"/>
    </row>
    <row r="7" spans="1:11" ht="18" customHeight="1">
      <c r="B7" s="45" t="s">
        <v>137</v>
      </c>
      <c r="C7" s="832">
        <v>868</v>
      </c>
      <c r="D7" s="833"/>
      <c r="E7" s="833"/>
      <c r="F7" s="833"/>
      <c r="G7" s="834"/>
    </row>
    <row r="9" spans="1:11" ht="18" customHeight="1">
      <c r="B9" s="45" t="s">
        <v>138</v>
      </c>
      <c r="C9" s="843" t="s">
        <v>448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449</v>
      </c>
      <c r="D10" s="836"/>
      <c r="E10" s="836"/>
      <c r="F10" s="836"/>
      <c r="G10" s="837"/>
    </row>
    <row r="11" spans="1:11" ht="18" customHeight="1">
      <c r="B11" s="45" t="s">
        <v>142</v>
      </c>
      <c r="C11" s="843" t="s">
        <v>450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2550165</v>
      </c>
      <c r="I18" s="52">
        <v>0</v>
      </c>
      <c r="J18" s="51">
        <v>2180710</v>
      </c>
      <c r="K18" s="53">
        <f>(H18+I18)-J18</f>
        <v>369455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2145</v>
      </c>
      <c r="G21" s="50">
        <v>45128</v>
      </c>
      <c r="H21" s="51">
        <v>104757</v>
      </c>
      <c r="I21" s="167">
        <v>73188</v>
      </c>
      <c r="J21" s="51">
        <v>168</v>
      </c>
      <c r="K21" s="53">
        <f t="shared" ref="K21:K34" si="0">(H21+I21)-J21</f>
        <v>177777</v>
      </c>
    </row>
    <row r="22" spans="1:11" ht="18" customHeight="1">
      <c r="A22" s="45" t="s">
        <v>261</v>
      </c>
      <c r="B22" s="40" t="s">
        <v>157</v>
      </c>
      <c r="F22" s="50">
        <v>254</v>
      </c>
      <c r="G22" s="50">
        <v>1230</v>
      </c>
      <c r="H22" s="51">
        <v>15543</v>
      </c>
      <c r="I22" s="167">
        <v>1599</v>
      </c>
      <c r="J22" s="51">
        <v>0</v>
      </c>
      <c r="K22" s="53">
        <f t="shared" si="0"/>
        <v>17142</v>
      </c>
    </row>
    <row r="23" spans="1:11" ht="18" customHeight="1">
      <c r="A23" s="45" t="s">
        <v>262</v>
      </c>
      <c r="B23" s="40" t="s">
        <v>158</v>
      </c>
      <c r="F23" s="50">
        <v>24</v>
      </c>
      <c r="G23" s="50">
        <v>179</v>
      </c>
      <c r="H23" s="51">
        <v>3350</v>
      </c>
      <c r="I23" s="167">
        <v>1092</v>
      </c>
      <c r="J23" s="51">
        <v>0</v>
      </c>
      <c r="K23" s="53">
        <f t="shared" si="0"/>
        <v>4442</v>
      </c>
    </row>
    <row r="24" spans="1:11" ht="18" customHeight="1">
      <c r="A24" s="45" t="s">
        <v>263</v>
      </c>
      <c r="B24" s="40" t="s">
        <v>159</v>
      </c>
      <c r="F24" s="50">
        <v>6844</v>
      </c>
      <c r="G24" s="50">
        <v>3551</v>
      </c>
      <c r="H24" s="51">
        <v>245768</v>
      </c>
      <c r="I24" s="167">
        <v>270</v>
      </c>
      <c r="J24" s="51">
        <v>40542</v>
      </c>
      <c r="K24" s="53">
        <f t="shared" si="0"/>
        <v>205496</v>
      </c>
    </row>
    <row r="25" spans="1:11" ht="18" customHeight="1">
      <c r="A25" s="45" t="s">
        <v>264</v>
      </c>
      <c r="B25" s="40" t="s">
        <v>160</v>
      </c>
      <c r="F25" s="50">
        <v>7.6499999999999995</v>
      </c>
      <c r="G25" s="50">
        <v>63</v>
      </c>
      <c r="H25" s="51">
        <v>248</v>
      </c>
      <c r="I25" s="167">
        <v>173</v>
      </c>
      <c r="J25" s="51">
        <v>0</v>
      </c>
      <c r="K25" s="53">
        <f t="shared" si="0"/>
        <v>421</v>
      </c>
    </row>
    <row r="26" spans="1:11" ht="18" customHeight="1">
      <c r="A26" s="45" t="s">
        <v>265</v>
      </c>
      <c r="B26" s="40" t="s">
        <v>161</v>
      </c>
      <c r="F26" s="50">
        <v>0</v>
      </c>
      <c r="G26" s="50">
        <v>0</v>
      </c>
      <c r="H26" s="51">
        <v>0</v>
      </c>
      <c r="I26" s="52">
        <v>0</v>
      </c>
      <c r="J26" s="51">
        <v>0</v>
      </c>
      <c r="K26" s="53">
        <f t="shared" si="0"/>
        <v>0</v>
      </c>
    </row>
    <row r="27" spans="1:11" ht="18" customHeight="1">
      <c r="A27" s="45" t="s">
        <v>266</v>
      </c>
      <c r="B27" s="40" t="s">
        <v>162</v>
      </c>
      <c r="F27" s="50">
        <v>0</v>
      </c>
      <c r="G27" s="50">
        <v>0</v>
      </c>
      <c r="H27" s="51">
        <v>0</v>
      </c>
      <c r="I27" s="52">
        <v>0</v>
      </c>
      <c r="J27" s="51">
        <v>0</v>
      </c>
      <c r="K27" s="53">
        <f t="shared" si="0"/>
        <v>0</v>
      </c>
    </row>
    <row r="28" spans="1:11" ht="18" customHeight="1">
      <c r="A28" s="45" t="s">
        <v>267</v>
      </c>
      <c r="B28" s="40" t="s">
        <v>163</v>
      </c>
      <c r="F28" s="50">
        <v>674</v>
      </c>
      <c r="G28" s="50">
        <v>44</v>
      </c>
      <c r="H28" s="51">
        <v>16915</v>
      </c>
      <c r="I28" s="52">
        <v>11818</v>
      </c>
      <c r="J28" s="51">
        <v>170</v>
      </c>
      <c r="K28" s="53">
        <f t="shared" si="0"/>
        <v>28563</v>
      </c>
    </row>
    <row r="29" spans="1:11" ht="18" customHeight="1">
      <c r="A29" s="45" t="s">
        <v>268</v>
      </c>
      <c r="B29" s="40" t="s">
        <v>165</v>
      </c>
      <c r="F29" s="50">
        <v>2148.9</v>
      </c>
      <c r="G29" s="50">
        <v>1652</v>
      </c>
      <c r="H29" s="51">
        <v>227781</v>
      </c>
      <c r="I29" s="52">
        <v>159138</v>
      </c>
      <c r="J29" s="51">
        <v>0</v>
      </c>
      <c r="K29" s="53">
        <f t="shared" si="0"/>
        <v>386919</v>
      </c>
    </row>
    <row r="30" spans="1:11" ht="18" customHeight="1">
      <c r="A30" s="45" t="s">
        <v>269</v>
      </c>
      <c r="B30" s="814" t="s">
        <v>451</v>
      </c>
      <c r="C30" s="815"/>
      <c r="D30" s="816"/>
      <c r="F30" s="50">
        <v>260.17500000000001</v>
      </c>
      <c r="G30" s="50">
        <v>13</v>
      </c>
      <c r="H30" s="51">
        <v>12362</v>
      </c>
      <c r="I30" s="52">
        <v>8636</v>
      </c>
      <c r="J30" s="51">
        <v>0</v>
      </c>
      <c r="K30" s="53">
        <f t="shared" si="0"/>
        <v>20998</v>
      </c>
    </row>
    <row r="31" spans="1:11" ht="18" customHeight="1">
      <c r="A31" s="45" t="s">
        <v>270</v>
      </c>
      <c r="B31" s="814"/>
      <c r="C31" s="815"/>
      <c r="D31" s="816"/>
      <c r="F31" s="50">
        <v>0</v>
      </c>
      <c r="G31" s="50">
        <v>0</v>
      </c>
      <c r="H31" s="51">
        <v>0</v>
      </c>
      <c r="I31" s="52">
        <v>0</v>
      </c>
      <c r="J31" s="51">
        <v>0</v>
      </c>
      <c r="K31" s="53">
        <f t="shared" si="0"/>
        <v>0</v>
      </c>
    </row>
    <row r="32" spans="1:11" ht="18" customHeight="1">
      <c r="A32" s="45" t="s">
        <v>271</v>
      </c>
      <c r="B32" s="107"/>
      <c r="C32" s="108"/>
      <c r="D32" s="109"/>
      <c r="F32" s="50">
        <v>0</v>
      </c>
      <c r="G32" s="57">
        <v>0</v>
      </c>
      <c r="H32" s="51">
        <v>0</v>
      </c>
      <c r="I32" s="52">
        <v>0</v>
      </c>
      <c r="J32" s="51">
        <v>0</v>
      </c>
      <c r="K32" s="53">
        <f t="shared" si="0"/>
        <v>0</v>
      </c>
    </row>
    <row r="33" spans="1:11" ht="18" customHeight="1">
      <c r="A33" s="45" t="s">
        <v>273</v>
      </c>
      <c r="B33" s="107"/>
      <c r="C33" s="108"/>
      <c r="D33" s="109"/>
      <c r="F33" s="50">
        <v>0</v>
      </c>
      <c r="G33" s="57">
        <v>0</v>
      </c>
      <c r="H33" s="51">
        <v>0</v>
      </c>
      <c r="I33" s="52">
        <v>0</v>
      </c>
      <c r="J33" s="51">
        <v>0</v>
      </c>
      <c r="K33" s="53">
        <f t="shared" si="0"/>
        <v>0</v>
      </c>
    </row>
    <row r="34" spans="1:11" ht="18" customHeight="1">
      <c r="A34" s="45" t="s">
        <v>274</v>
      </c>
      <c r="B34" s="814"/>
      <c r="C34" s="815"/>
      <c r="D34" s="816"/>
      <c r="F34" s="50">
        <v>0</v>
      </c>
      <c r="G34" s="57">
        <v>0</v>
      </c>
      <c r="H34" s="51">
        <v>0</v>
      </c>
      <c r="I34" s="52">
        <v>0</v>
      </c>
      <c r="J34" s="51">
        <v>0</v>
      </c>
      <c r="K34" s="53">
        <f t="shared" si="0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1">SUM(F21:F34)</f>
        <v>12357.724999999999</v>
      </c>
      <c r="G36" s="59">
        <f t="shared" si="1"/>
        <v>51860</v>
      </c>
      <c r="H36" s="59">
        <f t="shared" si="1"/>
        <v>626724</v>
      </c>
      <c r="I36" s="53">
        <f t="shared" si="1"/>
        <v>255914</v>
      </c>
      <c r="J36" s="53">
        <f t="shared" si="1"/>
        <v>40880</v>
      </c>
      <c r="K36" s="53">
        <f t="shared" si="1"/>
        <v>841758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>
        <v>553.19999999999993</v>
      </c>
      <c r="G40" s="50">
        <v>0</v>
      </c>
      <c r="H40" s="51">
        <v>69016.800000000003</v>
      </c>
      <c r="I40" s="52">
        <v>48218.368223095385</v>
      </c>
      <c r="J40" s="51">
        <v>0</v>
      </c>
      <c r="K40" s="53">
        <f t="shared" ref="K40:K47" si="2">(H40+I40)-J40</f>
        <v>117235.16822309539</v>
      </c>
    </row>
    <row r="41" spans="1:11" ht="18" customHeight="1">
      <c r="A41" s="45" t="s">
        <v>278</v>
      </c>
      <c r="B41" s="818" t="s">
        <v>172</v>
      </c>
      <c r="C41" s="819"/>
      <c r="F41" s="50">
        <v>3136.7999999999997</v>
      </c>
      <c r="G41" s="50">
        <v>0</v>
      </c>
      <c r="H41" s="51">
        <v>120861.9</v>
      </c>
      <c r="I41" s="52">
        <v>84439.782753516993</v>
      </c>
      <c r="J41" s="51">
        <v>0</v>
      </c>
      <c r="K41" s="53">
        <f t="shared" si="2"/>
        <v>205301.682753517</v>
      </c>
    </row>
    <row r="42" spans="1:11" ht="18" customHeight="1">
      <c r="A42" s="45" t="s">
        <v>279</v>
      </c>
      <c r="B42" s="49" t="s">
        <v>174</v>
      </c>
      <c r="F42" s="50">
        <v>7311</v>
      </c>
      <c r="G42" s="50">
        <v>118.8</v>
      </c>
      <c r="H42" s="51">
        <v>297015</v>
      </c>
      <c r="I42" s="52">
        <v>207508.58686265774</v>
      </c>
      <c r="J42" s="51">
        <v>376.5</v>
      </c>
      <c r="K42" s="53">
        <f t="shared" si="2"/>
        <v>504147.08686265774</v>
      </c>
    </row>
    <row r="43" spans="1:11" ht="18" customHeight="1">
      <c r="A43" s="45" t="s">
        <v>280</v>
      </c>
      <c r="B43" s="49" t="s">
        <v>176</v>
      </c>
      <c r="F43" s="50"/>
      <c r="G43" s="50"/>
      <c r="H43" s="51"/>
      <c r="I43" s="52">
        <v>0</v>
      </c>
      <c r="J43" s="51"/>
      <c r="K43" s="53">
        <f t="shared" si="2"/>
        <v>0</v>
      </c>
    </row>
    <row r="44" spans="1:11" ht="18" customHeight="1">
      <c r="A44" s="45" t="s">
        <v>281</v>
      </c>
      <c r="B44" s="814"/>
      <c r="C44" s="815"/>
      <c r="D44" s="816"/>
      <c r="F44" s="50"/>
      <c r="G44" s="50"/>
      <c r="H44" s="50"/>
      <c r="I44" s="52">
        <v>0</v>
      </c>
      <c r="J44" s="50"/>
      <c r="K44" s="63">
        <f t="shared" si="2"/>
        <v>0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v>0</v>
      </c>
      <c r="J45" s="51"/>
      <c r="K45" s="53">
        <f t="shared" si="2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v>0</v>
      </c>
      <c r="J46" s="51"/>
      <c r="K46" s="53">
        <f t="shared" si="2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2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3">SUM(F40:F47)</f>
        <v>11001</v>
      </c>
      <c r="G49" s="64">
        <f t="shared" si="3"/>
        <v>118.8</v>
      </c>
      <c r="H49" s="53">
        <f t="shared" si="3"/>
        <v>486893.7</v>
      </c>
      <c r="I49" s="53">
        <f t="shared" si="3"/>
        <v>340166.73783927015</v>
      </c>
      <c r="J49" s="53">
        <f t="shared" si="3"/>
        <v>376.5</v>
      </c>
      <c r="K49" s="53">
        <f t="shared" si="3"/>
        <v>826683.9378392701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83" t="s">
        <v>452</v>
      </c>
      <c r="C53" s="884"/>
      <c r="D53" s="885"/>
      <c r="F53" s="50"/>
      <c r="G53" s="50"/>
      <c r="H53" s="50">
        <v>1076936</v>
      </c>
      <c r="I53" s="52">
        <v>0</v>
      </c>
      <c r="J53" s="51"/>
      <c r="K53" s="53">
        <f t="shared" ref="K53:K62" si="4">(H53+I53)-J53</f>
        <v>1076936</v>
      </c>
    </row>
    <row r="54" spans="1:11" ht="18" customHeight="1">
      <c r="A54" s="45" t="s">
        <v>289</v>
      </c>
      <c r="B54" s="168" t="s">
        <v>453</v>
      </c>
      <c r="C54" s="169"/>
      <c r="D54" s="170"/>
      <c r="F54" s="50"/>
      <c r="G54" s="50"/>
      <c r="H54" s="50">
        <v>998572</v>
      </c>
      <c r="I54" s="52">
        <v>0</v>
      </c>
      <c r="J54" s="51"/>
      <c r="K54" s="53">
        <f t="shared" si="4"/>
        <v>998572</v>
      </c>
    </row>
    <row r="55" spans="1:11" ht="18" customHeight="1">
      <c r="A55" s="45" t="s">
        <v>291</v>
      </c>
      <c r="B55" s="811"/>
      <c r="C55" s="812"/>
      <c r="D55" s="813"/>
      <c r="F55" s="50"/>
      <c r="G55" s="50"/>
      <c r="H55" s="51"/>
      <c r="I55" s="52">
        <v>0</v>
      </c>
      <c r="J55" s="51"/>
      <c r="K55" s="53">
        <f t="shared" si="4"/>
        <v>0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v>0</v>
      </c>
      <c r="J56" s="51"/>
      <c r="K56" s="53">
        <f t="shared" si="4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v>0</v>
      </c>
      <c r="J57" s="51"/>
      <c r="K57" s="53">
        <f t="shared" si="4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v>0</v>
      </c>
      <c r="J58" s="51"/>
      <c r="K58" s="53">
        <f t="shared" si="4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v>0</v>
      </c>
      <c r="J59" s="51"/>
      <c r="K59" s="53">
        <f t="shared" si="4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v>0</v>
      </c>
      <c r="J60" s="51"/>
      <c r="K60" s="53">
        <f t="shared" si="4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v>0</v>
      </c>
      <c r="J61" s="51"/>
      <c r="K61" s="53">
        <f t="shared" si="4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4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5">SUM(F53:F62)</f>
        <v>0</v>
      </c>
      <c r="G64" s="59">
        <f t="shared" si="5"/>
        <v>0</v>
      </c>
      <c r="H64" s="53">
        <f t="shared" si="5"/>
        <v>2075508</v>
      </c>
      <c r="I64" s="53">
        <f t="shared" si="5"/>
        <v>0</v>
      </c>
      <c r="J64" s="53">
        <f t="shared" si="5"/>
        <v>0</v>
      </c>
      <c r="K64" s="53">
        <f t="shared" si="5"/>
        <v>2075508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>
        <v>3304.59</v>
      </c>
      <c r="G68" s="78">
        <v>0</v>
      </c>
      <c r="H68" s="78">
        <v>102873.59999999999</v>
      </c>
      <c r="I68" s="52">
        <v>71872.31406317628</v>
      </c>
      <c r="J68" s="78">
        <v>0</v>
      </c>
      <c r="K68" s="53">
        <f>(H68+I68)-J68</f>
        <v>174745.91406317626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6">SUM(F68:F72)</f>
        <v>3304.59</v>
      </c>
      <c r="G74" s="86">
        <f t="shared" si="6"/>
        <v>0</v>
      </c>
      <c r="H74" s="86">
        <f t="shared" si="6"/>
        <v>102873.59999999999</v>
      </c>
      <c r="I74" s="87">
        <f t="shared" si="6"/>
        <v>71872.31406317628</v>
      </c>
      <c r="J74" s="86">
        <f t="shared" si="6"/>
        <v>0</v>
      </c>
      <c r="K74" s="63">
        <f t="shared" si="6"/>
        <v>174745.91406317626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>
        <v>0</v>
      </c>
      <c r="G77" s="50">
        <v>0</v>
      </c>
      <c r="H77" s="51">
        <v>14037</v>
      </c>
      <c r="I77" s="52">
        <v>0</v>
      </c>
      <c r="J77" s="51">
        <v>0</v>
      </c>
      <c r="K77" s="53">
        <f>(H77+I77)-J77</f>
        <v>14037</v>
      </c>
    </row>
    <row r="78" spans="1:11" ht="18" customHeight="1">
      <c r="A78" s="45" t="s">
        <v>313</v>
      </c>
      <c r="B78" s="49" t="s">
        <v>197</v>
      </c>
      <c r="F78" s="50">
        <v>0</v>
      </c>
      <c r="G78" s="50">
        <v>0</v>
      </c>
      <c r="H78" s="51">
        <v>0</v>
      </c>
      <c r="I78" s="52">
        <v>0</v>
      </c>
      <c r="J78" s="51">
        <v>0</v>
      </c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>
        <v>344.50199999999995</v>
      </c>
      <c r="G79" s="50">
        <v>0</v>
      </c>
      <c r="H79" s="51">
        <v>36558.6</v>
      </c>
      <c r="I79" s="52">
        <v>0</v>
      </c>
      <c r="J79" s="51">
        <v>1050</v>
      </c>
      <c r="K79" s="53">
        <f>(H79+I79)-J79</f>
        <v>35508.6</v>
      </c>
    </row>
    <row r="80" spans="1:11" ht="18" customHeight="1">
      <c r="A80" s="45" t="s">
        <v>315</v>
      </c>
      <c r="B80" s="49" t="s">
        <v>316</v>
      </c>
      <c r="F80" s="50">
        <v>0</v>
      </c>
      <c r="G80" s="50">
        <v>0</v>
      </c>
      <c r="H80" s="51">
        <v>0</v>
      </c>
      <c r="I80" s="52">
        <v>0</v>
      </c>
      <c r="J80" s="51">
        <v>0</v>
      </c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7">SUM(F77:F80)</f>
        <v>344.50199999999995</v>
      </c>
      <c r="G82" s="86">
        <f t="shared" si="7"/>
        <v>0</v>
      </c>
      <c r="H82" s="63">
        <f t="shared" si="7"/>
        <v>50595.6</v>
      </c>
      <c r="I82" s="63">
        <f t="shared" si="7"/>
        <v>0</v>
      </c>
      <c r="J82" s="63">
        <f t="shared" si="7"/>
        <v>1050</v>
      </c>
      <c r="K82" s="63">
        <f t="shared" si="7"/>
        <v>49545.599999999999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>
        <v>0</v>
      </c>
      <c r="G86" s="50">
        <v>0</v>
      </c>
      <c r="H86" s="51">
        <v>7718.7</v>
      </c>
      <c r="I86" s="52">
        <v>5392.64525164317</v>
      </c>
      <c r="J86" s="51">
        <v>0</v>
      </c>
      <c r="K86" s="53">
        <f t="shared" ref="K86:K96" si="8">(H86+I86)-J86</f>
        <v>13111.34525164317</v>
      </c>
    </row>
    <row r="87" spans="1:11" ht="18" customHeight="1">
      <c r="A87" s="45" t="s">
        <v>320</v>
      </c>
      <c r="B87" s="49" t="s">
        <v>206</v>
      </c>
      <c r="F87" s="50">
        <v>0</v>
      </c>
      <c r="G87" s="50">
        <v>0</v>
      </c>
      <c r="H87" s="51">
        <v>0</v>
      </c>
      <c r="I87" s="52">
        <v>0</v>
      </c>
      <c r="J87" s="51">
        <v>0</v>
      </c>
      <c r="K87" s="53">
        <f t="shared" si="8"/>
        <v>0</v>
      </c>
    </row>
    <row r="88" spans="1:11" ht="18" customHeight="1">
      <c r="A88" s="45" t="s">
        <v>321</v>
      </c>
      <c r="B88" s="49" t="s">
        <v>208</v>
      </c>
      <c r="F88" s="50">
        <v>0</v>
      </c>
      <c r="G88" s="50">
        <v>0</v>
      </c>
      <c r="H88" s="51">
        <v>61959</v>
      </c>
      <c r="I88" s="52">
        <v>43287.458658395735</v>
      </c>
      <c r="J88" s="51">
        <v>0</v>
      </c>
      <c r="K88" s="53">
        <f t="shared" si="8"/>
        <v>105246.45865839574</v>
      </c>
    </row>
    <row r="89" spans="1:11" ht="18" customHeight="1">
      <c r="A89" s="45" t="s">
        <v>322</v>
      </c>
      <c r="B89" s="49" t="s">
        <v>210</v>
      </c>
      <c r="F89" s="50">
        <v>48</v>
      </c>
      <c r="G89" s="50">
        <v>0</v>
      </c>
      <c r="H89" s="51">
        <v>2532.6</v>
      </c>
      <c r="I89" s="52">
        <v>1769.3929501485345</v>
      </c>
      <c r="J89" s="51">
        <v>0</v>
      </c>
      <c r="K89" s="53">
        <f t="shared" si="8"/>
        <v>4301.9929501485349</v>
      </c>
    </row>
    <row r="90" spans="1:11" ht="18" customHeight="1">
      <c r="A90" s="45" t="s">
        <v>323</v>
      </c>
      <c r="B90" s="818" t="s">
        <v>212</v>
      </c>
      <c r="C90" s="819"/>
      <c r="F90" s="50">
        <v>7.5</v>
      </c>
      <c r="G90" s="50">
        <v>0</v>
      </c>
      <c r="H90" s="51">
        <v>936.3</v>
      </c>
      <c r="I90" s="52">
        <v>654.14302267396067</v>
      </c>
      <c r="J90" s="51">
        <v>0</v>
      </c>
      <c r="K90" s="53">
        <f t="shared" si="8"/>
        <v>1590.4430226739605</v>
      </c>
    </row>
    <row r="91" spans="1:11" ht="18" customHeight="1">
      <c r="A91" s="45" t="s">
        <v>324</v>
      </c>
      <c r="B91" s="49" t="s">
        <v>214</v>
      </c>
      <c r="F91" s="50">
        <v>139.35</v>
      </c>
      <c r="G91" s="50">
        <v>120</v>
      </c>
      <c r="H91" s="51">
        <v>12312</v>
      </c>
      <c r="I91" s="52">
        <v>8602</v>
      </c>
      <c r="J91" s="51">
        <v>0</v>
      </c>
      <c r="K91" s="53">
        <f t="shared" si="8"/>
        <v>20914</v>
      </c>
    </row>
    <row r="92" spans="1:11" ht="18" customHeight="1">
      <c r="A92" s="45" t="s">
        <v>325</v>
      </c>
      <c r="B92" s="49" t="s">
        <v>216</v>
      </c>
      <c r="F92" s="89">
        <v>0</v>
      </c>
      <c r="G92" s="89">
        <v>0</v>
      </c>
      <c r="H92" s="90">
        <v>0</v>
      </c>
      <c r="I92" s="52">
        <v>0</v>
      </c>
      <c r="J92" s="90">
        <v>0</v>
      </c>
      <c r="K92" s="53">
        <f t="shared" si="8"/>
        <v>0</v>
      </c>
    </row>
    <row r="93" spans="1:11" ht="18" customHeight="1">
      <c r="A93" s="45" t="s">
        <v>326</v>
      </c>
      <c r="B93" s="49" t="s">
        <v>218</v>
      </c>
      <c r="F93" s="50">
        <v>16.05</v>
      </c>
      <c r="G93" s="50">
        <v>0.6</v>
      </c>
      <c r="H93" s="51">
        <v>1090</v>
      </c>
      <c r="I93" s="52">
        <v>761.24558101628486</v>
      </c>
      <c r="J93" s="51">
        <v>0</v>
      </c>
      <c r="K93" s="53">
        <f t="shared" si="8"/>
        <v>1851.2455810162849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ref="I94:I96" si="9">H94*F$114</f>
        <v>0</v>
      </c>
      <c r="J94" s="51"/>
      <c r="K94" s="53">
        <f t="shared" si="8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9"/>
        <v>0</v>
      </c>
      <c r="J95" s="51"/>
      <c r="K95" s="53">
        <f t="shared" si="8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9"/>
        <v>0</v>
      </c>
      <c r="J96" s="51"/>
      <c r="K96" s="53">
        <f t="shared" si="8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0">SUM(F86:F96)</f>
        <v>210.9</v>
      </c>
      <c r="G98" s="59">
        <f t="shared" si="10"/>
        <v>120.6</v>
      </c>
      <c r="H98" s="59">
        <f t="shared" si="10"/>
        <v>86548.6</v>
      </c>
      <c r="I98" s="59">
        <f t="shared" si="10"/>
        <v>60466.885463877683</v>
      </c>
      <c r="J98" s="59">
        <f t="shared" si="10"/>
        <v>0</v>
      </c>
      <c r="K98" s="59">
        <f t="shared" si="10"/>
        <v>147015.4854638777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1070.3999999999999</v>
      </c>
      <c r="G102" s="50">
        <v>0</v>
      </c>
      <c r="H102" s="51">
        <v>36582</v>
      </c>
      <c r="I102" s="52">
        <v>25557.898168812164</v>
      </c>
      <c r="J102" s="51">
        <v>0</v>
      </c>
      <c r="K102" s="53">
        <f>(H102+I102)-J102</f>
        <v>62139.898168812164</v>
      </c>
    </row>
    <row r="103" spans="1:11" ht="18" customHeight="1">
      <c r="A103" s="45" t="s">
        <v>333</v>
      </c>
      <c r="B103" s="818" t="s">
        <v>226</v>
      </c>
      <c r="C103" s="818"/>
      <c r="F103" s="50"/>
      <c r="G103" s="50"/>
      <c r="H103" s="51"/>
      <c r="I103" s="52">
        <f>H103*F$114</f>
        <v>0</v>
      </c>
      <c r="J103" s="51"/>
      <c r="K103" s="53">
        <f>(H103+I103)-J103</f>
        <v>0</v>
      </c>
    </row>
    <row r="104" spans="1:11" ht="18" customHeight="1">
      <c r="A104" s="45" t="s">
        <v>334</v>
      </c>
      <c r="B104" s="811"/>
      <c r="C104" s="812"/>
      <c r="D104" s="813"/>
      <c r="F104" s="50"/>
      <c r="G104" s="50"/>
      <c r="H104" s="51"/>
      <c r="I104" s="52">
        <f>H104*F$114</f>
        <v>0</v>
      </c>
      <c r="J104" s="51"/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1">SUM(F102:F106)</f>
        <v>1070.3999999999999</v>
      </c>
      <c r="G108" s="59">
        <f t="shared" si="11"/>
        <v>0</v>
      </c>
      <c r="H108" s="53">
        <f t="shared" si="11"/>
        <v>36582</v>
      </c>
      <c r="I108" s="53">
        <f t="shared" si="11"/>
        <v>25557.898168812164</v>
      </c>
      <c r="J108" s="53">
        <f t="shared" si="11"/>
        <v>0</v>
      </c>
      <c r="K108" s="53">
        <f t="shared" si="11"/>
        <v>62139.898168812164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3648200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0.69864682545547441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83088000</v>
      </c>
    </row>
    <row r="118" spans="1:6">
      <c r="A118" s="45" t="s">
        <v>343</v>
      </c>
      <c r="B118" s="40" t="s">
        <v>237</v>
      </c>
      <c r="F118" s="51">
        <v>3412000</v>
      </c>
    </row>
    <row r="119" spans="1:6">
      <c r="A119" s="45" t="s">
        <v>344</v>
      </c>
      <c r="B119" s="43" t="s">
        <v>238</v>
      </c>
      <c r="F119" s="63">
        <f>SUM(F117:F118)</f>
        <v>86500000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83530000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v>2970000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5297000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v>8267000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>
        <v>0</v>
      </c>
      <c r="G131" s="50">
        <v>0</v>
      </c>
      <c r="H131" s="51">
        <v>7407.9</v>
      </c>
      <c r="I131" s="52">
        <v>5175.5058182916082</v>
      </c>
      <c r="J131" s="51">
        <v>0</v>
      </c>
      <c r="K131" s="53">
        <f>(H131+I131)-J131</f>
        <v>12583.405818291609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2">SUM(F131:F135)</f>
        <v>0</v>
      </c>
      <c r="G137" s="59">
        <f t="shared" si="12"/>
        <v>0</v>
      </c>
      <c r="H137" s="53">
        <f t="shared" si="12"/>
        <v>7407.9</v>
      </c>
      <c r="I137" s="53">
        <f t="shared" si="12"/>
        <v>5175.5058182916082</v>
      </c>
      <c r="J137" s="53">
        <f t="shared" si="12"/>
        <v>0</v>
      </c>
      <c r="K137" s="53">
        <f t="shared" si="12"/>
        <v>12583.405818291609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3">F36</f>
        <v>12357.724999999999</v>
      </c>
      <c r="G141" s="95">
        <f t="shared" si="13"/>
        <v>51860</v>
      </c>
      <c r="H141" s="95">
        <f t="shared" si="13"/>
        <v>626724</v>
      </c>
      <c r="I141" s="95">
        <f t="shared" si="13"/>
        <v>255914</v>
      </c>
      <c r="J141" s="95">
        <f t="shared" si="13"/>
        <v>40880</v>
      </c>
      <c r="K141" s="95">
        <f t="shared" si="13"/>
        <v>841758</v>
      </c>
    </row>
    <row r="142" spans="1:11" ht="18" customHeight="1">
      <c r="A142" s="45" t="s">
        <v>286</v>
      </c>
      <c r="B142" s="43" t="s">
        <v>125</v>
      </c>
      <c r="F142" s="95">
        <f t="shared" ref="F142:K142" si="14">F49</f>
        <v>11001</v>
      </c>
      <c r="G142" s="95">
        <f t="shared" si="14"/>
        <v>118.8</v>
      </c>
      <c r="H142" s="95">
        <f t="shared" si="14"/>
        <v>486893.7</v>
      </c>
      <c r="I142" s="95">
        <f t="shared" si="14"/>
        <v>340166.73783927015</v>
      </c>
      <c r="J142" s="95">
        <f t="shared" si="14"/>
        <v>376.5</v>
      </c>
      <c r="K142" s="95">
        <f t="shared" si="14"/>
        <v>826683.9378392701</v>
      </c>
    </row>
    <row r="143" spans="1:11" ht="18" customHeight="1">
      <c r="A143" s="45" t="s">
        <v>305</v>
      </c>
      <c r="B143" s="43" t="s">
        <v>247</v>
      </c>
      <c r="F143" s="95">
        <f t="shared" ref="F143:K143" si="15">F64</f>
        <v>0</v>
      </c>
      <c r="G143" s="95">
        <f t="shared" si="15"/>
        <v>0</v>
      </c>
      <c r="H143" s="95">
        <f t="shared" si="15"/>
        <v>2075508</v>
      </c>
      <c r="I143" s="95">
        <f t="shared" si="15"/>
        <v>0</v>
      </c>
      <c r="J143" s="95">
        <f t="shared" si="15"/>
        <v>0</v>
      </c>
      <c r="K143" s="95">
        <f t="shared" si="15"/>
        <v>2075508</v>
      </c>
    </row>
    <row r="144" spans="1:11" ht="18" customHeight="1">
      <c r="A144" s="45" t="s">
        <v>311</v>
      </c>
      <c r="B144" s="43" t="s">
        <v>127</v>
      </c>
      <c r="F144" s="95">
        <f t="shared" ref="F144:K144" si="16">F74</f>
        <v>3304.59</v>
      </c>
      <c r="G144" s="95">
        <f t="shared" si="16"/>
        <v>0</v>
      </c>
      <c r="H144" s="95">
        <f t="shared" si="16"/>
        <v>102873.59999999999</v>
      </c>
      <c r="I144" s="95">
        <f t="shared" si="16"/>
        <v>71872.31406317628</v>
      </c>
      <c r="J144" s="95">
        <f t="shared" si="16"/>
        <v>0</v>
      </c>
      <c r="K144" s="95">
        <f t="shared" si="16"/>
        <v>174745.91406317626</v>
      </c>
    </row>
    <row r="145" spans="1:11" ht="18" customHeight="1">
      <c r="A145" s="45" t="s">
        <v>317</v>
      </c>
      <c r="B145" s="43" t="s">
        <v>248</v>
      </c>
      <c r="F145" s="95">
        <f t="shared" ref="F145:K145" si="17">F82</f>
        <v>344.50199999999995</v>
      </c>
      <c r="G145" s="95">
        <f t="shared" si="17"/>
        <v>0</v>
      </c>
      <c r="H145" s="95">
        <f t="shared" si="17"/>
        <v>50595.6</v>
      </c>
      <c r="I145" s="95">
        <f t="shared" si="17"/>
        <v>0</v>
      </c>
      <c r="J145" s="95">
        <f t="shared" si="17"/>
        <v>1050</v>
      </c>
      <c r="K145" s="95">
        <f t="shared" si="17"/>
        <v>49545.599999999999</v>
      </c>
    </row>
    <row r="146" spans="1:11" ht="18" customHeight="1">
      <c r="A146" s="45" t="s">
        <v>331</v>
      </c>
      <c r="B146" s="43" t="s">
        <v>249</v>
      </c>
      <c r="F146" s="95">
        <f t="shared" ref="F146:K146" si="18">F98</f>
        <v>210.9</v>
      </c>
      <c r="G146" s="95">
        <f t="shared" si="18"/>
        <v>120.6</v>
      </c>
      <c r="H146" s="95">
        <f t="shared" si="18"/>
        <v>86548.6</v>
      </c>
      <c r="I146" s="95">
        <f t="shared" si="18"/>
        <v>60466.885463877683</v>
      </c>
      <c r="J146" s="95">
        <f t="shared" si="18"/>
        <v>0</v>
      </c>
      <c r="K146" s="95">
        <f t="shared" si="18"/>
        <v>147015.4854638777</v>
      </c>
    </row>
    <row r="147" spans="1:11" ht="18" customHeight="1">
      <c r="A147" s="45" t="s">
        <v>338</v>
      </c>
      <c r="B147" s="43" t="s">
        <v>129</v>
      </c>
      <c r="F147" s="59">
        <f t="shared" ref="F147:K147" si="19">F108</f>
        <v>1070.3999999999999</v>
      </c>
      <c r="G147" s="59">
        <f t="shared" si="19"/>
        <v>0</v>
      </c>
      <c r="H147" s="59">
        <f t="shared" si="19"/>
        <v>36582</v>
      </c>
      <c r="I147" s="59">
        <f t="shared" si="19"/>
        <v>25557.898168812164</v>
      </c>
      <c r="J147" s="59">
        <f t="shared" si="19"/>
        <v>0</v>
      </c>
      <c r="K147" s="59">
        <f t="shared" si="19"/>
        <v>62139.898168812164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3648200</v>
      </c>
    </row>
    <row r="149" spans="1:11" ht="18" customHeight="1">
      <c r="A149" s="45" t="s">
        <v>358</v>
      </c>
      <c r="B149" s="43" t="s">
        <v>250</v>
      </c>
      <c r="F149" s="59">
        <f t="shared" ref="F149:K149" si="20">F137</f>
        <v>0</v>
      </c>
      <c r="G149" s="59">
        <f t="shared" si="20"/>
        <v>0</v>
      </c>
      <c r="H149" s="59">
        <f t="shared" si="20"/>
        <v>7407.9</v>
      </c>
      <c r="I149" s="59">
        <f t="shared" si="20"/>
        <v>5175.5058182916082</v>
      </c>
      <c r="J149" s="59">
        <f t="shared" si="20"/>
        <v>0</v>
      </c>
      <c r="K149" s="59">
        <f t="shared" si="20"/>
        <v>12583.405818291609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2550165</v>
      </c>
      <c r="I150" s="59">
        <f>I18</f>
        <v>0</v>
      </c>
      <c r="J150" s="59">
        <f>J18</f>
        <v>2180710</v>
      </c>
      <c r="K150" s="59">
        <f>K18</f>
        <v>369455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1">SUM(F141:F150)</f>
        <v>28289.117000000002</v>
      </c>
      <c r="G152" s="99">
        <f t="shared" si="21"/>
        <v>52099.4</v>
      </c>
      <c r="H152" s="99">
        <f t="shared" si="21"/>
        <v>6023298.4000000004</v>
      </c>
      <c r="I152" s="99">
        <f t="shared" si="21"/>
        <v>759153.34135342785</v>
      </c>
      <c r="J152" s="99">
        <f t="shared" si="21"/>
        <v>2223016.5</v>
      </c>
      <c r="K152" s="99">
        <f t="shared" si="21"/>
        <v>8207635.241353428</v>
      </c>
    </row>
    <row r="154" spans="1:11" ht="18" customHeight="1">
      <c r="A154" s="48" t="s">
        <v>361</v>
      </c>
      <c r="B154" s="43" t="s">
        <v>252</v>
      </c>
      <c r="F154" s="165">
        <f>K152/F121</f>
        <v>9.8259729933597842E-2</v>
      </c>
    </row>
    <row r="155" spans="1:11" ht="18" customHeight="1">
      <c r="A155" s="48" t="s">
        <v>362</v>
      </c>
      <c r="B155" s="43" t="s">
        <v>253</v>
      </c>
      <c r="F155" s="165">
        <f>K152/F127</f>
        <v>0.99281906874965864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4" workbookViewId="0">
      <selection activeCell="B43" sqref="B43"/>
    </sheetView>
  </sheetViews>
  <sheetFormatPr defaultRowHeight="12.75"/>
  <cols>
    <col min="1" max="1" width="8.28515625" style="267" customWidth="1"/>
    <col min="2" max="2" width="55.42578125" style="268" bestFit="1" customWidth="1"/>
    <col min="3" max="3" width="9.5703125" style="268" customWidth="1"/>
    <col min="4" max="4" width="9.140625" style="268"/>
    <col min="5" max="5" width="12.42578125" style="268" customWidth="1"/>
    <col min="6" max="6" width="18.5703125" style="268" customWidth="1"/>
    <col min="7" max="7" width="23.5703125" style="268" customWidth="1"/>
    <col min="8" max="8" width="17.140625" style="268" customWidth="1"/>
    <col min="9" max="9" width="21.140625" style="268" customWidth="1"/>
    <col min="10" max="10" width="19.85546875" style="268" customWidth="1"/>
    <col min="11" max="11" width="17.5703125" style="268" customWidth="1"/>
    <col min="12" max="16384" width="9.140625" style="268"/>
  </cols>
  <sheetData>
    <row r="1" spans="1:11" ht="18" customHeight="1">
      <c r="C1" s="269"/>
      <c r="D1" s="270"/>
      <c r="E1" s="269"/>
      <c r="F1" s="269"/>
      <c r="G1" s="269"/>
      <c r="H1" s="269"/>
      <c r="I1" s="269"/>
      <c r="J1" s="269"/>
      <c r="K1" s="269"/>
    </row>
    <row r="2" spans="1:11" ht="18" customHeight="1">
      <c r="D2" s="895" t="s">
        <v>133</v>
      </c>
      <c r="E2" s="896"/>
      <c r="F2" s="896"/>
      <c r="G2" s="896"/>
      <c r="H2" s="896"/>
    </row>
    <row r="3" spans="1:11" ht="18" customHeight="1">
      <c r="B3" s="271" t="s">
        <v>134</v>
      </c>
    </row>
    <row r="5" spans="1:11" ht="18" customHeight="1">
      <c r="B5" s="272" t="s">
        <v>135</v>
      </c>
      <c r="C5" s="897" t="s">
        <v>678</v>
      </c>
      <c r="D5" s="898"/>
      <c r="E5" s="898"/>
      <c r="F5" s="898"/>
      <c r="G5" s="899"/>
    </row>
    <row r="6" spans="1:11" ht="18" customHeight="1">
      <c r="B6" s="272" t="s">
        <v>136</v>
      </c>
      <c r="C6" s="900" t="s">
        <v>679</v>
      </c>
      <c r="D6" s="901"/>
      <c r="E6" s="901"/>
      <c r="F6" s="901"/>
      <c r="G6" s="902"/>
    </row>
    <row r="7" spans="1:11" ht="18" customHeight="1">
      <c r="B7" s="272" t="s">
        <v>137</v>
      </c>
      <c r="C7" s="903">
        <v>1978</v>
      </c>
      <c r="D7" s="904"/>
      <c r="E7" s="904"/>
      <c r="F7" s="904"/>
      <c r="G7" s="905"/>
    </row>
    <row r="9" spans="1:11" ht="18" customHeight="1">
      <c r="B9" s="272" t="s">
        <v>138</v>
      </c>
      <c r="C9" s="897"/>
      <c r="D9" s="898"/>
      <c r="E9" s="898"/>
      <c r="F9" s="898"/>
      <c r="G9" s="899"/>
    </row>
    <row r="10" spans="1:11" ht="18" customHeight="1">
      <c r="B10" s="272" t="s">
        <v>140</v>
      </c>
      <c r="C10" s="906"/>
      <c r="D10" s="907"/>
      <c r="E10" s="907"/>
      <c r="F10" s="907"/>
      <c r="G10" s="908"/>
    </row>
    <row r="11" spans="1:11" ht="18" customHeight="1">
      <c r="B11" s="272" t="s">
        <v>142</v>
      </c>
      <c r="C11" s="897"/>
      <c r="D11" s="909"/>
      <c r="E11" s="909"/>
      <c r="F11" s="909"/>
      <c r="G11" s="909"/>
    </row>
    <row r="12" spans="1:11" ht="18" customHeight="1">
      <c r="B12" s="272"/>
      <c r="C12" s="272"/>
      <c r="D12" s="272"/>
      <c r="E12" s="272"/>
      <c r="F12" s="272"/>
      <c r="G12" s="272"/>
    </row>
    <row r="13" spans="1:11" ht="24.6" customHeight="1">
      <c r="B13" s="910"/>
      <c r="C13" s="911"/>
      <c r="D13" s="911"/>
      <c r="E13" s="911"/>
      <c r="F13" s="911"/>
      <c r="G13" s="911"/>
      <c r="H13" s="890"/>
      <c r="I13" s="269"/>
    </row>
    <row r="14" spans="1:11" ht="18" customHeight="1">
      <c r="B14" s="273"/>
    </row>
    <row r="15" spans="1:11" ht="18" customHeight="1">
      <c r="B15" s="273"/>
    </row>
    <row r="16" spans="1:11" ht="45" customHeight="1">
      <c r="A16" s="270" t="s">
        <v>144</v>
      </c>
      <c r="B16" s="269"/>
      <c r="C16" s="269"/>
      <c r="D16" s="269"/>
      <c r="E16" s="269"/>
      <c r="F16" s="274" t="s">
        <v>145</v>
      </c>
      <c r="G16" s="274" t="s">
        <v>146</v>
      </c>
      <c r="H16" s="274" t="s">
        <v>147</v>
      </c>
      <c r="I16" s="274" t="s">
        <v>148</v>
      </c>
      <c r="J16" s="274" t="s">
        <v>149</v>
      </c>
      <c r="K16" s="274" t="s">
        <v>150</v>
      </c>
    </row>
    <row r="17" spans="1:11" ht="18" customHeight="1">
      <c r="A17" s="275" t="s">
        <v>151</v>
      </c>
      <c r="B17" s="271" t="s">
        <v>152</v>
      </c>
    </row>
    <row r="18" spans="1:11" ht="18" customHeight="1">
      <c r="A18" s="272" t="s">
        <v>259</v>
      </c>
      <c r="B18" s="268" t="s">
        <v>153</v>
      </c>
      <c r="F18" s="276" t="s">
        <v>122</v>
      </c>
      <c r="G18" s="276" t="s">
        <v>122</v>
      </c>
      <c r="H18" s="277">
        <v>10263649.8487105</v>
      </c>
      <c r="I18" s="278">
        <v>0</v>
      </c>
      <c r="J18" s="277">
        <v>8776703.9158627205</v>
      </c>
      <c r="K18" s="279">
        <f>(H18+I18)-J18</f>
        <v>1486945.9328477792</v>
      </c>
    </row>
    <row r="19" spans="1:11" ht="45" customHeight="1">
      <c r="A19" s="270" t="s">
        <v>154</v>
      </c>
      <c r="B19" s="269"/>
      <c r="C19" s="269"/>
      <c r="D19" s="269"/>
      <c r="E19" s="269"/>
      <c r="F19" s="274" t="s">
        <v>145</v>
      </c>
      <c r="G19" s="274" t="s">
        <v>146</v>
      </c>
      <c r="H19" s="274" t="s">
        <v>147</v>
      </c>
      <c r="I19" s="274" t="s">
        <v>148</v>
      </c>
      <c r="J19" s="274" t="s">
        <v>149</v>
      </c>
      <c r="K19" s="274" t="s">
        <v>150</v>
      </c>
    </row>
    <row r="20" spans="1:11" ht="18" customHeight="1">
      <c r="A20" s="275" t="s">
        <v>260</v>
      </c>
      <c r="B20" s="271" t="s">
        <v>155</v>
      </c>
    </row>
    <row r="21" spans="1:11" ht="18" customHeight="1">
      <c r="A21" s="272" t="s">
        <v>164</v>
      </c>
      <c r="B21" s="268" t="s">
        <v>156</v>
      </c>
      <c r="F21" s="280">
        <v>4473.6133302898879</v>
      </c>
      <c r="G21" s="280">
        <v>28194</v>
      </c>
      <c r="H21" s="277">
        <v>195989</v>
      </c>
      <c r="I21" s="281">
        <f>H21*F$114</f>
        <v>86098.327758467058</v>
      </c>
      <c r="J21" s="277">
        <v>5031</v>
      </c>
      <c r="K21" s="279">
        <f>(H21+I21)-J21</f>
        <v>277056.32775846706</v>
      </c>
    </row>
    <row r="22" spans="1:11" ht="18" customHeight="1">
      <c r="A22" s="272" t="s">
        <v>261</v>
      </c>
      <c r="B22" s="268" t="s">
        <v>157</v>
      </c>
      <c r="F22" s="280">
        <v>336.84090390321842</v>
      </c>
      <c r="G22" s="280">
        <v>1056</v>
      </c>
      <c r="H22" s="277">
        <v>14757</v>
      </c>
      <c r="I22" s="281">
        <f t="shared" ref="I22:I34" si="0">H22*F$114</f>
        <v>6482.7772106174243</v>
      </c>
      <c r="J22" s="277">
        <v>0</v>
      </c>
      <c r="K22" s="279">
        <f t="shared" ref="K22:K34" si="1">(H22+I22)-J22</f>
        <v>21239.777210617423</v>
      </c>
    </row>
    <row r="23" spans="1:11" ht="18" customHeight="1">
      <c r="A23" s="272" t="s">
        <v>262</v>
      </c>
      <c r="B23" s="268" t="s">
        <v>158</v>
      </c>
      <c r="F23" s="280">
        <v>0</v>
      </c>
      <c r="G23" s="280">
        <v>0</v>
      </c>
      <c r="H23" s="277">
        <v>0</v>
      </c>
      <c r="I23" s="281">
        <f t="shared" si="0"/>
        <v>0</v>
      </c>
      <c r="J23" s="277">
        <v>0</v>
      </c>
      <c r="K23" s="279">
        <f t="shared" si="1"/>
        <v>0</v>
      </c>
    </row>
    <row r="24" spans="1:11" ht="18" customHeight="1">
      <c r="A24" s="272" t="s">
        <v>263</v>
      </c>
      <c r="B24" s="268" t="s">
        <v>159</v>
      </c>
      <c r="F24" s="280">
        <v>3521.3421593243552</v>
      </c>
      <c r="G24" s="280">
        <v>795</v>
      </c>
      <c r="H24" s="277">
        <v>154270</v>
      </c>
      <c r="I24" s="281">
        <f t="shared" si="0"/>
        <v>67771.094414986117</v>
      </c>
      <c r="J24" s="277">
        <v>0</v>
      </c>
      <c r="K24" s="279">
        <f t="shared" si="1"/>
        <v>222041.09441498612</v>
      </c>
    </row>
    <row r="25" spans="1:11" ht="18" customHeight="1">
      <c r="A25" s="272" t="s">
        <v>264</v>
      </c>
      <c r="B25" s="268" t="s">
        <v>160</v>
      </c>
      <c r="F25" s="280">
        <v>1060.0319561743891</v>
      </c>
      <c r="G25" s="280">
        <v>1598</v>
      </c>
      <c r="H25" s="277">
        <v>46440</v>
      </c>
      <c r="I25" s="281">
        <f t="shared" si="0"/>
        <v>20401.177316600475</v>
      </c>
      <c r="J25" s="277">
        <v>0</v>
      </c>
      <c r="K25" s="279">
        <f t="shared" si="1"/>
        <v>66841.177316600471</v>
      </c>
    </row>
    <row r="26" spans="1:11" ht="18" customHeight="1">
      <c r="A26" s="272" t="s">
        <v>265</v>
      </c>
      <c r="B26" s="268" t="s">
        <v>161</v>
      </c>
      <c r="F26" s="280">
        <v>1016.2976489385984</v>
      </c>
      <c r="G26" s="280">
        <v>6620</v>
      </c>
      <c r="H26" s="277">
        <v>44524</v>
      </c>
      <c r="I26" s="281">
        <f t="shared" si="0"/>
        <v>19559.474996647707</v>
      </c>
      <c r="J26" s="277">
        <v>0</v>
      </c>
      <c r="K26" s="279">
        <f t="shared" si="1"/>
        <v>64083.47499664771</v>
      </c>
    </row>
    <row r="27" spans="1:11" ht="18" customHeight="1">
      <c r="A27" s="272" t="s">
        <v>266</v>
      </c>
      <c r="B27" s="268" t="s">
        <v>680</v>
      </c>
      <c r="F27" s="280">
        <v>0</v>
      </c>
      <c r="G27" s="280">
        <v>0</v>
      </c>
      <c r="H27" s="277">
        <v>961732.68999999925</v>
      </c>
      <c r="I27" s="281">
        <f>H27*F$114</f>
        <v>422490.93755084282</v>
      </c>
      <c r="J27" s="277">
        <v>260861.90000000005</v>
      </c>
      <c r="K27" s="279">
        <f>(H27+I27)-J27</f>
        <v>1123361.7275508419</v>
      </c>
    </row>
    <row r="28" spans="1:11" ht="18" customHeight="1">
      <c r="A28" s="272" t="s">
        <v>267</v>
      </c>
      <c r="B28" s="268" t="s">
        <v>163</v>
      </c>
      <c r="F28" s="280">
        <v>0</v>
      </c>
      <c r="G28" s="280">
        <v>0</v>
      </c>
      <c r="H28" s="277">
        <v>0</v>
      </c>
      <c r="I28" s="281">
        <f t="shared" si="0"/>
        <v>0</v>
      </c>
      <c r="J28" s="277">
        <v>0</v>
      </c>
      <c r="K28" s="279">
        <f t="shared" si="1"/>
        <v>0</v>
      </c>
    </row>
    <row r="29" spans="1:11" ht="18" customHeight="1">
      <c r="A29" s="272" t="s">
        <v>268</v>
      </c>
      <c r="B29" s="268" t="s">
        <v>165</v>
      </c>
      <c r="F29" s="280">
        <v>332.54964619949789</v>
      </c>
      <c r="G29" s="280">
        <v>1670</v>
      </c>
      <c r="H29" s="277">
        <v>14569</v>
      </c>
      <c r="I29" s="281">
        <f t="shared" si="0"/>
        <v>6400.1884652358376</v>
      </c>
      <c r="J29" s="277">
        <v>0</v>
      </c>
      <c r="K29" s="279">
        <f t="shared" si="1"/>
        <v>20969.188465235839</v>
      </c>
    </row>
    <row r="30" spans="1:11" ht="18" customHeight="1">
      <c r="A30" s="272" t="s">
        <v>269</v>
      </c>
      <c r="B30" s="887" t="s">
        <v>681</v>
      </c>
      <c r="C30" s="888"/>
      <c r="D30" s="889"/>
      <c r="F30" s="280">
        <v>41.291942478886099</v>
      </c>
      <c r="G30" s="280">
        <v>1556</v>
      </c>
      <c r="H30" s="277">
        <v>1809</v>
      </c>
      <c r="I30" s="281">
        <f t="shared" si="0"/>
        <v>794.69702337920444</v>
      </c>
      <c r="J30" s="277">
        <v>0</v>
      </c>
      <c r="K30" s="279">
        <f t="shared" si="1"/>
        <v>2603.6970233792044</v>
      </c>
    </row>
    <row r="31" spans="1:11" ht="18" customHeight="1">
      <c r="A31" s="272" t="s">
        <v>270</v>
      </c>
      <c r="B31" s="887"/>
      <c r="C31" s="888"/>
      <c r="D31" s="889"/>
      <c r="F31" s="280"/>
      <c r="G31" s="280"/>
      <c r="H31" s="277"/>
      <c r="I31" s="281">
        <f t="shared" si="0"/>
        <v>0</v>
      </c>
      <c r="J31" s="277"/>
      <c r="K31" s="279">
        <f t="shared" si="1"/>
        <v>0</v>
      </c>
    </row>
    <row r="32" spans="1:11" ht="18" customHeight="1">
      <c r="A32" s="272" t="s">
        <v>271</v>
      </c>
      <c r="B32" s="282"/>
      <c r="C32" s="283"/>
      <c r="D32" s="284"/>
      <c r="F32" s="280"/>
      <c r="G32" s="280" t="s">
        <v>272</v>
      </c>
      <c r="H32" s="277"/>
      <c r="I32" s="281">
        <f t="shared" si="0"/>
        <v>0</v>
      </c>
      <c r="J32" s="277"/>
      <c r="K32" s="279">
        <f t="shared" si="1"/>
        <v>0</v>
      </c>
    </row>
    <row r="33" spans="1:11" ht="18" customHeight="1">
      <c r="A33" s="272" t="s">
        <v>273</v>
      </c>
      <c r="B33" s="282"/>
      <c r="C33" s="283"/>
      <c r="D33" s="284"/>
      <c r="F33" s="280"/>
      <c r="G33" s="280" t="s">
        <v>272</v>
      </c>
      <c r="H33" s="277"/>
      <c r="I33" s="281">
        <f t="shared" si="0"/>
        <v>0</v>
      </c>
      <c r="J33" s="277"/>
      <c r="K33" s="279">
        <f t="shared" si="1"/>
        <v>0</v>
      </c>
    </row>
    <row r="34" spans="1:11" ht="18" customHeight="1">
      <c r="A34" s="272" t="s">
        <v>274</v>
      </c>
      <c r="B34" s="887"/>
      <c r="C34" s="888"/>
      <c r="D34" s="889"/>
      <c r="F34" s="280"/>
      <c r="G34" s="280" t="s">
        <v>272</v>
      </c>
      <c r="H34" s="277"/>
      <c r="I34" s="281">
        <f t="shared" si="0"/>
        <v>0</v>
      </c>
      <c r="J34" s="277"/>
      <c r="K34" s="279">
        <f t="shared" si="1"/>
        <v>0</v>
      </c>
    </row>
    <row r="35" spans="1:11" ht="18" customHeight="1">
      <c r="F35" s="285"/>
      <c r="G35" s="285"/>
      <c r="H35" s="286"/>
      <c r="I35" s="286"/>
      <c r="J35" s="286"/>
      <c r="K35" s="287"/>
    </row>
    <row r="36" spans="1:11" ht="18" customHeight="1">
      <c r="A36" s="275" t="s">
        <v>275</v>
      </c>
      <c r="B36" s="271" t="s">
        <v>166</v>
      </c>
      <c r="E36" s="271" t="s">
        <v>276</v>
      </c>
      <c r="F36" s="288">
        <f t="shared" ref="F36:K36" si="2">SUM(F21:F34)</f>
        <v>10781.967587308833</v>
      </c>
      <c r="G36" s="288">
        <f t="shared" si="2"/>
        <v>41489</v>
      </c>
      <c r="H36" s="279">
        <f t="shared" si="2"/>
        <v>1434090.6899999992</v>
      </c>
      <c r="I36" s="279">
        <f t="shared" si="2"/>
        <v>629998.67473677662</v>
      </c>
      <c r="J36" s="279">
        <f t="shared" si="2"/>
        <v>265892.90000000002</v>
      </c>
      <c r="K36" s="279">
        <f t="shared" si="2"/>
        <v>1798196.4647367755</v>
      </c>
    </row>
    <row r="37" spans="1:11" ht="18" customHeight="1" thickBot="1">
      <c r="B37" s="271"/>
      <c r="F37" s="289"/>
      <c r="G37" s="289"/>
      <c r="H37" s="290"/>
      <c r="I37" s="290"/>
      <c r="J37" s="290"/>
      <c r="K37" s="291"/>
    </row>
    <row r="38" spans="1:11" ht="42.75" customHeight="1">
      <c r="F38" s="274" t="s">
        <v>145</v>
      </c>
      <c r="G38" s="274" t="s">
        <v>146</v>
      </c>
      <c r="H38" s="274" t="s">
        <v>147</v>
      </c>
      <c r="I38" s="274" t="s">
        <v>148</v>
      </c>
      <c r="J38" s="274" t="s">
        <v>149</v>
      </c>
      <c r="K38" s="274" t="s">
        <v>150</v>
      </c>
    </row>
    <row r="39" spans="1:11" ht="18.75" customHeight="1">
      <c r="A39" s="275" t="s">
        <v>167</v>
      </c>
      <c r="B39" s="271" t="s">
        <v>168</v>
      </c>
    </row>
    <row r="40" spans="1:11" ht="18" customHeight="1">
      <c r="A40" s="272" t="s">
        <v>277</v>
      </c>
      <c r="B40" s="268" t="s">
        <v>170</v>
      </c>
      <c r="F40" s="276"/>
      <c r="G40" s="276"/>
      <c r="H40" s="277"/>
      <c r="I40" s="281">
        <v>0</v>
      </c>
      <c r="J40" s="277"/>
      <c r="K40" s="279">
        <f t="shared" ref="K40:K47" si="3">(H40+I40)-J40</f>
        <v>0</v>
      </c>
    </row>
    <row r="41" spans="1:11" ht="18" customHeight="1">
      <c r="A41" s="272" t="s">
        <v>278</v>
      </c>
      <c r="B41" s="890" t="s">
        <v>172</v>
      </c>
      <c r="C41" s="890"/>
      <c r="F41" s="276">
        <v>14588.495777219812</v>
      </c>
      <c r="G41" s="276">
        <v>540</v>
      </c>
      <c r="H41" s="277">
        <v>639122</v>
      </c>
      <c r="I41" s="281">
        <f>H41*F$114</f>
        <v>280767.46875409834</v>
      </c>
      <c r="J41" s="277"/>
      <c r="K41" s="279">
        <f t="shared" si="3"/>
        <v>919889.46875409828</v>
      </c>
    </row>
    <row r="42" spans="1:11" ht="18" customHeight="1">
      <c r="A42" s="272" t="s">
        <v>279</v>
      </c>
      <c r="B42" s="268" t="s">
        <v>174</v>
      </c>
      <c r="F42" s="276"/>
      <c r="G42" s="276"/>
      <c r="H42" s="277"/>
      <c r="I42" s="281">
        <f>H42*F$114</f>
        <v>0</v>
      </c>
      <c r="J42" s="277"/>
      <c r="K42" s="279">
        <f t="shared" si="3"/>
        <v>0</v>
      </c>
    </row>
    <row r="43" spans="1:11" ht="18" customHeight="1">
      <c r="A43" s="272" t="s">
        <v>280</v>
      </c>
      <c r="B43" s="268" t="s">
        <v>176</v>
      </c>
      <c r="F43" s="276"/>
      <c r="G43" s="276"/>
      <c r="H43" s="277"/>
      <c r="I43" s="281">
        <v>0</v>
      </c>
      <c r="J43" s="277"/>
      <c r="K43" s="279">
        <f t="shared" si="3"/>
        <v>0</v>
      </c>
    </row>
    <row r="44" spans="1:11" ht="18" customHeight="1">
      <c r="A44" s="272" t="s">
        <v>281</v>
      </c>
      <c r="B44" s="887"/>
      <c r="C44" s="888"/>
      <c r="D44" s="889"/>
      <c r="F44" s="276"/>
      <c r="G44" s="276"/>
      <c r="H44" s="277"/>
      <c r="I44" s="281">
        <v>0</v>
      </c>
      <c r="J44" s="277"/>
      <c r="K44" s="292">
        <f t="shared" si="3"/>
        <v>0</v>
      </c>
    </row>
    <row r="45" spans="1:11" ht="18" customHeight="1">
      <c r="A45" s="272" t="s">
        <v>283</v>
      </c>
      <c r="B45" s="887"/>
      <c r="C45" s="888"/>
      <c r="D45" s="889"/>
      <c r="F45" s="276"/>
      <c r="G45" s="276"/>
      <c r="H45" s="277"/>
      <c r="I45" s="281">
        <v>0</v>
      </c>
      <c r="J45" s="277"/>
      <c r="K45" s="279">
        <f t="shared" si="3"/>
        <v>0</v>
      </c>
    </row>
    <row r="46" spans="1:11" ht="18" customHeight="1">
      <c r="A46" s="272" t="s">
        <v>284</v>
      </c>
      <c r="B46" s="887"/>
      <c r="C46" s="888"/>
      <c r="D46" s="889"/>
      <c r="F46" s="276"/>
      <c r="G46" s="276"/>
      <c r="H46" s="277"/>
      <c r="I46" s="281">
        <v>0</v>
      </c>
      <c r="J46" s="277"/>
      <c r="K46" s="279">
        <f t="shared" si="3"/>
        <v>0</v>
      </c>
    </row>
    <row r="47" spans="1:11" ht="18" customHeight="1">
      <c r="A47" s="272" t="s">
        <v>285</v>
      </c>
      <c r="B47" s="887"/>
      <c r="C47" s="888"/>
      <c r="D47" s="889"/>
      <c r="F47" s="276"/>
      <c r="G47" s="276"/>
      <c r="H47" s="277"/>
      <c r="I47" s="281">
        <v>0</v>
      </c>
      <c r="J47" s="277"/>
      <c r="K47" s="279">
        <f t="shared" si="3"/>
        <v>0</v>
      </c>
    </row>
    <row r="48" spans="1:11" ht="18" customHeight="1">
      <c r="H48" s="286"/>
      <c r="I48" s="286"/>
      <c r="J48" s="286"/>
      <c r="K48" s="286"/>
    </row>
    <row r="49" spans="1:11" ht="18" customHeight="1">
      <c r="A49" s="275" t="s">
        <v>286</v>
      </c>
      <c r="B49" s="271" t="s">
        <v>177</v>
      </c>
      <c r="E49" s="271" t="s">
        <v>276</v>
      </c>
      <c r="F49" s="293">
        <f t="shared" ref="F49:K49" si="4">SUM(F40:F47)</f>
        <v>14588.495777219812</v>
      </c>
      <c r="G49" s="293">
        <f t="shared" si="4"/>
        <v>540</v>
      </c>
      <c r="H49" s="279">
        <f t="shared" si="4"/>
        <v>639122</v>
      </c>
      <c r="I49" s="279">
        <f t="shared" si="4"/>
        <v>280767.46875409834</v>
      </c>
      <c r="J49" s="279">
        <f t="shared" si="4"/>
        <v>0</v>
      </c>
      <c r="K49" s="279">
        <f t="shared" si="4"/>
        <v>919889.46875409828</v>
      </c>
    </row>
    <row r="50" spans="1:11" ht="18" customHeight="1" thickBot="1">
      <c r="G50" s="294"/>
      <c r="H50" s="294"/>
      <c r="I50" s="294"/>
      <c r="J50" s="294"/>
      <c r="K50" s="294"/>
    </row>
    <row r="51" spans="1:11" ht="42.75" customHeight="1">
      <c r="F51" s="274" t="s">
        <v>145</v>
      </c>
      <c r="G51" s="274" t="s">
        <v>146</v>
      </c>
      <c r="H51" s="274" t="s">
        <v>147</v>
      </c>
      <c r="I51" s="274" t="s">
        <v>148</v>
      </c>
      <c r="J51" s="274" t="s">
        <v>149</v>
      </c>
      <c r="K51" s="274" t="s">
        <v>150</v>
      </c>
    </row>
    <row r="52" spans="1:11" ht="18" customHeight="1">
      <c r="A52" s="275" t="s">
        <v>178</v>
      </c>
      <c r="B52" s="891" t="s">
        <v>179</v>
      </c>
      <c r="C52" s="892"/>
    </row>
    <row r="53" spans="1:11" ht="18" customHeight="1">
      <c r="A53" s="272" t="s">
        <v>287</v>
      </c>
      <c r="B53" s="893" t="s">
        <v>682</v>
      </c>
      <c r="C53" s="894"/>
      <c r="D53" s="889"/>
      <c r="F53" s="276">
        <v>9024.7622895165696</v>
      </c>
      <c r="G53" s="276"/>
      <c r="H53" s="277">
        <v>1329166.99</v>
      </c>
      <c r="I53" s="281">
        <f t="shared" ref="I53:I59" si="5">H53*F$114</f>
        <v>583905.50056765997</v>
      </c>
      <c r="J53" s="277"/>
      <c r="K53" s="279">
        <f t="shared" ref="K53:K62" si="6">(H53+I53)-J53</f>
        <v>1913072.49056766</v>
      </c>
    </row>
    <row r="54" spans="1:11" ht="18" customHeight="1">
      <c r="A54" s="272" t="s">
        <v>289</v>
      </c>
      <c r="B54" s="282" t="s">
        <v>683</v>
      </c>
      <c r="C54" s="283"/>
      <c r="D54" s="284"/>
      <c r="F54" s="276">
        <v>22788.778245518733</v>
      </c>
      <c r="G54" s="276"/>
      <c r="H54" s="277">
        <v>3356331.2600000007</v>
      </c>
      <c r="I54" s="281">
        <f t="shared" si="5"/>
        <v>1474442.4885553208</v>
      </c>
      <c r="J54" s="277"/>
      <c r="K54" s="279">
        <f t="shared" si="6"/>
        <v>4830773.7485553212</v>
      </c>
    </row>
    <row r="55" spans="1:11" ht="18" customHeight="1">
      <c r="A55" s="272" t="s">
        <v>291</v>
      </c>
      <c r="B55" s="887" t="s">
        <v>684</v>
      </c>
      <c r="C55" s="888"/>
      <c r="D55" s="889"/>
      <c r="F55" s="276">
        <v>4620.4372623574163</v>
      </c>
      <c r="G55" s="276"/>
      <c r="H55" s="277">
        <v>680498</v>
      </c>
      <c r="I55" s="281">
        <f t="shared" si="5"/>
        <v>298944.02156744164</v>
      </c>
      <c r="J55" s="277"/>
      <c r="K55" s="279">
        <f t="shared" si="6"/>
        <v>979442.02156744164</v>
      </c>
    </row>
    <row r="56" spans="1:11" ht="18" customHeight="1">
      <c r="A56" s="272" t="s">
        <v>293</v>
      </c>
      <c r="B56" s="887" t="s">
        <v>685</v>
      </c>
      <c r="C56" s="888"/>
      <c r="D56" s="889"/>
      <c r="F56" s="276">
        <v>2416.0332699619767</v>
      </c>
      <c r="G56" s="276"/>
      <c r="H56" s="277">
        <v>355833.38</v>
      </c>
      <c r="I56" s="281">
        <f t="shared" si="5"/>
        <v>156318.2575483479</v>
      </c>
      <c r="J56" s="277"/>
      <c r="K56" s="279">
        <f t="shared" si="6"/>
        <v>512151.63754834794</v>
      </c>
    </row>
    <row r="57" spans="1:11" ht="18" customHeight="1">
      <c r="A57" s="272" t="s">
        <v>295</v>
      </c>
      <c r="B57" s="887" t="s">
        <v>686</v>
      </c>
      <c r="C57" s="888"/>
      <c r="D57" s="889"/>
      <c r="F57" s="276">
        <v>3675.4116648560562</v>
      </c>
      <c r="G57" s="276"/>
      <c r="H57" s="277">
        <v>541314.63</v>
      </c>
      <c r="I57" s="281">
        <f t="shared" si="5"/>
        <v>237800.5114276481</v>
      </c>
      <c r="J57" s="277"/>
      <c r="K57" s="279">
        <f t="shared" si="6"/>
        <v>779115.14142764814</v>
      </c>
    </row>
    <row r="58" spans="1:11" ht="18" customHeight="1">
      <c r="A58" s="272" t="s">
        <v>298</v>
      </c>
      <c r="B58" s="282" t="s">
        <v>687</v>
      </c>
      <c r="C58" s="283"/>
      <c r="D58" s="284"/>
      <c r="F58" s="276">
        <v>0</v>
      </c>
      <c r="G58" s="276"/>
      <c r="H58" s="277">
        <v>1311822.17</v>
      </c>
      <c r="I58" s="281">
        <v>0</v>
      </c>
      <c r="J58" s="277">
        <v>1239356.6599999999</v>
      </c>
      <c r="K58" s="279">
        <f t="shared" si="6"/>
        <v>72465.510000000009</v>
      </c>
    </row>
    <row r="59" spans="1:11" ht="18" customHeight="1">
      <c r="A59" s="272" t="s">
        <v>300</v>
      </c>
      <c r="B59" s="887"/>
      <c r="C59" s="888"/>
      <c r="D59" s="889"/>
      <c r="F59" s="276"/>
      <c r="G59" s="276"/>
      <c r="H59" s="277"/>
      <c r="I59" s="281">
        <f t="shared" si="5"/>
        <v>0</v>
      </c>
      <c r="J59" s="277"/>
      <c r="K59" s="279">
        <f t="shared" si="6"/>
        <v>0</v>
      </c>
    </row>
    <row r="60" spans="1:11" ht="18" customHeight="1">
      <c r="A60" s="272" t="s">
        <v>302</v>
      </c>
      <c r="B60" s="282"/>
      <c r="C60" s="283"/>
      <c r="D60" s="284"/>
      <c r="F60" s="276"/>
      <c r="G60" s="276"/>
      <c r="H60" s="277"/>
      <c r="I60" s="281">
        <v>0</v>
      </c>
      <c r="J60" s="277"/>
      <c r="K60" s="279">
        <f t="shared" si="6"/>
        <v>0</v>
      </c>
    </row>
    <row r="61" spans="1:11" ht="18" customHeight="1">
      <c r="A61" s="272" t="s">
        <v>303</v>
      </c>
      <c r="B61" s="282"/>
      <c r="C61" s="283"/>
      <c r="D61" s="284"/>
      <c r="F61" s="276"/>
      <c r="G61" s="276"/>
      <c r="H61" s="277"/>
      <c r="I61" s="281">
        <v>0</v>
      </c>
      <c r="J61" s="277"/>
      <c r="K61" s="279">
        <f t="shared" si="6"/>
        <v>0</v>
      </c>
    </row>
    <row r="62" spans="1:11" ht="18" customHeight="1">
      <c r="A62" s="272" t="s">
        <v>304</v>
      </c>
      <c r="B62" s="887"/>
      <c r="C62" s="888"/>
      <c r="D62" s="889"/>
      <c r="F62" s="276"/>
      <c r="G62" s="276"/>
      <c r="H62" s="277"/>
      <c r="I62" s="281">
        <v>0</v>
      </c>
      <c r="J62" s="277"/>
      <c r="K62" s="279">
        <f t="shared" si="6"/>
        <v>0</v>
      </c>
    </row>
    <row r="63" spans="1:11" ht="18" customHeight="1">
      <c r="A63" s="272"/>
      <c r="H63" s="286"/>
      <c r="I63" s="295"/>
      <c r="J63" s="286"/>
      <c r="K63" s="286"/>
    </row>
    <row r="64" spans="1:11" ht="18" customHeight="1">
      <c r="A64" s="272" t="s">
        <v>305</v>
      </c>
      <c r="B64" s="271" t="s">
        <v>184</v>
      </c>
      <c r="E64" s="271" t="s">
        <v>276</v>
      </c>
      <c r="F64" s="296">
        <f t="shared" ref="F64:K64" si="7">SUM(F53:F62)</f>
        <v>42525.422732210754</v>
      </c>
      <c r="G64" s="296">
        <f t="shared" si="7"/>
        <v>0</v>
      </c>
      <c r="H64" s="279">
        <f t="shared" si="7"/>
        <v>7574966.4300000006</v>
      </c>
      <c r="I64" s="279">
        <f t="shared" si="7"/>
        <v>2751410.7796664182</v>
      </c>
      <c r="J64" s="279">
        <f t="shared" si="7"/>
        <v>1239356.6599999999</v>
      </c>
      <c r="K64" s="279">
        <f t="shared" si="7"/>
        <v>9087020.5496664178</v>
      </c>
    </row>
    <row r="65" spans="1:11" ht="18" customHeight="1">
      <c r="F65" s="297"/>
      <c r="G65" s="297"/>
      <c r="H65" s="297"/>
      <c r="I65" s="297"/>
      <c r="J65" s="297"/>
      <c r="K65" s="297"/>
    </row>
    <row r="66" spans="1:11" ht="42.75" customHeight="1">
      <c r="F66" s="274" t="s">
        <v>145</v>
      </c>
      <c r="G66" s="274" t="s">
        <v>146</v>
      </c>
      <c r="H66" s="274" t="s">
        <v>147</v>
      </c>
      <c r="I66" s="274" t="s">
        <v>148</v>
      </c>
      <c r="J66" s="274" t="s">
        <v>149</v>
      </c>
      <c r="K66" s="274" t="s">
        <v>150</v>
      </c>
    </row>
    <row r="67" spans="1:11" ht="18" customHeight="1">
      <c r="A67" s="275" t="s">
        <v>185</v>
      </c>
      <c r="B67" s="271" t="s">
        <v>186</v>
      </c>
      <c r="F67" s="298"/>
      <c r="G67" s="298"/>
      <c r="H67" s="298"/>
      <c r="I67" s="299"/>
      <c r="J67" s="298"/>
      <c r="K67" s="300"/>
    </row>
    <row r="68" spans="1:11" ht="18" customHeight="1">
      <c r="A68" s="272" t="s">
        <v>306</v>
      </c>
      <c r="B68" s="268" t="s">
        <v>188</v>
      </c>
      <c r="F68" s="276">
        <v>0</v>
      </c>
      <c r="G68" s="301"/>
      <c r="H68" s="302">
        <v>253850.02999999997</v>
      </c>
      <c r="I68" s="281">
        <f>H68*F$114</f>
        <v>111516.78453605402</v>
      </c>
      <c r="J68" s="302">
        <v>119926.57999999999</v>
      </c>
      <c r="K68" s="279">
        <f>(H68+I68)-J68</f>
        <v>245440.23453605399</v>
      </c>
    </row>
    <row r="69" spans="1:11" ht="18" customHeight="1">
      <c r="A69" s="272" t="s">
        <v>307</v>
      </c>
      <c r="B69" s="268" t="s">
        <v>190</v>
      </c>
      <c r="F69" s="276"/>
      <c r="G69" s="301"/>
      <c r="H69" s="277"/>
      <c r="I69" s="281">
        <v>0</v>
      </c>
      <c r="J69" s="277"/>
      <c r="K69" s="279">
        <f>(H69+I69)-J69</f>
        <v>0</v>
      </c>
    </row>
    <row r="70" spans="1:11" ht="18" customHeight="1">
      <c r="A70" s="272" t="s">
        <v>308</v>
      </c>
      <c r="B70" s="282" t="s">
        <v>688</v>
      </c>
      <c r="C70" s="283"/>
      <c r="D70" s="284"/>
      <c r="E70" s="271"/>
      <c r="F70" s="276">
        <v>4559.3243551700525</v>
      </c>
      <c r="G70" s="276">
        <v>0</v>
      </c>
      <c r="H70" s="277">
        <v>199744</v>
      </c>
      <c r="I70" s="281">
        <f>H70*F$114</f>
        <v>87747.906156913115</v>
      </c>
      <c r="J70" s="303"/>
      <c r="K70" s="279">
        <f>(H70+I70)-J70</f>
        <v>287491.90615691314</v>
      </c>
    </row>
    <row r="71" spans="1:11" ht="18" customHeight="1">
      <c r="A71" s="272" t="s">
        <v>309</v>
      </c>
      <c r="B71" s="282"/>
      <c r="C71" s="283"/>
      <c r="D71" s="284"/>
      <c r="E71" s="271"/>
      <c r="F71" s="304"/>
      <c r="G71" s="304"/>
      <c r="H71" s="303"/>
      <c r="I71" s="281">
        <v>0</v>
      </c>
      <c r="J71" s="303"/>
      <c r="K71" s="279">
        <f>(H71+I71)-J71</f>
        <v>0</v>
      </c>
    </row>
    <row r="72" spans="1:11" ht="18" customHeight="1">
      <c r="A72" s="272" t="s">
        <v>310</v>
      </c>
      <c r="B72" s="305"/>
      <c r="C72" s="306"/>
      <c r="D72" s="307"/>
      <c r="E72" s="271"/>
      <c r="F72" s="276"/>
      <c r="G72" s="276"/>
      <c r="H72" s="277"/>
      <c r="I72" s="281">
        <v>0</v>
      </c>
      <c r="J72" s="277"/>
      <c r="K72" s="279">
        <f>(H72+I72)-J72</f>
        <v>0</v>
      </c>
    </row>
    <row r="73" spans="1:11" ht="18" customHeight="1">
      <c r="A73" s="272"/>
      <c r="E73" s="271"/>
      <c r="F73" s="308"/>
      <c r="G73" s="308"/>
      <c r="H73" s="309"/>
      <c r="I73" s="310"/>
      <c r="J73" s="309"/>
      <c r="K73" s="311"/>
    </row>
    <row r="74" spans="1:11" ht="18" customHeight="1">
      <c r="A74" s="275" t="s">
        <v>311</v>
      </c>
      <c r="B74" s="271" t="s">
        <v>191</v>
      </c>
      <c r="E74" s="271" t="s">
        <v>276</v>
      </c>
      <c r="F74" s="312">
        <f t="shared" ref="F74:K74" si="8">SUM(F68:F72)</f>
        <v>4559.3243551700525</v>
      </c>
      <c r="G74" s="313">
        <f t="shared" si="8"/>
        <v>0</v>
      </c>
      <c r="H74" s="314">
        <f t="shared" si="8"/>
        <v>453594.02999999997</v>
      </c>
      <c r="I74" s="315">
        <f t="shared" si="8"/>
        <v>199264.69069296715</v>
      </c>
      <c r="J74" s="314">
        <f t="shared" si="8"/>
        <v>119926.57999999999</v>
      </c>
      <c r="K74" s="314">
        <f t="shared" si="8"/>
        <v>532932.14069296711</v>
      </c>
    </row>
    <row r="75" spans="1:11" ht="42.75" customHeight="1">
      <c r="F75" s="274" t="s">
        <v>145</v>
      </c>
      <c r="G75" s="274" t="s">
        <v>146</v>
      </c>
      <c r="H75" s="316" t="s">
        <v>147</v>
      </c>
      <c r="I75" s="316" t="s">
        <v>148</v>
      </c>
      <c r="J75" s="316" t="s">
        <v>149</v>
      </c>
      <c r="K75" s="316" t="s">
        <v>150</v>
      </c>
    </row>
    <row r="76" spans="1:11" ht="18" customHeight="1">
      <c r="A76" s="275" t="s">
        <v>192</v>
      </c>
      <c r="B76" s="271" t="s">
        <v>193</v>
      </c>
      <c r="H76" s="317"/>
      <c r="I76" s="317"/>
      <c r="J76" s="317"/>
      <c r="K76" s="317"/>
    </row>
    <row r="77" spans="1:11" ht="18" customHeight="1">
      <c r="A77" s="272" t="s">
        <v>312</v>
      </c>
      <c r="B77" s="268" t="s">
        <v>195</v>
      </c>
      <c r="F77" s="276"/>
      <c r="G77" s="276"/>
      <c r="H77" s="277">
        <v>114500</v>
      </c>
      <c r="I77" s="281">
        <v>0</v>
      </c>
      <c r="J77" s="277"/>
      <c r="K77" s="279">
        <f>(H77+I77)-J77</f>
        <v>114500</v>
      </c>
    </row>
    <row r="78" spans="1:11" ht="18" customHeight="1">
      <c r="A78" s="272" t="s">
        <v>313</v>
      </c>
      <c r="B78" s="268" t="s">
        <v>197</v>
      </c>
      <c r="F78" s="276"/>
      <c r="G78" s="276"/>
      <c r="H78" s="277">
        <v>0</v>
      </c>
      <c r="I78" s="281">
        <v>0</v>
      </c>
      <c r="J78" s="277"/>
      <c r="K78" s="279">
        <f>(H78+I78)-J78</f>
        <v>0</v>
      </c>
    </row>
    <row r="79" spans="1:11" ht="18" customHeight="1">
      <c r="A79" s="272" t="s">
        <v>314</v>
      </c>
      <c r="B79" s="268" t="s">
        <v>199</v>
      </c>
      <c r="F79" s="276">
        <v>75.576352430951843</v>
      </c>
      <c r="G79" s="276">
        <v>250</v>
      </c>
      <c r="H79" s="277">
        <v>3311</v>
      </c>
      <c r="I79" s="281">
        <v>0</v>
      </c>
      <c r="J79" s="277"/>
      <c r="K79" s="279">
        <f>(H79+I79)-J79</f>
        <v>3311</v>
      </c>
    </row>
    <row r="80" spans="1:11" ht="18" customHeight="1">
      <c r="A80" s="272" t="s">
        <v>315</v>
      </c>
      <c r="B80" s="268" t="s">
        <v>316</v>
      </c>
      <c r="F80" s="276"/>
      <c r="G80" s="276"/>
      <c r="H80" s="277"/>
      <c r="I80" s="281">
        <v>0</v>
      </c>
      <c r="J80" s="277"/>
      <c r="K80" s="279">
        <f>(H80+I80)-J80</f>
        <v>0</v>
      </c>
    </row>
    <row r="81" spans="1:11" ht="18" customHeight="1">
      <c r="A81" s="272"/>
      <c r="H81" s="286"/>
      <c r="I81" s="286"/>
      <c r="J81" s="286"/>
      <c r="K81" s="318"/>
    </row>
    <row r="82" spans="1:11" ht="18" customHeight="1">
      <c r="A82" s="272" t="s">
        <v>317</v>
      </c>
      <c r="B82" s="271" t="s">
        <v>318</v>
      </c>
      <c r="E82" s="271" t="s">
        <v>276</v>
      </c>
      <c r="F82" s="319">
        <f t="shared" ref="F82:K82" si="9">SUM(F77:F80)</f>
        <v>75.576352430951843</v>
      </c>
      <c r="G82" s="313">
        <f t="shared" si="9"/>
        <v>250</v>
      </c>
      <c r="H82" s="292">
        <f>SUM(H77:H80)</f>
        <v>117811</v>
      </c>
      <c r="I82" s="292">
        <f t="shared" si="9"/>
        <v>0</v>
      </c>
      <c r="J82" s="292">
        <f t="shared" si="9"/>
        <v>0</v>
      </c>
      <c r="K82" s="292">
        <f t="shared" si="9"/>
        <v>117811</v>
      </c>
    </row>
    <row r="83" spans="1:11" ht="18" customHeight="1" thickBot="1">
      <c r="A83" s="272"/>
      <c r="F83" s="294"/>
      <c r="G83" s="294"/>
      <c r="H83" s="294"/>
      <c r="I83" s="294"/>
      <c r="J83" s="294"/>
      <c r="K83" s="294"/>
    </row>
    <row r="84" spans="1:11" ht="42.75" customHeight="1">
      <c r="F84" s="274" t="s">
        <v>145</v>
      </c>
      <c r="G84" s="274" t="s">
        <v>146</v>
      </c>
      <c r="H84" s="274" t="s">
        <v>147</v>
      </c>
      <c r="I84" s="274" t="s">
        <v>148</v>
      </c>
      <c r="J84" s="274" t="s">
        <v>149</v>
      </c>
      <c r="K84" s="274" t="s">
        <v>150</v>
      </c>
    </row>
    <row r="85" spans="1:11" ht="18" customHeight="1">
      <c r="A85" s="275" t="s">
        <v>201</v>
      </c>
      <c r="B85" s="271" t="s">
        <v>202</v>
      </c>
    </row>
    <row r="86" spans="1:11" ht="18" customHeight="1">
      <c r="A86" s="272" t="s">
        <v>319</v>
      </c>
      <c r="B86" s="268" t="s">
        <v>204</v>
      </c>
      <c r="F86" s="276"/>
      <c r="G86" s="276"/>
      <c r="H86" s="277"/>
      <c r="I86" s="281">
        <f t="shared" ref="I86:I96" si="10">H86*F$114</f>
        <v>0</v>
      </c>
      <c r="J86" s="277"/>
      <c r="K86" s="279">
        <f t="shared" ref="K86:K96" si="11">(H86+I86)-J86</f>
        <v>0</v>
      </c>
    </row>
    <row r="87" spans="1:11" ht="18" customHeight="1">
      <c r="A87" s="272" t="s">
        <v>320</v>
      </c>
      <c r="B87" s="268" t="s">
        <v>206</v>
      </c>
      <c r="F87" s="276"/>
      <c r="G87" s="276"/>
      <c r="H87" s="277"/>
      <c r="I87" s="281">
        <f t="shared" si="10"/>
        <v>0</v>
      </c>
      <c r="J87" s="277"/>
      <c r="K87" s="279">
        <f t="shared" si="11"/>
        <v>0</v>
      </c>
    </row>
    <row r="88" spans="1:11" ht="18" customHeight="1">
      <c r="A88" s="272" t="s">
        <v>321</v>
      </c>
      <c r="B88" s="268" t="s">
        <v>208</v>
      </c>
      <c r="F88" s="276"/>
      <c r="G88" s="276"/>
      <c r="H88" s="277"/>
      <c r="I88" s="281">
        <f t="shared" si="10"/>
        <v>0</v>
      </c>
      <c r="J88" s="277"/>
      <c r="K88" s="279">
        <f t="shared" si="11"/>
        <v>0</v>
      </c>
    </row>
    <row r="89" spans="1:11" ht="18" customHeight="1">
      <c r="A89" s="272" t="s">
        <v>322</v>
      </c>
      <c r="B89" s="268" t="s">
        <v>210</v>
      </c>
      <c r="F89" s="276"/>
      <c r="G89" s="276"/>
      <c r="H89" s="277"/>
      <c r="I89" s="281">
        <f t="shared" si="10"/>
        <v>0</v>
      </c>
      <c r="J89" s="277"/>
      <c r="K89" s="279">
        <f t="shared" si="11"/>
        <v>0</v>
      </c>
    </row>
    <row r="90" spans="1:11" ht="18" customHeight="1">
      <c r="A90" s="272" t="s">
        <v>323</v>
      </c>
      <c r="B90" s="890" t="s">
        <v>212</v>
      </c>
      <c r="C90" s="890"/>
      <c r="F90" s="276"/>
      <c r="G90" s="276"/>
      <c r="H90" s="277"/>
      <c r="I90" s="281">
        <f t="shared" si="10"/>
        <v>0</v>
      </c>
      <c r="J90" s="277"/>
      <c r="K90" s="279">
        <f t="shared" si="11"/>
        <v>0</v>
      </c>
    </row>
    <row r="91" spans="1:11" ht="18" customHeight="1">
      <c r="A91" s="272" t="s">
        <v>324</v>
      </c>
      <c r="B91" s="268" t="s">
        <v>214</v>
      </c>
      <c r="F91" s="276">
        <v>98.995663090618578</v>
      </c>
      <c r="G91" s="276">
        <v>552</v>
      </c>
      <c r="H91" s="277">
        <v>4337</v>
      </c>
      <c r="I91" s="281">
        <f t="shared" si="10"/>
        <v>1905.2520676592646</v>
      </c>
      <c r="J91" s="277"/>
      <c r="K91" s="279">
        <f t="shared" si="11"/>
        <v>6242.2520676592649</v>
      </c>
    </row>
    <row r="92" spans="1:11" ht="18" customHeight="1">
      <c r="A92" s="272" t="s">
        <v>325</v>
      </c>
      <c r="B92" s="268" t="s">
        <v>216</v>
      </c>
      <c r="F92" s="320"/>
      <c r="G92" s="320"/>
      <c r="H92" s="321"/>
      <c r="I92" s="281">
        <f t="shared" si="10"/>
        <v>0</v>
      </c>
      <c r="J92" s="321"/>
      <c r="K92" s="279">
        <f t="shared" si="11"/>
        <v>0</v>
      </c>
    </row>
    <row r="93" spans="1:11" ht="18" customHeight="1">
      <c r="A93" s="272" t="s">
        <v>326</v>
      </c>
      <c r="B93" s="268" t="s">
        <v>218</v>
      </c>
      <c r="F93" s="276"/>
      <c r="G93" s="276"/>
      <c r="H93" s="277"/>
      <c r="I93" s="281">
        <f t="shared" si="10"/>
        <v>0</v>
      </c>
      <c r="J93" s="277"/>
      <c r="K93" s="279">
        <f t="shared" si="11"/>
        <v>0</v>
      </c>
    </row>
    <row r="94" spans="1:11" ht="18" customHeight="1">
      <c r="A94" s="272" t="s">
        <v>327</v>
      </c>
      <c r="B94" s="887" t="s">
        <v>689</v>
      </c>
      <c r="C94" s="888"/>
      <c r="D94" s="889"/>
      <c r="F94" s="276"/>
      <c r="G94" s="276"/>
      <c r="H94" s="277">
        <v>25000</v>
      </c>
      <c r="I94" s="281">
        <v>0</v>
      </c>
      <c r="J94" s="277"/>
      <c r="K94" s="279">
        <f t="shared" si="11"/>
        <v>25000</v>
      </c>
    </row>
    <row r="95" spans="1:11" ht="18" customHeight="1">
      <c r="A95" s="272" t="s">
        <v>329</v>
      </c>
      <c r="B95" s="887"/>
      <c r="C95" s="888"/>
      <c r="D95" s="889"/>
      <c r="F95" s="276"/>
      <c r="G95" s="276"/>
      <c r="H95" s="277"/>
      <c r="I95" s="281">
        <f t="shared" si="10"/>
        <v>0</v>
      </c>
      <c r="J95" s="277"/>
      <c r="K95" s="279">
        <f t="shared" si="11"/>
        <v>0</v>
      </c>
    </row>
    <row r="96" spans="1:11" ht="18" customHeight="1">
      <c r="A96" s="272" t="s">
        <v>330</v>
      </c>
      <c r="B96" s="887"/>
      <c r="C96" s="888"/>
      <c r="D96" s="889"/>
      <c r="F96" s="276"/>
      <c r="G96" s="276"/>
      <c r="H96" s="277"/>
      <c r="I96" s="281">
        <f t="shared" si="10"/>
        <v>0</v>
      </c>
      <c r="J96" s="277"/>
      <c r="K96" s="279">
        <f t="shared" si="11"/>
        <v>0</v>
      </c>
    </row>
    <row r="97" spans="1:11" ht="18" customHeight="1">
      <c r="A97" s="272"/>
      <c r="H97" s="286"/>
      <c r="I97" s="286"/>
      <c r="J97" s="286"/>
      <c r="K97" s="286"/>
    </row>
    <row r="98" spans="1:11" ht="18" customHeight="1">
      <c r="A98" s="275" t="s">
        <v>331</v>
      </c>
      <c r="B98" s="271" t="s">
        <v>220</v>
      </c>
      <c r="E98" s="271" t="s">
        <v>276</v>
      </c>
      <c r="F98" s="296">
        <f t="shared" ref="F98:K98" si="12">SUM(F86:F96)</f>
        <v>98.995663090618578</v>
      </c>
      <c r="G98" s="296">
        <f t="shared" si="12"/>
        <v>552</v>
      </c>
      <c r="H98" s="279">
        <f t="shared" si="12"/>
        <v>29337</v>
      </c>
      <c r="I98" s="279">
        <f t="shared" si="12"/>
        <v>1905.2520676592646</v>
      </c>
      <c r="J98" s="279">
        <f t="shared" si="12"/>
        <v>0</v>
      </c>
      <c r="K98" s="279">
        <f t="shared" si="12"/>
        <v>31242.252067659265</v>
      </c>
    </row>
    <row r="99" spans="1:11" ht="18" customHeight="1" thickBot="1">
      <c r="B99" s="271"/>
      <c r="F99" s="294"/>
      <c r="G99" s="294"/>
      <c r="H99" s="294"/>
      <c r="I99" s="294"/>
      <c r="J99" s="294"/>
      <c r="K99" s="294"/>
    </row>
    <row r="100" spans="1:11" ht="42.75" customHeight="1">
      <c r="F100" s="274" t="s">
        <v>145</v>
      </c>
      <c r="G100" s="274" t="s">
        <v>146</v>
      </c>
      <c r="H100" s="274" t="s">
        <v>147</v>
      </c>
      <c r="I100" s="274" t="s">
        <v>148</v>
      </c>
      <c r="J100" s="274" t="s">
        <v>149</v>
      </c>
      <c r="K100" s="274" t="s">
        <v>150</v>
      </c>
    </row>
    <row r="101" spans="1:11" ht="18" customHeight="1">
      <c r="A101" s="275" t="s">
        <v>221</v>
      </c>
      <c r="B101" s="271" t="s">
        <v>222</v>
      </c>
    </row>
    <row r="102" spans="1:11" ht="18" customHeight="1">
      <c r="A102" s="272" t="s">
        <v>332</v>
      </c>
      <c r="B102" s="268" t="s">
        <v>224</v>
      </c>
      <c r="F102" s="276">
        <v>132.73225291029445</v>
      </c>
      <c r="G102" s="276"/>
      <c r="H102" s="277">
        <v>5815</v>
      </c>
      <c r="I102" s="281">
        <f>H102*F$114</f>
        <v>2554.5401829464204</v>
      </c>
      <c r="J102" s="277"/>
      <c r="K102" s="279">
        <f>(H102+I102)-J102</f>
        <v>8369.5401829464208</v>
      </c>
    </row>
    <row r="103" spans="1:11" ht="18" customHeight="1">
      <c r="A103" s="272" t="s">
        <v>333</v>
      </c>
      <c r="B103" s="890" t="s">
        <v>226</v>
      </c>
      <c r="C103" s="890"/>
      <c r="F103" s="276"/>
      <c r="G103" s="276"/>
      <c r="H103" s="277"/>
      <c r="I103" s="281">
        <f>H103*F$114</f>
        <v>0</v>
      </c>
      <c r="J103" s="277"/>
      <c r="K103" s="279">
        <f>(H103+I103)-J103</f>
        <v>0</v>
      </c>
    </row>
    <row r="104" spans="1:11" ht="18" customHeight="1">
      <c r="A104" s="272" t="s">
        <v>334</v>
      </c>
      <c r="B104" s="887"/>
      <c r="C104" s="888"/>
      <c r="D104" s="889"/>
      <c r="F104" s="276"/>
      <c r="G104" s="276"/>
      <c r="H104" s="277"/>
      <c r="I104" s="281">
        <f>H104*F$114</f>
        <v>0</v>
      </c>
      <c r="J104" s="277"/>
      <c r="K104" s="279">
        <f>(H104+I104)-J104</f>
        <v>0</v>
      </c>
    </row>
    <row r="105" spans="1:11" ht="18" customHeight="1">
      <c r="A105" s="272" t="s">
        <v>336</v>
      </c>
      <c r="B105" s="887"/>
      <c r="C105" s="888"/>
      <c r="D105" s="889"/>
      <c r="F105" s="276"/>
      <c r="G105" s="276"/>
      <c r="H105" s="277"/>
      <c r="I105" s="281">
        <f>H105*F$114</f>
        <v>0</v>
      </c>
      <c r="J105" s="277"/>
      <c r="K105" s="279">
        <f>(H105+I105)-J105</f>
        <v>0</v>
      </c>
    </row>
    <row r="106" spans="1:11" ht="18" customHeight="1">
      <c r="A106" s="272" t="s">
        <v>337</v>
      </c>
      <c r="B106" s="887"/>
      <c r="C106" s="888"/>
      <c r="D106" s="889"/>
      <c r="F106" s="276"/>
      <c r="G106" s="276"/>
      <c r="H106" s="277"/>
      <c r="I106" s="281">
        <f>H106*F$114</f>
        <v>0</v>
      </c>
      <c r="J106" s="277"/>
      <c r="K106" s="279">
        <f>(H106+I106)-J106</f>
        <v>0</v>
      </c>
    </row>
    <row r="107" spans="1:11" ht="18" customHeight="1">
      <c r="B107" s="271"/>
      <c r="H107" s="286"/>
      <c r="I107" s="286"/>
      <c r="J107" s="286"/>
      <c r="K107" s="286"/>
    </row>
    <row r="108" spans="1:11" ht="18" customHeight="1">
      <c r="A108" s="275" t="s">
        <v>338</v>
      </c>
      <c r="B108" s="271" t="s">
        <v>229</v>
      </c>
      <c r="E108" s="271" t="s">
        <v>276</v>
      </c>
      <c r="F108" s="296">
        <f t="shared" ref="F108:K108" si="13">SUM(F102:F106)</f>
        <v>132.73225291029445</v>
      </c>
      <c r="G108" s="296">
        <f t="shared" si="13"/>
        <v>0</v>
      </c>
      <c r="H108" s="279">
        <f t="shared" si="13"/>
        <v>5815</v>
      </c>
      <c r="I108" s="279">
        <f t="shared" si="13"/>
        <v>2554.5401829464204</v>
      </c>
      <c r="J108" s="279">
        <f t="shared" si="13"/>
        <v>0</v>
      </c>
      <c r="K108" s="279">
        <f t="shared" si="13"/>
        <v>8369.5401829464208</v>
      </c>
    </row>
    <row r="109" spans="1:11" ht="18" customHeight="1" thickBot="1">
      <c r="A109" s="322"/>
      <c r="B109" s="323"/>
      <c r="C109" s="324"/>
      <c r="D109" s="324"/>
      <c r="E109" s="324"/>
      <c r="F109" s="294"/>
      <c r="G109" s="294"/>
      <c r="H109" s="294"/>
      <c r="I109" s="294"/>
      <c r="J109" s="294"/>
      <c r="K109" s="294"/>
    </row>
    <row r="110" spans="1:11" ht="18" customHeight="1">
      <c r="A110" s="275" t="s">
        <v>230</v>
      </c>
      <c r="B110" s="271" t="s">
        <v>231</v>
      </c>
    </row>
    <row r="111" spans="1:11" ht="18" customHeight="1">
      <c r="A111" s="275" t="s">
        <v>339</v>
      </c>
      <c r="B111" s="271" t="s">
        <v>232</v>
      </c>
      <c r="E111" s="271" t="s">
        <v>276</v>
      </c>
      <c r="F111" s="277">
        <v>6346816.8399999999</v>
      </c>
    </row>
    <row r="112" spans="1:11" ht="18" customHeight="1">
      <c r="B112" s="271"/>
      <c r="E112" s="271"/>
    </row>
    <row r="113" spans="1:6">
      <c r="A113" s="275"/>
      <c r="B113" s="271" t="s">
        <v>233</v>
      </c>
    </row>
    <row r="114" spans="1:6">
      <c r="A114" s="272" t="s">
        <v>340</v>
      </c>
      <c r="B114" s="268" t="s">
        <v>341</v>
      </c>
      <c r="F114" s="325">
        <v>0.43930183713609977</v>
      </c>
    </row>
    <row r="115" spans="1:6">
      <c r="A115" s="272"/>
      <c r="B115" s="271"/>
    </row>
    <row r="116" spans="1:6">
      <c r="A116" s="272" t="s">
        <v>234</v>
      </c>
      <c r="B116" s="271" t="s">
        <v>235</v>
      </c>
    </row>
    <row r="117" spans="1:6">
      <c r="A117" s="272" t="s">
        <v>342</v>
      </c>
      <c r="B117" s="268" t="s">
        <v>236</v>
      </c>
      <c r="F117" s="277">
        <v>255179000</v>
      </c>
    </row>
    <row r="118" spans="1:6">
      <c r="A118" s="272" t="s">
        <v>343</v>
      </c>
      <c r="B118" s="268" t="s">
        <v>237</v>
      </c>
      <c r="F118" s="277">
        <v>3545000</v>
      </c>
    </row>
    <row r="119" spans="1:6">
      <c r="A119" s="272" t="s">
        <v>344</v>
      </c>
      <c r="B119" s="271" t="s">
        <v>238</v>
      </c>
      <c r="F119" s="292">
        <f>SUM(F117:F118)</f>
        <v>258724000</v>
      </c>
    </row>
    <row r="120" spans="1:6">
      <c r="A120" s="272"/>
      <c r="B120" s="271"/>
      <c r="F120" s="286"/>
    </row>
    <row r="121" spans="1:6">
      <c r="A121" s="272" t="s">
        <v>345</v>
      </c>
      <c r="B121" s="271" t="s">
        <v>346</v>
      </c>
      <c r="F121" s="277">
        <v>312000000</v>
      </c>
    </row>
    <row r="122" spans="1:6">
      <c r="A122" s="272"/>
      <c r="F122" s="286"/>
    </row>
    <row r="123" spans="1:6">
      <c r="A123" s="272" t="s">
        <v>347</v>
      </c>
      <c r="B123" s="271" t="s">
        <v>348</v>
      </c>
      <c r="F123" s="277">
        <f>F119-F121</f>
        <v>-53276000</v>
      </c>
    </row>
    <row r="124" spans="1:6">
      <c r="A124" s="272"/>
      <c r="F124" s="286"/>
    </row>
    <row r="125" spans="1:6">
      <c r="A125" s="272" t="s">
        <v>349</v>
      </c>
      <c r="B125" s="271" t="s">
        <v>350</v>
      </c>
      <c r="F125" s="277">
        <v>-6825000</v>
      </c>
    </row>
    <row r="126" spans="1:6">
      <c r="A126" s="272"/>
      <c r="F126" s="286"/>
    </row>
    <row r="127" spans="1:6">
      <c r="A127" s="272" t="s">
        <v>351</v>
      </c>
      <c r="B127" s="271" t="s">
        <v>352</v>
      </c>
      <c r="F127" s="277">
        <f>F125+F123</f>
        <v>-60101000</v>
      </c>
    </row>
    <row r="128" spans="1:6">
      <c r="A128" s="272"/>
    </row>
    <row r="129" spans="1:11" ht="42.75" customHeight="1">
      <c r="F129" s="274" t="s">
        <v>145</v>
      </c>
      <c r="G129" s="274" t="s">
        <v>146</v>
      </c>
      <c r="H129" s="274" t="s">
        <v>147</v>
      </c>
      <c r="I129" s="274" t="s">
        <v>148</v>
      </c>
      <c r="J129" s="274" t="s">
        <v>149</v>
      </c>
      <c r="K129" s="274" t="s">
        <v>150</v>
      </c>
    </row>
    <row r="130" spans="1:11" ht="18" customHeight="1">
      <c r="A130" s="275" t="s">
        <v>239</v>
      </c>
      <c r="B130" s="271" t="s">
        <v>240</v>
      </c>
    </row>
    <row r="131" spans="1:11" ht="18" customHeight="1">
      <c r="A131" s="272" t="s">
        <v>353</v>
      </c>
      <c r="B131" s="268" t="s">
        <v>242</v>
      </c>
      <c r="F131" s="276"/>
      <c r="G131" s="276"/>
      <c r="H131" s="277"/>
      <c r="I131" s="281">
        <v>0</v>
      </c>
      <c r="J131" s="277"/>
      <c r="K131" s="279">
        <f>(H131+I131)-J131</f>
        <v>0</v>
      </c>
    </row>
    <row r="132" spans="1:11" ht="18" customHeight="1">
      <c r="A132" s="272" t="s">
        <v>354</v>
      </c>
      <c r="B132" s="268" t="s">
        <v>128</v>
      </c>
      <c r="F132" s="276"/>
      <c r="G132" s="276"/>
      <c r="H132" s="277"/>
      <c r="I132" s="281">
        <v>0</v>
      </c>
      <c r="J132" s="277"/>
      <c r="K132" s="279">
        <f>(H132+I132)-J132</f>
        <v>0</v>
      </c>
    </row>
    <row r="133" spans="1:11" ht="18" customHeight="1">
      <c r="A133" s="272" t="s">
        <v>355</v>
      </c>
      <c r="B133" s="887"/>
      <c r="C133" s="888"/>
      <c r="D133" s="889"/>
      <c r="F133" s="276"/>
      <c r="G133" s="276"/>
      <c r="H133" s="277"/>
      <c r="I133" s="281">
        <v>0</v>
      </c>
      <c r="J133" s="277"/>
      <c r="K133" s="279">
        <f>(H133+I133)-J133</f>
        <v>0</v>
      </c>
    </row>
    <row r="134" spans="1:11" ht="18" customHeight="1">
      <c r="A134" s="272" t="s">
        <v>356</v>
      </c>
      <c r="B134" s="887"/>
      <c r="C134" s="888"/>
      <c r="D134" s="889"/>
      <c r="F134" s="276"/>
      <c r="G134" s="276"/>
      <c r="H134" s="277"/>
      <c r="I134" s="281">
        <v>0</v>
      </c>
      <c r="J134" s="277"/>
      <c r="K134" s="279">
        <f>(H134+I134)-J134</f>
        <v>0</v>
      </c>
    </row>
    <row r="135" spans="1:11" ht="18" customHeight="1">
      <c r="A135" s="272" t="s">
        <v>357</v>
      </c>
      <c r="B135" s="887"/>
      <c r="C135" s="888"/>
      <c r="D135" s="889"/>
      <c r="F135" s="276"/>
      <c r="G135" s="276"/>
      <c r="H135" s="277"/>
      <c r="I135" s="281">
        <v>0</v>
      </c>
      <c r="J135" s="277"/>
      <c r="K135" s="279">
        <f>(H135+I135)-J135</f>
        <v>0</v>
      </c>
    </row>
    <row r="136" spans="1:11" ht="18" customHeight="1">
      <c r="A136" s="275"/>
      <c r="H136" s="286"/>
      <c r="I136" s="286"/>
      <c r="J136" s="286"/>
      <c r="K136" s="286"/>
    </row>
    <row r="137" spans="1:11" ht="18" customHeight="1">
      <c r="A137" s="275" t="s">
        <v>358</v>
      </c>
      <c r="B137" s="271" t="s">
        <v>359</v>
      </c>
      <c r="F137" s="296">
        <f t="shared" ref="F137:K137" si="14">SUM(F131:F135)</f>
        <v>0</v>
      </c>
      <c r="G137" s="296">
        <f t="shared" si="14"/>
        <v>0</v>
      </c>
      <c r="H137" s="279">
        <f t="shared" si="14"/>
        <v>0</v>
      </c>
      <c r="I137" s="279">
        <f t="shared" si="14"/>
        <v>0</v>
      </c>
      <c r="J137" s="279">
        <f t="shared" si="14"/>
        <v>0</v>
      </c>
      <c r="K137" s="279">
        <f t="shared" si="14"/>
        <v>0</v>
      </c>
    </row>
    <row r="138" spans="1:11" ht="18" customHeight="1">
      <c r="A138" s="268"/>
    </row>
    <row r="139" spans="1:11" ht="42.75" customHeight="1">
      <c r="F139" s="274" t="s">
        <v>145</v>
      </c>
      <c r="G139" s="274" t="s">
        <v>146</v>
      </c>
      <c r="H139" s="274" t="s">
        <v>147</v>
      </c>
      <c r="I139" s="274" t="s">
        <v>148</v>
      </c>
      <c r="J139" s="274" t="s">
        <v>149</v>
      </c>
      <c r="K139" s="274" t="s">
        <v>150</v>
      </c>
    </row>
    <row r="140" spans="1:11" ht="18" customHeight="1">
      <c r="A140" s="275" t="s">
        <v>244</v>
      </c>
      <c r="B140" s="271" t="s">
        <v>245</v>
      </c>
    </row>
    <row r="141" spans="1:11" ht="18" customHeight="1">
      <c r="A141" s="272" t="s">
        <v>275</v>
      </c>
      <c r="B141" s="271" t="s">
        <v>246</v>
      </c>
      <c r="F141" s="326">
        <f t="shared" ref="F141:J141" si="15">F36</f>
        <v>10781.967587308833</v>
      </c>
      <c r="G141" s="326">
        <f t="shared" si="15"/>
        <v>41489</v>
      </c>
      <c r="H141" s="326">
        <f t="shared" si="15"/>
        <v>1434090.6899999992</v>
      </c>
      <c r="I141" s="326">
        <f t="shared" si="15"/>
        <v>629998.67473677662</v>
      </c>
      <c r="J141" s="326">
        <f t="shared" si="15"/>
        <v>265892.90000000002</v>
      </c>
      <c r="K141" s="326">
        <f>K36</f>
        <v>1798196.4647367755</v>
      </c>
    </row>
    <row r="142" spans="1:11" ht="18" customHeight="1">
      <c r="A142" s="272" t="s">
        <v>286</v>
      </c>
      <c r="B142" s="271" t="s">
        <v>125</v>
      </c>
      <c r="F142" s="326">
        <f t="shared" ref="F142:K142" si="16">F49</f>
        <v>14588.495777219812</v>
      </c>
      <c r="G142" s="326">
        <f t="shared" si="16"/>
        <v>540</v>
      </c>
      <c r="H142" s="326">
        <f t="shared" si="16"/>
        <v>639122</v>
      </c>
      <c r="I142" s="326">
        <f t="shared" si="16"/>
        <v>280767.46875409834</v>
      </c>
      <c r="J142" s="326">
        <f t="shared" si="16"/>
        <v>0</v>
      </c>
      <c r="K142" s="326">
        <f t="shared" si="16"/>
        <v>919889.46875409828</v>
      </c>
    </row>
    <row r="143" spans="1:11" ht="18" customHeight="1">
      <c r="A143" s="272" t="s">
        <v>305</v>
      </c>
      <c r="B143" s="271" t="s">
        <v>247</v>
      </c>
      <c r="F143" s="326">
        <f t="shared" ref="F143:K143" si="17">F64</f>
        <v>42525.422732210754</v>
      </c>
      <c r="G143" s="326">
        <f t="shared" si="17"/>
        <v>0</v>
      </c>
      <c r="H143" s="326">
        <f t="shared" si="17"/>
        <v>7574966.4300000006</v>
      </c>
      <c r="I143" s="326">
        <f t="shared" si="17"/>
        <v>2751410.7796664182</v>
      </c>
      <c r="J143" s="326">
        <f t="shared" si="17"/>
        <v>1239356.6599999999</v>
      </c>
      <c r="K143" s="326">
        <f t="shared" si="17"/>
        <v>9087020.5496664178</v>
      </c>
    </row>
    <row r="144" spans="1:11" ht="18" customHeight="1">
      <c r="A144" s="272" t="s">
        <v>311</v>
      </c>
      <c r="B144" s="271" t="s">
        <v>127</v>
      </c>
      <c r="F144" s="326">
        <f t="shared" ref="F144:J144" si="18">F74</f>
        <v>4559.3243551700525</v>
      </c>
      <c r="G144" s="326">
        <f t="shared" si="18"/>
        <v>0</v>
      </c>
      <c r="H144" s="326">
        <f t="shared" si="18"/>
        <v>453594.02999999997</v>
      </c>
      <c r="I144" s="326">
        <f t="shared" si="18"/>
        <v>199264.69069296715</v>
      </c>
      <c r="J144" s="326">
        <f t="shared" si="18"/>
        <v>119926.57999999999</v>
      </c>
      <c r="K144" s="326">
        <f>K74</f>
        <v>532932.14069296711</v>
      </c>
    </row>
    <row r="145" spans="1:11" ht="18" customHeight="1">
      <c r="A145" s="272" t="s">
        <v>317</v>
      </c>
      <c r="B145" s="271" t="s">
        <v>248</v>
      </c>
      <c r="F145" s="326">
        <f t="shared" ref="F145:K145" si="19">F82</f>
        <v>75.576352430951843</v>
      </c>
      <c r="G145" s="326">
        <f t="shared" si="19"/>
        <v>250</v>
      </c>
      <c r="H145" s="326">
        <f t="shared" si="19"/>
        <v>117811</v>
      </c>
      <c r="I145" s="326">
        <f t="shared" si="19"/>
        <v>0</v>
      </c>
      <c r="J145" s="326">
        <f t="shared" si="19"/>
        <v>0</v>
      </c>
      <c r="K145" s="326">
        <f t="shared" si="19"/>
        <v>117811</v>
      </c>
    </row>
    <row r="146" spans="1:11" ht="18" customHeight="1">
      <c r="A146" s="272" t="s">
        <v>331</v>
      </c>
      <c r="B146" s="271" t="s">
        <v>249</v>
      </c>
      <c r="F146" s="326">
        <f t="shared" ref="F146:K146" si="20">F98</f>
        <v>98.995663090618578</v>
      </c>
      <c r="G146" s="326">
        <f t="shared" si="20"/>
        <v>552</v>
      </c>
      <c r="H146" s="326">
        <f t="shared" si="20"/>
        <v>29337</v>
      </c>
      <c r="I146" s="326">
        <f t="shared" si="20"/>
        <v>1905.2520676592646</v>
      </c>
      <c r="J146" s="326">
        <f t="shared" si="20"/>
        <v>0</v>
      </c>
      <c r="K146" s="326">
        <f t="shared" si="20"/>
        <v>31242.252067659265</v>
      </c>
    </row>
    <row r="147" spans="1:11" ht="18" customHeight="1">
      <c r="A147" s="272" t="s">
        <v>338</v>
      </c>
      <c r="B147" s="271" t="s">
        <v>129</v>
      </c>
      <c r="F147" s="296">
        <f t="shared" ref="F147:K147" si="21">F108</f>
        <v>132.73225291029445</v>
      </c>
      <c r="G147" s="296">
        <f t="shared" si="21"/>
        <v>0</v>
      </c>
      <c r="H147" s="296">
        <f t="shared" si="21"/>
        <v>5815</v>
      </c>
      <c r="I147" s="296">
        <f t="shared" si="21"/>
        <v>2554.5401829464204</v>
      </c>
      <c r="J147" s="296">
        <f t="shared" si="21"/>
        <v>0</v>
      </c>
      <c r="K147" s="296">
        <f t="shared" si="21"/>
        <v>8369.5401829464208</v>
      </c>
    </row>
    <row r="148" spans="1:11" ht="18" customHeight="1">
      <c r="A148" s="272" t="s">
        <v>339</v>
      </c>
      <c r="B148" s="271" t="s">
        <v>131</v>
      </c>
      <c r="F148" s="327" t="s">
        <v>122</v>
      </c>
      <c r="G148" s="327" t="s">
        <v>122</v>
      </c>
      <c r="H148" s="328" t="s">
        <v>122</v>
      </c>
      <c r="I148" s="328" t="s">
        <v>122</v>
      </c>
      <c r="J148" s="328" t="s">
        <v>122</v>
      </c>
      <c r="K148" s="329">
        <f>F111</f>
        <v>6346816.8399999999</v>
      </c>
    </row>
    <row r="149" spans="1:11" ht="18" customHeight="1">
      <c r="A149" s="272" t="s">
        <v>358</v>
      </c>
      <c r="B149" s="271" t="s">
        <v>250</v>
      </c>
      <c r="F149" s="296">
        <f t="shared" ref="F149:K149" si="22">F137</f>
        <v>0</v>
      </c>
      <c r="G149" s="296">
        <f t="shared" si="22"/>
        <v>0</v>
      </c>
      <c r="H149" s="296">
        <f t="shared" si="22"/>
        <v>0</v>
      </c>
      <c r="I149" s="296">
        <f t="shared" si="22"/>
        <v>0</v>
      </c>
      <c r="J149" s="296">
        <f t="shared" si="22"/>
        <v>0</v>
      </c>
      <c r="K149" s="296">
        <f t="shared" si="22"/>
        <v>0</v>
      </c>
    </row>
    <row r="150" spans="1:11" ht="18" customHeight="1">
      <c r="A150" s="272" t="s">
        <v>259</v>
      </c>
      <c r="B150" s="271" t="s">
        <v>251</v>
      </c>
      <c r="F150" s="327" t="s">
        <v>122</v>
      </c>
      <c r="G150" s="327" t="s">
        <v>122</v>
      </c>
      <c r="H150" s="296">
        <f>H18</f>
        <v>10263649.8487105</v>
      </c>
      <c r="I150" s="296">
        <f>I18</f>
        <v>0</v>
      </c>
      <c r="J150" s="296">
        <f>J18</f>
        <v>8776703.9158627205</v>
      </c>
      <c r="K150" s="296">
        <f>K18</f>
        <v>1486945.9328477792</v>
      </c>
    </row>
    <row r="151" spans="1:11" ht="18" customHeight="1">
      <c r="B151" s="271"/>
      <c r="F151" s="297"/>
      <c r="G151" s="297"/>
      <c r="H151" s="297"/>
      <c r="I151" s="297"/>
      <c r="J151" s="297"/>
      <c r="K151" s="297"/>
    </row>
    <row r="152" spans="1:11" ht="18" customHeight="1">
      <c r="A152" s="275" t="s">
        <v>360</v>
      </c>
      <c r="B152" s="271" t="s">
        <v>245</v>
      </c>
      <c r="F152" s="330">
        <f t="shared" ref="F152:J152" si="23">SUM(F141:F150)</f>
        <v>72762.514720341336</v>
      </c>
      <c r="G152" s="330">
        <f t="shared" si="23"/>
        <v>42831</v>
      </c>
      <c r="H152" s="330">
        <f t="shared" si="23"/>
        <v>20518385.998710498</v>
      </c>
      <c r="I152" s="330">
        <f t="shared" si="23"/>
        <v>3865901.4061008659</v>
      </c>
      <c r="J152" s="330">
        <f t="shared" si="23"/>
        <v>10401880.055862721</v>
      </c>
      <c r="K152" s="330">
        <f>SUM(K141:K150)</f>
        <v>20329224.188948642</v>
      </c>
    </row>
    <row r="154" spans="1:11" ht="18" customHeight="1">
      <c r="A154" s="275" t="s">
        <v>361</v>
      </c>
      <c r="B154" s="271" t="s">
        <v>252</v>
      </c>
      <c r="F154" s="331">
        <f>K152/F121</f>
        <v>6.5157769836373849E-2</v>
      </c>
    </row>
    <row r="155" spans="1:11" ht="18" customHeight="1">
      <c r="A155" s="275" t="s">
        <v>362</v>
      </c>
      <c r="B155" s="271" t="s">
        <v>253</v>
      </c>
      <c r="F155" s="331">
        <f>K152/F127</f>
        <v>-0.33825101394234108</v>
      </c>
      <c r="G155" s="271"/>
    </row>
    <row r="156" spans="1:11" ht="18" customHeight="1">
      <c r="G156" s="271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9" workbookViewId="0">
      <selection activeCell="B43" sqref="B43"/>
    </sheetView>
  </sheetViews>
  <sheetFormatPr defaultRowHeight="12.75"/>
  <cols>
    <col min="1" max="1" width="8.28515625" style="135" customWidth="1"/>
    <col min="2" max="2" width="55.42578125" style="49" bestFit="1" customWidth="1"/>
    <col min="3" max="3" width="9.5703125" style="49" customWidth="1"/>
    <col min="4" max="4" width="9.140625" style="49"/>
    <col min="5" max="5" width="12.42578125" style="49" customWidth="1"/>
    <col min="6" max="6" width="18.5703125" style="49" customWidth="1"/>
    <col min="7" max="7" width="23.5703125" style="49" customWidth="1"/>
    <col min="8" max="8" width="17.140625" style="49" customWidth="1"/>
    <col min="9" max="9" width="21.140625" style="49" customWidth="1"/>
    <col min="10" max="10" width="19.85546875" style="49" customWidth="1"/>
    <col min="11" max="11" width="17.5703125" style="49" customWidth="1"/>
    <col min="12" max="16384" width="9.140625" style="49"/>
  </cols>
  <sheetData>
    <row r="1" spans="1:11" ht="18" customHeight="1">
      <c r="C1" s="346"/>
      <c r="D1" s="42"/>
      <c r="E1" s="346"/>
      <c r="F1" s="346"/>
      <c r="G1" s="346"/>
      <c r="H1" s="346"/>
      <c r="I1" s="346"/>
      <c r="J1" s="346"/>
      <c r="K1" s="346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26" t="s">
        <v>737</v>
      </c>
      <c r="D5" s="851"/>
      <c r="E5" s="851"/>
      <c r="F5" s="851"/>
      <c r="G5" s="852"/>
    </row>
    <row r="6" spans="1:11" ht="18" customHeight="1">
      <c r="B6" s="45" t="s">
        <v>136</v>
      </c>
      <c r="C6" s="912" t="s">
        <v>738</v>
      </c>
      <c r="D6" s="854"/>
      <c r="E6" s="854"/>
      <c r="F6" s="854"/>
      <c r="G6" s="855"/>
    </row>
    <row r="7" spans="1:11" ht="18" customHeight="1">
      <c r="B7" s="45" t="s">
        <v>137</v>
      </c>
      <c r="C7" s="913" t="s">
        <v>739</v>
      </c>
      <c r="D7" s="857"/>
      <c r="E7" s="857"/>
      <c r="F7" s="857"/>
      <c r="G7" s="858"/>
    </row>
    <row r="9" spans="1:11" ht="18" customHeight="1">
      <c r="B9" s="45" t="s">
        <v>138</v>
      </c>
      <c r="C9" s="826" t="s">
        <v>740</v>
      </c>
      <c r="D9" s="851"/>
      <c r="E9" s="851"/>
      <c r="F9" s="851"/>
      <c r="G9" s="852"/>
    </row>
    <row r="10" spans="1:11" ht="18" customHeight="1">
      <c r="B10" s="45" t="s">
        <v>140</v>
      </c>
      <c r="C10" s="835" t="s">
        <v>741</v>
      </c>
      <c r="D10" s="860"/>
      <c r="E10" s="860"/>
      <c r="F10" s="860"/>
      <c r="G10" s="861"/>
    </row>
    <row r="11" spans="1:11" ht="18" customHeight="1">
      <c r="B11" s="45" t="s">
        <v>142</v>
      </c>
      <c r="C11" s="838" t="s">
        <v>742</v>
      </c>
      <c r="D11" s="874"/>
      <c r="E11" s="874"/>
      <c r="F11" s="874"/>
      <c r="G11" s="874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346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11423038</v>
      </c>
      <c r="I18" s="167">
        <v>0</v>
      </c>
      <c r="J18" s="347">
        <v>9768126</v>
      </c>
      <c r="K18" s="348">
        <f>(H18+I18)-J18</f>
        <v>1654912</v>
      </c>
    </row>
    <row r="19" spans="1:11" ht="45" customHeight="1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7">
        <v>41574</v>
      </c>
      <c r="G21" s="57">
        <v>3301</v>
      </c>
      <c r="H21" s="347">
        <v>1234970</v>
      </c>
      <c r="I21" s="167">
        <f t="shared" ref="I21:I34" si="0">H21*F$114</f>
        <v>834839.72000000009</v>
      </c>
      <c r="J21" s="347">
        <v>93146</v>
      </c>
      <c r="K21" s="348">
        <f t="shared" ref="K21:K34" si="1">(H21+I21)-J21</f>
        <v>1976663.7200000002</v>
      </c>
    </row>
    <row r="22" spans="1:11" ht="18" customHeight="1">
      <c r="A22" s="45" t="s">
        <v>261</v>
      </c>
      <c r="B22" s="49" t="s">
        <v>157</v>
      </c>
      <c r="F22" s="57"/>
      <c r="G22" s="57"/>
      <c r="H22" s="347"/>
      <c r="I22" s="167"/>
      <c r="J22" s="347"/>
      <c r="K22" s="348"/>
    </row>
    <row r="23" spans="1:11" ht="18" customHeight="1">
      <c r="A23" s="45" t="s">
        <v>262</v>
      </c>
      <c r="B23" s="49" t="s">
        <v>158</v>
      </c>
      <c r="F23" s="57"/>
      <c r="G23" s="57"/>
      <c r="H23" s="347"/>
      <c r="I23" s="167">
        <f t="shared" si="0"/>
        <v>0</v>
      </c>
      <c r="J23" s="347"/>
      <c r="K23" s="348">
        <f t="shared" si="1"/>
        <v>0</v>
      </c>
    </row>
    <row r="24" spans="1:11" ht="18" customHeight="1">
      <c r="A24" s="45" t="s">
        <v>263</v>
      </c>
      <c r="B24" s="49" t="s">
        <v>159</v>
      </c>
      <c r="F24" s="57">
        <v>2648</v>
      </c>
      <c r="G24" s="57">
        <v>23880</v>
      </c>
      <c r="H24" s="347">
        <v>1456713</v>
      </c>
      <c r="I24" s="167">
        <f t="shared" si="0"/>
        <v>984737.98800000001</v>
      </c>
      <c r="J24" s="347"/>
      <c r="K24" s="348">
        <f t="shared" si="1"/>
        <v>2441450.9879999999</v>
      </c>
    </row>
    <row r="25" spans="1:11" ht="18" customHeight="1">
      <c r="A25" s="45" t="s">
        <v>264</v>
      </c>
      <c r="B25" s="49" t="s">
        <v>160</v>
      </c>
      <c r="F25" s="57"/>
      <c r="G25" s="57"/>
      <c r="H25" s="347"/>
      <c r="I25" s="167">
        <f t="shared" si="0"/>
        <v>0</v>
      </c>
      <c r="J25" s="347"/>
      <c r="K25" s="348">
        <f t="shared" si="1"/>
        <v>0</v>
      </c>
    </row>
    <row r="26" spans="1:11" ht="18" customHeight="1">
      <c r="A26" s="45" t="s">
        <v>265</v>
      </c>
      <c r="B26" s="49" t="s">
        <v>161</v>
      </c>
      <c r="F26" s="57"/>
      <c r="G26" s="57"/>
      <c r="H26" s="347"/>
      <c r="I26" s="167">
        <f t="shared" si="0"/>
        <v>0</v>
      </c>
      <c r="J26" s="347"/>
      <c r="K26" s="348">
        <f t="shared" si="1"/>
        <v>0</v>
      </c>
    </row>
    <row r="27" spans="1:11" ht="18" customHeight="1">
      <c r="A27" s="45" t="s">
        <v>266</v>
      </c>
      <c r="B27" s="49" t="s">
        <v>162</v>
      </c>
      <c r="F27" s="57"/>
      <c r="G27" s="57"/>
      <c r="H27" s="347"/>
      <c r="I27" s="167">
        <f t="shared" si="0"/>
        <v>0</v>
      </c>
      <c r="J27" s="347"/>
      <c r="K27" s="348">
        <f t="shared" si="1"/>
        <v>0</v>
      </c>
    </row>
    <row r="28" spans="1:11" ht="18" customHeight="1">
      <c r="A28" s="45" t="s">
        <v>267</v>
      </c>
      <c r="B28" s="49" t="s">
        <v>163</v>
      </c>
      <c r="F28" s="57"/>
      <c r="G28" s="57"/>
      <c r="H28" s="347"/>
      <c r="I28" s="167">
        <f t="shared" si="0"/>
        <v>0</v>
      </c>
      <c r="J28" s="347"/>
      <c r="K28" s="348">
        <f t="shared" si="1"/>
        <v>0</v>
      </c>
    </row>
    <row r="29" spans="1:11" ht="18" customHeight="1">
      <c r="A29" s="45" t="s">
        <v>268</v>
      </c>
      <c r="B29" s="49" t="s">
        <v>165</v>
      </c>
      <c r="F29" s="57"/>
      <c r="G29" s="57"/>
      <c r="H29" s="347">
        <v>715183</v>
      </c>
      <c r="I29" s="167">
        <f t="shared" si="0"/>
        <v>483463.70800000004</v>
      </c>
      <c r="J29" s="347"/>
      <c r="K29" s="348">
        <f t="shared" si="1"/>
        <v>1198646.7080000001</v>
      </c>
    </row>
    <row r="30" spans="1:11" ht="18" customHeight="1">
      <c r="A30" s="45" t="s">
        <v>269</v>
      </c>
      <c r="B30" s="814" t="s">
        <v>743</v>
      </c>
      <c r="C30" s="815"/>
      <c r="D30" s="816"/>
      <c r="F30" s="57"/>
      <c r="G30" s="57"/>
      <c r="H30" s="347">
        <v>188805</v>
      </c>
      <c r="I30" s="167">
        <f t="shared" si="0"/>
        <v>127632.18000000001</v>
      </c>
      <c r="J30" s="347"/>
      <c r="K30" s="348">
        <f t="shared" si="1"/>
        <v>316437.18</v>
      </c>
    </row>
    <row r="31" spans="1:11" ht="18" customHeight="1">
      <c r="A31" s="45" t="s">
        <v>270</v>
      </c>
      <c r="B31" s="814"/>
      <c r="C31" s="815"/>
      <c r="D31" s="816"/>
      <c r="F31" s="57"/>
      <c r="G31" s="57"/>
      <c r="H31" s="347"/>
      <c r="I31" s="167">
        <f t="shared" si="0"/>
        <v>0</v>
      </c>
      <c r="J31" s="347"/>
      <c r="K31" s="348">
        <f t="shared" si="1"/>
        <v>0</v>
      </c>
    </row>
    <row r="32" spans="1:11" ht="18" customHeight="1">
      <c r="A32" s="45" t="s">
        <v>271</v>
      </c>
      <c r="B32" s="160"/>
      <c r="C32" s="161"/>
      <c r="D32" s="162"/>
      <c r="F32" s="57"/>
      <c r="G32" s="57" t="s">
        <v>272</v>
      </c>
      <c r="H32" s="347"/>
      <c r="I32" s="167">
        <f t="shared" si="0"/>
        <v>0</v>
      </c>
      <c r="J32" s="347"/>
      <c r="K32" s="348">
        <f t="shared" si="1"/>
        <v>0</v>
      </c>
    </row>
    <row r="33" spans="1:11" ht="18" customHeight="1">
      <c r="A33" s="45" t="s">
        <v>273</v>
      </c>
      <c r="B33" s="160"/>
      <c r="C33" s="161"/>
      <c r="D33" s="162"/>
      <c r="F33" s="57"/>
      <c r="G33" s="57" t="s">
        <v>272</v>
      </c>
      <c r="H33" s="347"/>
      <c r="I33" s="167">
        <f t="shared" si="0"/>
        <v>0</v>
      </c>
      <c r="J33" s="347"/>
      <c r="K33" s="348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7"/>
      <c r="G34" s="57" t="s">
        <v>272</v>
      </c>
      <c r="H34" s="347"/>
      <c r="I34" s="167">
        <f t="shared" si="0"/>
        <v>0</v>
      </c>
      <c r="J34" s="347"/>
      <c r="K34" s="348">
        <f t="shared" si="1"/>
        <v>0</v>
      </c>
    </row>
    <row r="35" spans="1:11" ht="18" customHeight="1">
      <c r="K35" s="349"/>
    </row>
    <row r="36" spans="1:11" ht="18" customHeight="1">
      <c r="A36" s="48" t="s">
        <v>275</v>
      </c>
      <c r="B36" s="43" t="s">
        <v>166</v>
      </c>
      <c r="E36" s="43" t="s">
        <v>276</v>
      </c>
      <c r="F36" s="350">
        <f t="shared" ref="F36:K36" si="2">SUM(F21:F34)</f>
        <v>44222</v>
      </c>
      <c r="G36" s="350">
        <f t="shared" si="2"/>
        <v>27181</v>
      </c>
      <c r="H36" s="350">
        <f t="shared" si="2"/>
        <v>3595671</v>
      </c>
      <c r="I36" s="348">
        <f t="shared" si="2"/>
        <v>2430673.5960000004</v>
      </c>
      <c r="J36" s="348">
        <f t="shared" si="2"/>
        <v>93146</v>
      </c>
      <c r="K36" s="348">
        <f t="shared" si="2"/>
        <v>5933198.5960000008</v>
      </c>
    </row>
    <row r="37" spans="1:11" ht="18" customHeight="1" thickBot="1">
      <c r="B37" s="43"/>
      <c r="F37" s="351"/>
      <c r="G37" s="351"/>
      <c r="H37" s="352"/>
      <c r="I37" s="352"/>
      <c r="J37" s="352"/>
      <c r="K37" s="353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9" t="s">
        <v>170</v>
      </c>
      <c r="F40" s="57">
        <v>832</v>
      </c>
      <c r="G40" s="57"/>
      <c r="H40" s="347">
        <v>8196400</v>
      </c>
      <c r="I40" s="167">
        <f t="shared" ref="I40:I47" si="3">H40*F$114</f>
        <v>5540766.4000000004</v>
      </c>
      <c r="J40" s="347">
        <v>420067</v>
      </c>
      <c r="K40" s="348">
        <f t="shared" ref="K40:K47" si="4">(H40+I40)-J40</f>
        <v>13317099.4</v>
      </c>
    </row>
    <row r="41" spans="1:11" ht="18" customHeight="1">
      <c r="A41" s="45" t="s">
        <v>278</v>
      </c>
      <c r="B41" s="818" t="s">
        <v>172</v>
      </c>
      <c r="C41" s="818"/>
      <c r="F41" s="57">
        <v>832</v>
      </c>
      <c r="G41" s="57"/>
      <c r="H41" s="347">
        <v>115569</v>
      </c>
      <c r="I41" s="167">
        <f t="shared" si="3"/>
        <v>78124.644</v>
      </c>
      <c r="J41" s="347"/>
      <c r="K41" s="348">
        <f t="shared" si="4"/>
        <v>193693.644</v>
      </c>
    </row>
    <row r="42" spans="1:11" ht="18" customHeight="1">
      <c r="A42" s="45" t="s">
        <v>279</v>
      </c>
      <c r="B42" s="49" t="s">
        <v>174</v>
      </c>
      <c r="F42" s="57">
        <v>5441</v>
      </c>
      <c r="G42" s="57">
        <v>27</v>
      </c>
      <c r="H42" s="347">
        <v>307347</v>
      </c>
      <c r="I42" s="167">
        <f t="shared" si="3"/>
        <v>207766.57200000001</v>
      </c>
      <c r="J42" s="347"/>
      <c r="K42" s="348">
        <f t="shared" si="4"/>
        <v>515113.57200000004</v>
      </c>
    </row>
    <row r="43" spans="1:11" ht="18" customHeight="1">
      <c r="A43" s="45" t="s">
        <v>280</v>
      </c>
      <c r="B43" s="49" t="s">
        <v>176</v>
      </c>
      <c r="F43" s="57"/>
      <c r="G43" s="57"/>
      <c r="H43" s="347"/>
      <c r="I43" s="167">
        <f t="shared" si="3"/>
        <v>0</v>
      </c>
      <c r="J43" s="347"/>
      <c r="K43" s="348">
        <f t="shared" si="4"/>
        <v>0</v>
      </c>
    </row>
    <row r="44" spans="1:11" ht="18" customHeight="1">
      <c r="A44" s="45" t="s">
        <v>281</v>
      </c>
      <c r="B44" s="814"/>
      <c r="C44" s="815"/>
      <c r="D44" s="816"/>
      <c r="F44" s="57"/>
      <c r="G44" s="57"/>
      <c r="H44" s="57"/>
      <c r="I44" s="167">
        <f t="shared" si="3"/>
        <v>0</v>
      </c>
      <c r="J44" s="57"/>
      <c r="K44" s="354">
        <f t="shared" si="4"/>
        <v>0</v>
      </c>
    </row>
    <row r="45" spans="1:11" ht="18" customHeight="1">
      <c r="A45" s="45" t="s">
        <v>283</v>
      </c>
      <c r="B45" s="814"/>
      <c r="C45" s="815"/>
      <c r="D45" s="816"/>
      <c r="F45" s="57"/>
      <c r="G45" s="57"/>
      <c r="H45" s="347"/>
      <c r="I45" s="167">
        <f t="shared" si="3"/>
        <v>0</v>
      </c>
      <c r="J45" s="347"/>
      <c r="K45" s="348">
        <f t="shared" si="4"/>
        <v>0</v>
      </c>
    </row>
    <row r="46" spans="1:11" ht="18" customHeight="1">
      <c r="A46" s="45" t="s">
        <v>284</v>
      </c>
      <c r="B46" s="814"/>
      <c r="C46" s="815"/>
      <c r="D46" s="816"/>
      <c r="F46" s="57"/>
      <c r="G46" s="57"/>
      <c r="H46" s="347"/>
      <c r="I46" s="167">
        <f t="shared" si="3"/>
        <v>0</v>
      </c>
      <c r="J46" s="347"/>
      <c r="K46" s="348">
        <f t="shared" si="4"/>
        <v>0</v>
      </c>
    </row>
    <row r="47" spans="1:11" ht="18" customHeight="1">
      <c r="A47" s="45" t="s">
        <v>285</v>
      </c>
      <c r="B47" s="814"/>
      <c r="C47" s="815"/>
      <c r="D47" s="816"/>
      <c r="F47" s="57"/>
      <c r="G47" s="57"/>
      <c r="H47" s="347"/>
      <c r="I47" s="167">
        <f t="shared" si="3"/>
        <v>0</v>
      </c>
      <c r="J47" s="347"/>
      <c r="K47" s="348">
        <f t="shared" si="4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355">
        <f t="shared" ref="F49:K49" si="5">SUM(F40:F47)</f>
        <v>7105</v>
      </c>
      <c r="G49" s="355">
        <f t="shared" si="5"/>
        <v>27</v>
      </c>
      <c r="H49" s="348">
        <f t="shared" si="5"/>
        <v>8619316</v>
      </c>
      <c r="I49" s="348">
        <f t="shared" si="5"/>
        <v>5826657.6160000004</v>
      </c>
      <c r="J49" s="348">
        <f t="shared" si="5"/>
        <v>420067</v>
      </c>
      <c r="K49" s="348">
        <f t="shared" si="5"/>
        <v>14025906.616</v>
      </c>
    </row>
    <row r="50" spans="1:11" ht="18" customHeight="1" thickBot="1">
      <c r="G50" s="356"/>
      <c r="H50" s="356"/>
      <c r="I50" s="356"/>
      <c r="J50" s="356"/>
      <c r="K50" s="356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66"/>
    </row>
    <row r="53" spans="1:11" ht="18" customHeight="1">
      <c r="A53" s="45" t="s">
        <v>287</v>
      </c>
      <c r="B53" s="822" t="s">
        <v>744</v>
      </c>
      <c r="C53" s="867"/>
      <c r="D53" s="865"/>
      <c r="F53" s="57"/>
      <c r="G53" s="57">
        <v>39619</v>
      </c>
      <c r="H53" s="347">
        <v>2013996</v>
      </c>
      <c r="I53" s="167">
        <f t="shared" ref="I53:I62" si="6">H53*F$114</f>
        <v>1361461.2960000001</v>
      </c>
      <c r="J53" s="347"/>
      <c r="K53" s="348">
        <f t="shared" ref="K53:K62" si="7">(H53+I53)-J53</f>
        <v>3375457.2960000001</v>
      </c>
    </row>
    <row r="54" spans="1:11" ht="18" customHeight="1">
      <c r="A54" s="45" t="s">
        <v>289</v>
      </c>
      <c r="B54" s="164" t="s">
        <v>745</v>
      </c>
      <c r="C54" s="262"/>
      <c r="D54" s="263"/>
      <c r="F54" s="57"/>
      <c r="G54" s="57">
        <v>3398</v>
      </c>
      <c r="H54" s="347">
        <v>1613034</v>
      </c>
      <c r="I54" s="167">
        <f t="shared" si="6"/>
        <v>1090410.9840000002</v>
      </c>
      <c r="J54" s="347"/>
      <c r="K54" s="348">
        <f t="shared" si="7"/>
        <v>2703444.9840000002</v>
      </c>
    </row>
    <row r="55" spans="1:11" ht="18" customHeight="1">
      <c r="A55" s="45" t="s">
        <v>291</v>
      </c>
      <c r="B55" s="817" t="s">
        <v>721</v>
      </c>
      <c r="C55" s="864"/>
      <c r="D55" s="865"/>
      <c r="F55" s="57"/>
      <c r="G55" s="57"/>
      <c r="H55" s="347">
        <v>860040</v>
      </c>
      <c r="I55" s="167">
        <f t="shared" si="6"/>
        <v>581387.04</v>
      </c>
      <c r="J55" s="347"/>
      <c r="K55" s="348">
        <f t="shared" si="7"/>
        <v>1441427.04</v>
      </c>
    </row>
    <row r="56" spans="1:11" ht="18" customHeight="1">
      <c r="A56" s="45" t="s">
        <v>293</v>
      </c>
      <c r="B56" s="817" t="s">
        <v>746</v>
      </c>
      <c r="C56" s="864"/>
      <c r="D56" s="865"/>
      <c r="F56" s="57">
        <v>8371</v>
      </c>
      <c r="G56" s="57">
        <v>2000</v>
      </c>
      <c r="H56" s="347">
        <v>920761</v>
      </c>
      <c r="I56" s="167">
        <f t="shared" si="6"/>
        <v>622434.43599999999</v>
      </c>
      <c r="J56" s="347"/>
      <c r="K56" s="348">
        <f t="shared" si="7"/>
        <v>1543195.436</v>
      </c>
    </row>
    <row r="57" spans="1:11" ht="18" customHeight="1">
      <c r="A57" s="45" t="s">
        <v>295</v>
      </c>
      <c r="B57" s="817" t="s">
        <v>747</v>
      </c>
      <c r="C57" s="864"/>
      <c r="D57" s="865"/>
      <c r="F57" s="57">
        <v>23958</v>
      </c>
      <c r="G57" s="57">
        <v>1737</v>
      </c>
      <c r="H57" s="347">
        <v>1135780</v>
      </c>
      <c r="I57" s="167">
        <f t="shared" si="6"/>
        <v>767787.28</v>
      </c>
      <c r="J57" s="347">
        <v>915952</v>
      </c>
      <c r="K57" s="348">
        <f t="shared" si="7"/>
        <v>987615.28</v>
      </c>
    </row>
    <row r="58" spans="1:11" ht="18" customHeight="1">
      <c r="A58" s="45" t="s">
        <v>298</v>
      </c>
      <c r="B58" s="164" t="s">
        <v>748</v>
      </c>
      <c r="C58" s="262"/>
      <c r="D58" s="263"/>
      <c r="F58" s="57">
        <v>7396</v>
      </c>
      <c r="G58" s="57">
        <v>608</v>
      </c>
      <c r="H58" s="347">
        <v>410841</v>
      </c>
      <c r="I58" s="167">
        <f t="shared" si="6"/>
        <v>277728.516</v>
      </c>
      <c r="J58" s="347">
        <v>309884</v>
      </c>
      <c r="K58" s="348">
        <f t="shared" si="7"/>
        <v>378685.51600000006</v>
      </c>
    </row>
    <row r="59" spans="1:11" ht="18" customHeight="1">
      <c r="A59" s="45" t="s">
        <v>300</v>
      </c>
      <c r="B59" s="817" t="s">
        <v>749</v>
      </c>
      <c r="C59" s="864"/>
      <c r="D59" s="865"/>
      <c r="F59" s="57">
        <v>1020</v>
      </c>
      <c r="G59" s="57">
        <v>863</v>
      </c>
      <c r="H59" s="347">
        <v>119900</v>
      </c>
      <c r="I59" s="167">
        <f t="shared" si="6"/>
        <v>81052.400000000009</v>
      </c>
      <c r="J59" s="347"/>
      <c r="K59" s="348">
        <f t="shared" si="7"/>
        <v>200952.40000000002</v>
      </c>
    </row>
    <row r="60" spans="1:11" ht="18" customHeight="1">
      <c r="A60" s="45" t="s">
        <v>302</v>
      </c>
      <c r="B60" s="164"/>
      <c r="C60" s="262"/>
      <c r="D60" s="263"/>
      <c r="F60" s="57"/>
      <c r="G60" s="57"/>
      <c r="H60" s="347"/>
      <c r="I60" s="167">
        <f t="shared" si="6"/>
        <v>0</v>
      </c>
      <c r="J60" s="347"/>
      <c r="K60" s="348">
        <f t="shared" si="7"/>
        <v>0</v>
      </c>
    </row>
    <row r="61" spans="1:11" ht="18" customHeight="1">
      <c r="A61" s="45" t="s">
        <v>303</v>
      </c>
      <c r="B61" s="164"/>
      <c r="C61" s="262"/>
      <c r="D61" s="263"/>
      <c r="F61" s="57"/>
      <c r="G61" s="57"/>
      <c r="H61" s="347"/>
      <c r="I61" s="167">
        <f t="shared" si="6"/>
        <v>0</v>
      </c>
      <c r="J61" s="347"/>
      <c r="K61" s="348">
        <f t="shared" si="7"/>
        <v>0</v>
      </c>
    </row>
    <row r="62" spans="1:11" ht="18" customHeight="1">
      <c r="A62" s="45" t="s">
        <v>304</v>
      </c>
      <c r="B62" s="817"/>
      <c r="C62" s="864"/>
      <c r="D62" s="865"/>
      <c r="F62" s="57"/>
      <c r="G62" s="57"/>
      <c r="H62" s="347"/>
      <c r="I62" s="167">
        <f t="shared" si="6"/>
        <v>0</v>
      </c>
      <c r="J62" s="347"/>
      <c r="K62" s="348">
        <f t="shared" si="7"/>
        <v>0</v>
      </c>
    </row>
    <row r="63" spans="1:11" ht="18" customHeight="1">
      <c r="A63" s="45"/>
      <c r="I63" s="357"/>
    </row>
    <row r="64" spans="1:11" ht="18" customHeight="1">
      <c r="A64" s="45" t="s">
        <v>305</v>
      </c>
      <c r="B64" s="43" t="s">
        <v>184</v>
      </c>
      <c r="E64" s="43" t="s">
        <v>276</v>
      </c>
      <c r="F64" s="350">
        <f t="shared" ref="F64:K64" si="8">SUM(F53:F62)</f>
        <v>40745</v>
      </c>
      <c r="G64" s="350">
        <f t="shared" si="8"/>
        <v>48225</v>
      </c>
      <c r="H64" s="348">
        <f t="shared" si="8"/>
        <v>7074352</v>
      </c>
      <c r="I64" s="348">
        <f t="shared" si="8"/>
        <v>4782261.9520000005</v>
      </c>
      <c r="J64" s="348">
        <f t="shared" si="8"/>
        <v>1225836</v>
      </c>
      <c r="K64" s="348">
        <f t="shared" si="8"/>
        <v>10630777.952000001</v>
      </c>
    </row>
    <row r="65" spans="1:11" ht="18" customHeight="1">
      <c r="F65" s="358"/>
      <c r="G65" s="358"/>
      <c r="H65" s="358"/>
      <c r="I65" s="358"/>
      <c r="J65" s="358"/>
      <c r="K65" s="358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359"/>
      <c r="G67" s="359"/>
      <c r="H67" s="359"/>
      <c r="I67" s="360"/>
      <c r="J67" s="359"/>
      <c r="K67" s="361"/>
    </row>
    <row r="68" spans="1:11" ht="18" customHeight="1">
      <c r="A68" s="45" t="s">
        <v>306</v>
      </c>
      <c r="B68" s="49" t="s">
        <v>188</v>
      </c>
      <c r="F68" s="362"/>
      <c r="G68" s="362"/>
      <c r="H68" s="362"/>
      <c r="I68" s="167">
        <v>0</v>
      </c>
      <c r="J68" s="362"/>
      <c r="K68" s="348">
        <f>(H68+I68)-J68</f>
        <v>0</v>
      </c>
    </row>
    <row r="69" spans="1:11" ht="18" customHeight="1">
      <c r="A69" s="45" t="s">
        <v>307</v>
      </c>
      <c r="B69" s="49" t="s">
        <v>190</v>
      </c>
      <c r="F69" s="362"/>
      <c r="G69" s="362"/>
      <c r="H69" s="362"/>
      <c r="I69" s="167">
        <v>0</v>
      </c>
      <c r="J69" s="362"/>
      <c r="K69" s="348">
        <f>(H69+I69)-J69</f>
        <v>0</v>
      </c>
    </row>
    <row r="70" spans="1:11" ht="18" customHeight="1">
      <c r="A70" s="45" t="s">
        <v>308</v>
      </c>
      <c r="B70" s="164"/>
      <c r="C70" s="262"/>
      <c r="D70" s="263"/>
      <c r="E70" s="43"/>
      <c r="F70" s="364"/>
      <c r="G70" s="364"/>
      <c r="H70" s="363"/>
      <c r="I70" s="167">
        <v>0</v>
      </c>
      <c r="J70" s="363"/>
      <c r="K70" s="348">
        <f>(H70+I70)-J70</f>
        <v>0</v>
      </c>
    </row>
    <row r="71" spans="1:11" ht="18" customHeight="1">
      <c r="A71" s="45" t="s">
        <v>309</v>
      </c>
      <c r="B71" s="164"/>
      <c r="C71" s="262"/>
      <c r="D71" s="263"/>
      <c r="E71" s="43"/>
      <c r="F71" s="364"/>
      <c r="G71" s="364"/>
      <c r="H71" s="363"/>
      <c r="I71" s="167">
        <v>0</v>
      </c>
      <c r="J71" s="363"/>
      <c r="K71" s="348">
        <f>(H71+I71)-J71</f>
        <v>0</v>
      </c>
    </row>
    <row r="72" spans="1:11" ht="18" customHeight="1">
      <c r="A72" s="45" t="s">
        <v>310</v>
      </c>
      <c r="B72" s="163"/>
      <c r="C72" s="264"/>
      <c r="D72" s="365"/>
      <c r="E72" s="43"/>
      <c r="F72" s="57"/>
      <c r="G72" s="57"/>
      <c r="H72" s="347"/>
      <c r="I72" s="167">
        <v>0</v>
      </c>
      <c r="J72" s="347"/>
      <c r="K72" s="348">
        <f>(H72+I72)-J72</f>
        <v>0</v>
      </c>
    </row>
    <row r="73" spans="1:11" ht="18" customHeight="1">
      <c r="A73" s="45"/>
      <c r="E73" s="43"/>
      <c r="F73" s="366"/>
      <c r="G73" s="366"/>
      <c r="H73" s="367"/>
      <c r="I73" s="360"/>
      <c r="J73" s="367"/>
      <c r="K73" s="361"/>
    </row>
    <row r="74" spans="1:11" ht="18" customHeight="1">
      <c r="A74" s="48" t="s">
        <v>311</v>
      </c>
      <c r="B74" s="43" t="s">
        <v>191</v>
      </c>
      <c r="E74" s="43" t="s">
        <v>276</v>
      </c>
      <c r="F74" s="368">
        <f t="shared" ref="F74:K74" si="9">SUM(F68:F72)</f>
        <v>0</v>
      </c>
      <c r="G74" s="368">
        <f t="shared" si="9"/>
        <v>0</v>
      </c>
      <c r="H74" s="368">
        <f t="shared" si="9"/>
        <v>0</v>
      </c>
      <c r="I74" s="370">
        <f t="shared" si="9"/>
        <v>0</v>
      </c>
      <c r="J74" s="368">
        <f t="shared" si="9"/>
        <v>0</v>
      </c>
      <c r="K74" s="354">
        <f t="shared" si="9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7"/>
      <c r="G77" s="57"/>
      <c r="H77" s="347">
        <f>12930339-11423038</f>
        <v>1507301</v>
      </c>
      <c r="I77" s="167">
        <v>0</v>
      </c>
      <c r="J77" s="347"/>
      <c r="K77" s="348">
        <f>(H77+I77)-J77</f>
        <v>1507301</v>
      </c>
    </row>
    <row r="78" spans="1:11" ht="18" customHeight="1">
      <c r="A78" s="45" t="s">
        <v>313</v>
      </c>
      <c r="B78" s="49" t="s">
        <v>197</v>
      </c>
      <c r="F78" s="57"/>
      <c r="G78" s="57"/>
      <c r="H78" s="347"/>
      <c r="I78" s="167">
        <v>0</v>
      </c>
      <c r="J78" s="347"/>
      <c r="K78" s="348">
        <f>(H78+I78)-J78</f>
        <v>0</v>
      </c>
    </row>
    <row r="79" spans="1:11" ht="18" customHeight="1">
      <c r="A79" s="45" t="s">
        <v>314</v>
      </c>
      <c r="B79" s="49" t="s">
        <v>199</v>
      </c>
      <c r="F79" s="57">
        <v>719</v>
      </c>
      <c r="G79" s="57">
        <v>687</v>
      </c>
      <c r="H79" s="347">
        <v>42179</v>
      </c>
      <c r="I79" s="167">
        <f t="shared" ref="I79" si="10">H79*F$114</f>
        <v>28513.004000000001</v>
      </c>
      <c r="J79" s="347"/>
      <c r="K79" s="348">
        <f>(H79+I79)-J79</f>
        <v>70692.004000000001</v>
      </c>
    </row>
    <row r="80" spans="1:11" ht="18" customHeight="1">
      <c r="A80" s="45" t="s">
        <v>315</v>
      </c>
      <c r="B80" s="49" t="s">
        <v>316</v>
      </c>
      <c r="F80" s="57"/>
      <c r="G80" s="57"/>
      <c r="H80" s="347"/>
      <c r="I80" s="167">
        <v>0</v>
      </c>
      <c r="J80" s="347"/>
      <c r="K80" s="348">
        <f>(H80+I80)-J80</f>
        <v>0</v>
      </c>
    </row>
    <row r="81" spans="1:11" ht="18" customHeight="1">
      <c r="A81" s="45"/>
      <c r="K81" s="371"/>
    </row>
    <row r="82" spans="1:11" ht="18" customHeight="1">
      <c r="A82" s="45" t="s">
        <v>317</v>
      </c>
      <c r="B82" s="43" t="s">
        <v>318</v>
      </c>
      <c r="E82" s="43" t="s">
        <v>276</v>
      </c>
      <c r="F82" s="368">
        <f t="shared" ref="F82:K82" si="11">SUM(F77:F80)</f>
        <v>719</v>
      </c>
      <c r="G82" s="368">
        <f t="shared" si="11"/>
        <v>687</v>
      </c>
      <c r="H82" s="354">
        <f t="shared" si="11"/>
        <v>1549480</v>
      </c>
      <c r="I82" s="354">
        <f t="shared" si="11"/>
        <v>28513.004000000001</v>
      </c>
      <c r="J82" s="354">
        <f t="shared" si="11"/>
        <v>0</v>
      </c>
      <c r="K82" s="354">
        <f t="shared" si="11"/>
        <v>1577993.004</v>
      </c>
    </row>
    <row r="83" spans="1:11" ht="18" customHeight="1" thickBot="1">
      <c r="A83" s="45"/>
      <c r="F83" s="356"/>
      <c r="G83" s="356"/>
      <c r="H83" s="356"/>
      <c r="I83" s="356"/>
      <c r="J83" s="356"/>
      <c r="K83" s="356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7"/>
      <c r="G86" s="57"/>
      <c r="H86" s="347"/>
      <c r="I86" s="167">
        <f t="shared" ref="I86:I96" si="12">H86*F$114</f>
        <v>0</v>
      </c>
      <c r="J86" s="347"/>
      <c r="K86" s="348">
        <f t="shared" ref="K86:K96" si="13">(H86+I86)-J86</f>
        <v>0</v>
      </c>
    </row>
    <row r="87" spans="1:11" ht="18" customHeight="1">
      <c r="A87" s="45" t="s">
        <v>320</v>
      </c>
      <c r="B87" s="49" t="s">
        <v>206</v>
      </c>
      <c r="F87" s="57">
        <v>12464</v>
      </c>
      <c r="G87" s="57"/>
      <c r="H87" s="347">
        <v>417952</v>
      </c>
      <c r="I87" s="167">
        <f t="shared" si="12"/>
        <v>282535.55200000003</v>
      </c>
      <c r="J87" s="347">
        <v>368164</v>
      </c>
      <c r="K87" s="348">
        <f t="shared" si="13"/>
        <v>332323.55200000003</v>
      </c>
    </row>
    <row r="88" spans="1:11" ht="18" customHeight="1">
      <c r="A88" s="45" t="s">
        <v>321</v>
      </c>
      <c r="B88" s="49" t="s">
        <v>208</v>
      </c>
      <c r="F88" s="57">
        <v>1730</v>
      </c>
      <c r="G88" s="57">
        <v>41</v>
      </c>
      <c r="H88" s="347">
        <v>79241</v>
      </c>
      <c r="I88" s="167">
        <f t="shared" si="12"/>
        <v>53566.916000000005</v>
      </c>
      <c r="J88" s="347"/>
      <c r="K88" s="348">
        <f t="shared" si="13"/>
        <v>132807.916</v>
      </c>
    </row>
    <row r="89" spans="1:11" ht="18" customHeight="1">
      <c r="A89" s="45" t="s">
        <v>322</v>
      </c>
      <c r="B89" s="49" t="s">
        <v>210</v>
      </c>
      <c r="F89" s="57"/>
      <c r="G89" s="57"/>
      <c r="H89" s="347"/>
      <c r="I89" s="167">
        <f t="shared" si="12"/>
        <v>0</v>
      </c>
      <c r="J89" s="347"/>
      <c r="K89" s="348">
        <f t="shared" si="13"/>
        <v>0</v>
      </c>
    </row>
    <row r="90" spans="1:11" ht="18" customHeight="1">
      <c r="A90" s="45" t="s">
        <v>323</v>
      </c>
      <c r="B90" s="818" t="s">
        <v>212</v>
      </c>
      <c r="C90" s="818"/>
      <c r="F90" s="57">
        <v>2638</v>
      </c>
      <c r="G90" s="57">
        <v>22</v>
      </c>
      <c r="H90" s="347">
        <v>81426</v>
      </c>
      <c r="I90" s="167">
        <f t="shared" si="12"/>
        <v>55043.976000000002</v>
      </c>
      <c r="J90" s="347"/>
      <c r="K90" s="348">
        <f t="shared" si="13"/>
        <v>136469.976</v>
      </c>
    </row>
    <row r="91" spans="1:11" ht="18" customHeight="1">
      <c r="A91" s="45" t="s">
        <v>324</v>
      </c>
      <c r="B91" s="49" t="s">
        <v>214</v>
      </c>
      <c r="F91" s="57"/>
      <c r="G91" s="57"/>
      <c r="H91" s="347"/>
      <c r="I91" s="167">
        <f t="shared" si="12"/>
        <v>0</v>
      </c>
      <c r="J91" s="347"/>
      <c r="K91" s="348">
        <f t="shared" si="13"/>
        <v>0</v>
      </c>
    </row>
    <row r="92" spans="1:11" ht="18" customHeight="1">
      <c r="A92" s="45" t="s">
        <v>325</v>
      </c>
      <c r="B92" s="49" t="s">
        <v>216</v>
      </c>
      <c r="F92" s="372"/>
      <c r="G92" s="372"/>
      <c r="H92" s="373"/>
      <c r="I92" s="167">
        <f t="shared" si="12"/>
        <v>0</v>
      </c>
      <c r="J92" s="373"/>
      <c r="K92" s="348">
        <f t="shared" si="13"/>
        <v>0</v>
      </c>
    </row>
    <row r="93" spans="1:11" ht="18" customHeight="1">
      <c r="A93" s="45" t="s">
        <v>326</v>
      </c>
      <c r="B93" s="49" t="s">
        <v>218</v>
      </c>
      <c r="F93" s="57">
        <v>679</v>
      </c>
      <c r="G93" s="57"/>
      <c r="H93" s="347">
        <v>147058</v>
      </c>
      <c r="I93" s="167">
        <f t="shared" si="12"/>
        <v>99411.208000000013</v>
      </c>
      <c r="J93" s="347"/>
      <c r="K93" s="348">
        <f t="shared" si="13"/>
        <v>246469.20800000001</v>
      </c>
    </row>
    <row r="94" spans="1:11" ht="18" customHeight="1">
      <c r="A94" s="45" t="s">
        <v>327</v>
      </c>
      <c r="B94" s="817"/>
      <c r="C94" s="864"/>
      <c r="D94" s="865"/>
      <c r="F94" s="57"/>
      <c r="G94" s="57"/>
      <c r="H94" s="347"/>
      <c r="I94" s="167">
        <f t="shared" si="12"/>
        <v>0</v>
      </c>
      <c r="J94" s="347"/>
      <c r="K94" s="348">
        <f t="shared" si="13"/>
        <v>0</v>
      </c>
    </row>
    <row r="95" spans="1:11" ht="18" customHeight="1">
      <c r="A95" s="45" t="s">
        <v>329</v>
      </c>
      <c r="B95" s="817"/>
      <c r="C95" s="864"/>
      <c r="D95" s="865"/>
      <c r="F95" s="57"/>
      <c r="G95" s="57"/>
      <c r="H95" s="347"/>
      <c r="I95" s="167">
        <f t="shared" si="12"/>
        <v>0</v>
      </c>
      <c r="J95" s="347"/>
      <c r="K95" s="348">
        <f t="shared" si="13"/>
        <v>0</v>
      </c>
    </row>
    <row r="96" spans="1:11" ht="18" customHeight="1">
      <c r="A96" s="45" t="s">
        <v>330</v>
      </c>
      <c r="B96" s="817"/>
      <c r="C96" s="864"/>
      <c r="D96" s="865"/>
      <c r="F96" s="57"/>
      <c r="G96" s="57"/>
      <c r="H96" s="347"/>
      <c r="I96" s="167">
        <f t="shared" si="12"/>
        <v>0</v>
      </c>
      <c r="J96" s="347"/>
      <c r="K96" s="348">
        <f t="shared" si="13"/>
        <v>0</v>
      </c>
    </row>
    <row r="97" spans="1:11" ht="18" customHeight="1">
      <c r="A97" s="45"/>
    </row>
    <row r="98" spans="1:11" ht="18" customHeight="1">
      <c r="A98" s="48" t="s">
        <v>331</v>
      </c>
      <c r="B98" s="43" t="s">
        <v>220</v>
      </c>
      <c r="E98" s="43" t="s">
        <v>276</v>
      </c>
      <c r="F98" s="350">
        <f t="shared" ref="F98:K98" si="14">SUM(F86:F96)</f>
        <v>17511</v>
      </c>
      <c r="G98" s="350">
        <f t="shared" si="14"/>
        <v>63</v>
      </c>
      <c r="H98" s="350">
        <f t="shared" si="14"/>
        <v>725677</v>
      </c>
      <c r="I98" s="350">
        <f t="shared" si="14"/>
        <v>490557.65200000012</v>
      </c>
      <c r="J98" s="350">
        <f t="shared" si="14"/>
        <v>368164</v>
      </c>
      <c r="K98" s="350">
        <f t="shared" si="14"/>
        <v>848070.652</v>
      </c>
    </row>
    <row r="99" spans="1:11" ht="18" customHeight="1" thickBot="1">
      <c r="B99" s="43"/>
      <c r="F99" s="356"/>
      <c r="G99" s="356"/>
      <c r="H99" s="356"/>
      <c r="I99" s="356"/>
      <c r="J99" s="356"/>
      <c r="K99" s="356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7">
        <v>2785</v>
      </c>
      <c r="G102" s="57"/>
      <c r="H102" s="347">
        <v>142695</v>
      </c>
      <c r="I102" s="167">
        <f>H102*F$114</f>
        <v>96461.82</v>
      </c>
      <c r="J102" s="347"/>
      <c r="K102" s="348">
        <f>(H102+I102)-J102</f>
        <v>239156.82</v>
      </c>
    </row>
    <row r="103" spans="1:11" ht="18" customHeight="1">
      <c r="A103" s="45" t="s">
        <v>333</v>
      </c>
      <c r="B103" s="818" t="s">
        <v>226</v>
      </c>
      <c r="C103" s="818"/>
      <c r="F103" s="57"/>
      <c r="G103" s="57"/>
      <c r="H103" s="347"/>
      <c r="I103" s="167">
        <f>H103*F$114</f>
        <v>0</v>
      </c>
      <c r="J103" s="347"/>
      <c r="K103" s="348">
        <f>(H103+I103)-J103</f>
        <v>0</v>
      </c>
    </row>
    <row r="104" spans="1:11" ht="18" customHeight="1">
      <c r="A104" s="45" t="s">
        <v>334</v>
      </c>
      <c r="B104" s="817"/>
      <c r="C104" s="864"/>
      <c r="D104" s="865"/>
      <c r="F104" s="57"/>
      <c r="G104" s="57"/>
      <c r="H104" s="347"/>
      <c r="I104" s="167">
        <f>H104*F$114</f>
        <v>0</v>
      </c>
      <c r="J104" s="347"/>
      <c r="K104" s="348">
        <f>(H104+I104)-J104</f>
        <v>0</v>
      </c>
    </row>
    <row r="105" spans="1:11" ht="18" customHeight="1">
      <c r="A105" s="45" t="s">
        <v>336</v>
      </c>
      <c r="B105" s="817"/>
      <c r="C105" s="864"/>
      <c r="D105" s="865"/>
      <c r="F105" s="57"/>
      <c r="G105" s="57"/>
      <c r="H105" s="347"/>
      <c r="I105" s="167">
        <f>H105*F$114</f>
        <v>0</v>
      </c>
      <c r="J105" s="347"/>
      <c r="K105" s="348">
        <f>(H105+I105)-J105</f>
        <v>0</v>
      </c>
    </row>
    <row r="106" spans="1:11" ht="18" customHeight="1">
      <c r="A106" s="45" t="s">
        <v>337</v>
      </c>
      <c r="B106" s="817"/>
      <c r="C106" s="864"/>
      <c r="D106" s="865"/>
      <c r="F106" s="57"/>
      <c r="G106" s="57"/>
      <c r="H106" s="347"/>
      <c r="I106" s="167">
        <f>H106*F$114</f>
        <v>0</v>
      </c>
      <c r="J106" s="347"/>
      <c r="K106" s="348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350">
        <f t="shared" ref="F108:K108" si="15">SUM(F102:F106)</f>
        <v>2785</v>
      </c>
      <c r="G108" s="350">
        <f t="shared" si="15"/>
        <v>0</v>
      </c>
      <c r="H108" s="348">
        <f t="shared" si="15"/>
        <v>142695</v>
      </c>
      <c r="I108" s="348">
        <f t="shared" si="15"/>
        <v>96461.82</v>
      </c>
      <c r="J108" s="348">
        <f t="shared" si="15"/>
        <v>0</v>
      </c>
      <c r="K108" s="348">
        <f t="shared" si="15"/>
        <v>239156.82</v>
      </c>
    </row>
    <row r="109" spans="1:11" ht="18" customHeight="1" thickBot="1">
      <c r="A109" s="374"/>
      <c r="B109" s="92"/>
      <c r="C109" s="375"/>
      <c r="D109" s="375"/>
      <c r="E109" s="375"/>
      <c r="F109" s="356"/>
      <c r="G109" s="356"/>
      <c r="H109" s="356"/>
      <c r="I109" s="356"/>
      <c r="J109" s="356"/>
      <c r="K109" s="356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347">
        <v>17220776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376">
        <v>0.67600000000000005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347">
        <v>399060842</v>
      </c>
    </row>
    <row r="118" spans="1:6">
      <c r="A118" s="45" t="s">
        <v>343</v>
      </c>
      <c r="B118" s="49" t="s">
        <v>237</v>
      </c>
      <c r="F118" s="347">
        <f>15735715+2005177</f>
        <v>17740892</v>
      </c>
    </row>
    <row r="119" spans="1:6">
      <c r="A119" s="45" t="s">
        <v>344</v>
      </c>
      <c r="B119" s="43" t="s">
        <v>238</v>
      </c>
      <c r="F119" s="354">
        <f>SUM(F117:F118)</f>
        <v>416801734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347">
        <v>413737200</v>
      </c>
    </row>
    <row r="122" spans="1:6">
      <c r="A122" s="45"/>
    </row>
    <row r="123" spans="1:6">
      <c r="A123" s="45" t="s">
        <v>347</v>
      </c>
      <c r="B123" s="43" t="s">
        <v>348</v>
      </c>
      <c r="F123" s="347">
        <f>F119-F121</f>
        <v>3064534</v>
      </c>
    </row>
    <row r="124" spans="1:6">
      <c r="A124" s="45"/>
    </row>
    <row r="125" spans="1:6">
      <c r="A125" s="45" t="s">
        <v>349</v>
      </c>
      <c r="B125" s="43" t="s">
        <v>350</v>
      </c>
      <c r="F125" s="347">
        <v>-13190355</v>
      </c>
    </row>
    <row r="126" spans="1:6">
      <c r="A126" s="45"/>
      <c r="F126" s="384"/>
    </row>
    <row r="127" spans="1:6">
      <c r="A127" s="45" t="s">
        <v>351</v>
      </c>
      <c r="B127" s="43" t="s">
        <v>352</v>
      </c>
      <c r="F127" s="347">
        <f>F123+F125</f>
        <v>-10125821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9" t="s">
        <v>242</v>
      </c>
      <c r="F131" s="57"/>
      <c r="G131" s="57"/>
      <c r="H131" s="347"/>
      <c r="I131" s="167">
        <v>0</v>
      </c>
      <c r="J131" s="347"/>
      <c r="K131" s="348">
        <f>(H131+I131)-J131</f>
        <v>0</v>
      </c>
    </row>
    <row r="132" spans="1:11" ht="18" customHeight="1">
      <c r="A132" s="45" t="s">
        <v>354</v>
      </c>
      <c r="B132" s="49" t="s">
        <v>128</v>
      </c>
      <c r="F132" s="57"/>
      <c r="G132" s="57"/>
      <c r="H132" s="347"/>
      <c r="I132" s="167">
        <v>0</v>
      </c>
      <c r="J132" s="347"/>
      <c r="K132" s="348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7"/>
      <c r="G133" s="57"/>
      <c r="H133" s="347"/>
      <c r="I133" s="167">
        <v>0</v>
      </c>
      <c r="J133" s="347"/>
      <c r="K133" s="348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7"/>
      <c r="G134" s="57"/>
      <c r="H134" s="347"/>
      <c r="I134" s="167">
        <v>0</v>
      </c>
      <c r="J134" s="347"/>
      <c r="K134" s="348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7"/>
      <c r="G135" s="57"/>
      <c r="H135" s="347"/>
      <c r="I135" s="167">
        <v>0</v>
      </c>
      <c r="J135" s="347"/>
      <c r="K135" s="348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350">
        <f t="shared" ref="F137:K137" si="16">SUM(F131:F135)</f>
        <v>0</v>
      </c>
      <c r="G137" s="350">
        <f t="shared" si="16"/>
        <v>0</v>
      </c>
      <c r="H137" s="348">
        <f t="shared" si="16"/>
        <v>0</v>
      </c>
      <c r="I137" s="348">
        <f t="shared" si="16"/>
        <v>0</v>
      </c>
      <c r="J137" s="348">
        <f t="shared" si="16"/>
        <v>0</v>
      </c>
      <c r="K137" s="348">
        <f t="shared" si="16"/>
        <v>0</v>
      </c>
    </row>
    <row r="138" spans="1:11" ht="18" customHeight="1">
      <c r="A138" s="49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377">
        <f t="shared" ref="F141:K141" si="17">F36</f>
        <v>44222</v>
      </c>
      <c r="G141" s="377">
        <f t="shared" si="17"/>
        <v>27181</v>
      </c>
      <c r="H141" s="377">
        <f t="shared" si="17"/>
        <v>3595671</v>
      </c>
      <c r="I141" s="377">
        <f t="shared" si="17"/>
        <v>2430673.5960000004</v>
      </c>
      <c r="J141" s="377">
        <f t="shared" si="17"/>
        <v>93146</v>
      </c>
      <c r="K141" s="377">
        <f t="shared" si="17"/>
        <v>5933198.5960000008</v>
      </c>
    </row>
    <row r="142" spans="1:11" ht="18" customHeight="1">
      <c r="A142" s="45" t="s">
        <v>286</v>
      </c>
      <c r="B142" s="43" t="s">
        <v>125</v>
      </c>
      <c r="F142" s="377">
        <f t="shared" ref="F142:K142" si="18">F49</f>
        <v>7105</v>
      </c>
      <c r="G142" s="377">
        <f t="shared" si="18"/>
        <v>27</v>
      </c>
      <c r="H142" s="377">
        <f t="shared" si="18"/>
        <v>8619316</v>
      </c>
      <c r="I142" s="377">
        <f t="shared" si="18"/>
        <v>5826657.6160000004</v>
      </c>
      <c r="J142" s="377">
        <f t="shared" si="18"/>
        <v>420067</v>
      </c>
      <c r="K142" s="377">
        <f t="shared" si="18"/>
        <v>14025906.616</v>
      </c>
    </row>
    <row r="143" spans="1:11" ht="18" customHeight="1">
      <c r="A143" s="45" t="s">
        <v>305</v>
      </c>
      <c r="B143" s="43" t="s">
        <v>247</v>
      </c>
      <c r="F143" s="377">
        <f t="shared" ref="F143:K143" si="19">F64</f>
        <v>40745</v>
      </c>
      <c r="G143" s="377">
        <f t="shared" si="19"/>
        <v>48225</v>
      </c>
      <c r="H143" s="377">
        <f t="shared" si="19"/>
        <v>7074352</v>
      </c>
      <c r="I143" s="377">
        <f t="shared" si="19"/>
        <v>4782261.9520000005</v>
      </c>
      <c r="J143" s="377">
        <f t="shared" si="19"/>
        <v>1225836</v>
      </c>
      <c r="K143" s="377">
        <f t="shared" si="19"/>
        <v>10630777.952000001</v>
      </c>
    </row>
    <row r="144" spans="1:11" ht="18" customHeight="1">
      <c r="A144" s="45" t="s">
        <v>311</v>
      </c>
      <c r="B144" s="43" t="s">
        <v>127</v>
      </c>
      <c r="F144" s="377">
        <f t="shared" ref="F144:K144" si="20">F74</f>
        <v>0</v>
      </c>
      <c r="G144" s="377">
        <f t="shared" si="20"/>
        <v>0</v>
      </c>
      <c r="H144" s="377">
        <f t="shared" si="20"/>
        <v>0</v>
      </c>
      <c r="I144" s="377">
        <f t="shared" si="20"/>
        <v>0</v>
      </c>
      <c r="J144" s="377">
        <f t="shared" si="20"/>
        <v>0</v>
      </c>
      <c r="K144" s="377">
        <f t="shared" si="20"/>
        <v>0</v>
      </c>
    </row>
    <row r="145" spans="1:11" ht="18" customHeight="1">
      <c r="A145" s="45" t="s">
        <v>317</v>
      </c>
      <c r="B145" s="43" t="s">
        <v>248</v>
      </c>
      <c r="F145" s="377">
        <f t="shared" ref="F145:K145" si="21">F82</f>
        <v>719</v>
      </c>
      <c r="G145" s="377">
        <f t="shared" si="21"/>
        <v>687</v>
      </c>
      <c r="H145" s="377">
        <f t="shared" si="21"/>
        <v>1549480</v>
      </c>
      <c r="I145" s="377">
        <f t="shared" si="21"/>
        <v>28513.004000000001</v>
      </c>
      <c r="J145" s="377">
        <f t="shared" si="21"/>
        <v>0</v>
      </c>
      <c r="K145" s="377">
        <f t="shared" si="21"/>
        <v>1577993.004</v>
      </c>
    </row>
    <row r="146" spans="1:11" ht="18" customHeight="1">
      <c r="A146" s="45" t="s">
        <v>331</v>
      </c>
      <c r="B146" s="43" t="s">
        <v>249</v>
      </c>
      <c r="F146" s="377">
        <f t="shared" ref="F146:K146" si="22">F98</f>
        <v>17511</v>
      </c>
      <c r="G146" s="377">
        <f t="shared" si="22"/>
        <v>63</v>
      </c>
      <c r="H146" s="377">
        <f t="shared" si="22"/>
        <v>725677</v>
      </c>
      <c r="I146" s="377">
        <f t="shared" si="22"/>
        <v>490557.65200000012</v>
      </c>
      <c r="J146" s="377">
        <f t="shared" si="22"/>
        <v>368164</v>
      </c>
      <c r="K146" s="377">
        <f t="shared" si="22"/>
        <v>848070.652</v>
      </c>
    </row>
    <row r="147" spans="1:11" ht="18" customHeight="1">
      <c r="A147" s="45" t="s">
        <v>338</v>
      </c>
      <c r="B147" s="43" t="s">
        <v>129</v>
      </c>
      <c r="F147" s="350">
        <f t="shared" ref="F147:K147" si="23">F108</f>
        <v>2785</v>
      </c>
      <c r="G147" s="350">
        <f t="shared" si="23"/>
        <v>0</v>
      </c>
      <c r="H147" s="350">
        <f t="shared" si="23"/>
        <v>142695</v>
      </c>
      <c r="I147" s="350">
        <f t="shared" si="23"/>
        <v>96461.82</v>
      </c>
      <c r="J147" s="350">
        <f t="shared" si="23"/>
        <v>0</v>
      </c>
      <c r="K147" s="350">
        <f t="shared" si="23"/>
        <v>239156.82</v>
      </c>
    </row>
    <row r="148" spans="1:11" ht="18" customHeight="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17220776</v>
      </c>
    </row>
    <row r="149" spans="1:11" ht="18" customHeight="1">
      <c r="A149" s="45" t="s">
        <v>358</v>
      </c>
      <c r="B149" s="43" t="s">
        <v>250</v>
      </c>
      <c r="F149" s="350">
        <f t="shared" ref="F149:K149" si="24">F137</f>
        <v>0</v>
      </c>
      <c r="G149" s="350">
        <f t="shared" si="24"/>
        <v>0</v>
      </c>
      <c r="H149" s="350">
        <f t="shared" si="24"/>
        <v>0</v>
      </c>
      <c r="I149" s="350">
        <f t="shared" si="24"/>
        <v>0</v>
      </c>
      <c r="J149" s="350">
        <f t="shared" si="24"/>
        <v>0</v>
      </c>
      <c r="K149" s="350">
        <f t="shared" si="24"/>
        <v>0</v>
      </c>
    </row>
    <row r="150" spans="1:11" ht="18" customHeight="1">
      <c r="A150" s="45" t="s">
        <v>259</v>
      </c>
      <c r="B150" s="43" t="s">
        <v>251</v>
      </c>
      <c r="F150" s="378" t="s">
        <v>122</v>
      </c>
      <c r="G150" s="378" t="s">
        <v>122</v>
      </c>
      <c r="H150" s="350">
        <f>H18</f>
        <v>11423038</v>
      </c>
      <c r="I150" s="350">
        <f>I18</f>
        <v>0</v>
      </c>
      <c r="J150" s="350">
        <f>J18</f>
        <v>9768126</v>
      </c>
      <c r="K150" s="350">
        <f>K18</f>
        <v>1654912</v>
      </c>
    </row>
    <row r="151" spans="1:11" ht="18" customHeight="1">
      <c r="B151" s="43"/>
      <c r="F151" s="358"/>
      <c r="G151" s="358"/>
      <c r="H151" s="358"/>
      <c r="I151" s="358"/>
      <c r="J151" s="358"/>
      <c r="K151" s="358"/>
    </row>
    <row r="152" spans="1:11" ht="18" customHeight="1">
      <c r="A152" s="48" t="s">
        <v>360</v>
      </c>
      <c r="B152" s="43" t="s">
        <v>245</v>
      </c>
      <c r="F152" s="381">
        <f t="shared" ref="F152:K152" si="25">SUM(F141:F150)</f>
        <v>113087</v>
      </c>
      <c r="G152" s="381">
        <f t="shared" si="25"/>
        <v>76183</v>
      </c>
      <c r="H152" s="381">
        <f t="shared" si="25"/>
        <v>33130229</v>
      </c>
      <c r="I152" s="381">
        <f t="shared" si="25"/>
        <v>13655125.640000002</v>
      </c>
      <c r="J152" s="381">
        <f t="shared" si="25"/>
        <v>11875339</v>
      </c>
      <c r="K152" s="381">
        <f t="shared" si="25"/>
        <v>52130791.640000001</v>
      </c>
    </row>
    <row r="154" spans="1:11" ht="18" customHeight="1">
      <c r="A154" s="48" t="s">
        <v>361</v>
      </c>
      <c r="B154" s="43" t="s">
        <v>252</v>
      </c>
      <c r="F154" s="383">
        <f>K152/F121</f>
        <v>0.12599976903212959</v>
      </c>
    </row>
    <row r="155" spans="1:11" ht="18" customHeight="1">
      <c r="A155" s="48" t="s">
        <v>362</v>
      </c>
      <c r="B155" s="43" t="s">
        <v>253</v>
      </c>
      <c r="F155" s="383">
        <f>K152/F127</f>
        <v>-5.1483027045411927</v>
      </c>
      <c r="G155" s="43"/>
    </row>
    <row r="156" spans="1:11" ht="18" customHeight="1">
      <c r="G156" s="43"/>
    </row>
  </sheetData>
  <mergeCells count="34"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</mergeCells>
  <hyperlinks>
    <hyperlink ref="C11" r:id="rId1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9" workbookViewId="0">
      <selection activeCell="B43" sqref="B43"/>
    </sheetView>
  </sheetViews>
  <sheetFormatPr defaultColWidth="9" defaultRowHeight="18" customHeight="1"/>
  <cols>
    <col min="1" max="1" width="8.28515625" style="340" customWidth="1"/>
    <col min="2" max="2" width="55.42578125" style="171" bestFit="1" customWidth="1"/>
    <col min="3" max="3" width="9.42578125" style="171" customWidth="1"/>
    <col min="4" max="4" width="9" style="171"/>
    <col min="5" max="5" width="12.42578125" style="171" customWidth="1"/>
    <col min="6" max="6" width="18.42578125" style="171" customWidth="1"/>
    <col min="7" max="7" width="23.42578125" style="171" customWidth="1"/>
    <col min="8" max="8" width="17.140625" style="171" customWidth="1"/>
    <col min="9" max="9" width="21.140625" style="171" customWidth="1"/>
    <col min="10" max="10" width="19.85546875" style="171" customWidth="1"/>
    <col min="11" max="11" width="17.42578125" style="171" customWidth="1"/>
    <col min="12" max="16384" width="9" style="171"/>
  </cols>
  <sheetData>
    <row r="1" spans="1:11" ht="18" customHeight="1">
      <c r="C1" s="341"/>
      <c r="D1" s="342"/>
      <c r="E1" s="341"/>
      <c r="F1" s="341"/>
      <c r="G1" s="341"/>
      <c r="H1" s="341"/>
      <c r="I1" s="341"/>
      <c r="J1" s="341"/>
      <c r="K1" s="341"/>
    </row>
    <row r="2" spans="1:11" ht="18" customHeight="1">
      <c r="D2" s="917" t="s">
        <v>133</v>
      </c>
      <c r="E2" s="918"/>
      <c r="F2" s="918"/>
      <c r="G2" s="918"/>
      <c r="H2" s="918"/>
    </row>
    <row r="3" spans="1:11" ht="18" customHeight="1">
      <c r="B3" s="172" t="s">
        <v>134</v>
      </c>
    </row>
    <row r="5" spans="1:11" ht="18" customHeight="1">
      <c r="B5" s="173" t="s">
        <v>135</v>
      </c>
      <c r="C5" s="919" t="s">
        <v>693</v>
      </c>
      <c r="D5" s="920"/>
      <c r="E5" s="920"/>
      <c r="F5" s="920"/>
      <c r="G5" s="921"/>
    </row>
    <row r="6" spans="1:11" ht="18" customHeight="1">
      <c r="B6" s="173" t="s">
        <v>136</v>
      </c>
      <c r="C6" s="922" t="s">
        <v>694</v>
      </c>
      <c r="D6" s="923"/>
      <c r="E6" s="923"/>
      <c r="F6" s="923"/>
      <c r="G6" s="924"/>
    </row>
    <row r="7" spans="1:11" ht="18" customHeight="1">
      <c r="B7" s="173" t="s">
        <v>137</v>
      </c>
      <c r="C7" s="925"/>
      <c r="D7" s="926"/>
      <c r="E7" s="926"/>
      <c r="F7" s="926"/>
      <c r="G7" s="927"/>
    </row>
    <row r="9" spans="1:11" ht="18" customHeight="1">
      <c r="B9" s="173" t="s">
        <v>138</v>
      </c>
      <c r="C9" s="919" t="s">
        <v>695</v>
      </c>
      <c r="D9" s="920"/>
      <c r="E9" s="920"/>
      <c r="F9" s="920"/>
      <c r="G9" s="921"/>
    </row>
    <row r="10" spans="1:11" ht="18" customHeight="1">
      <c r="B10" s="173" t="s">
        <v>140</v>
      </c>
      <c r="C10" s="914" t="s">
        <v>696</v>
      </c>
      <c r="D10" s="915"/>
      <c r="E10" s="915"/>
      <c r="F10" s="915"/>
      <c r="G10" s="916"/>
    </row>
    <row r="11" spans="1:11" ht="18" customHeight="1">
      <c r="B11" s="173" t="s">
        <v>142</v>
      </c>
      <c r="C11" s="928" t="s">
        <v>697</v>
      </c>
      <c r="D11" s="929"/>
      <c r="E11" s="929"/>
      <c r="F11" s="929"/>
      <c r="G11" s="929"/>
    </row>
    <row r="12" spans="1:11" ht="18" customHeight="1">
      <c r="B12" s="173"/>
      <c r="C12" s="173"/>
      <c r="D12" s="173"/>
      <c r="E12" s="173"/>
      <c r="F12" s="173"/>
      <c r="G12" s="173"/>
    </row>
    <row r="13" spans="1:11" ht="24.6" customHeight="1">
      <c r="B13" s="930"/>
      <c r="C13" s="931"/>
      <c r="D13" s="931"/>
      <c r="E13" s="931"/>
      <c r="F13" s="931"/>
      <c r="G13" s="931"/>
      <c r="H13" s="932"/>
      <c r="I13" s="341"/>
    </row>
    <row r="14" spans="1:11" ht="18" customHeight="1">
      <c r="B14" s="174"/>
    </row>
    <row r="15" spans="1:11" ht="18" customHeight="1">
      <c r="B15" s="174"/>
    </row>
    <row r="16" spans="1:11" ht="45" customHeight="1">
      <c r="A16" s="342" t="s">
        <v>144</v>
      </c>
      <c r="B16" s="341"/>
      <c r="C16" s="341"/>
      <c r="D16" s="341"/>
      <c r="E16" s="341"/>
      <c r="F16" s="175" t="s">
        <v>145</v>
      </c>
      <c r="G16" s="175" t="s">
        <v>146</v>
      </c>
      <c r="H16" s="175" t="s">
        <v>147</v>
      </c>
      <c r="I16" s="175" t="s">
        <v>148</v>
      </c>
      <c r="J16" s="175" t="s">
        <v>149</v>
      </c>
      <c r="K16" s="175" t="s">
        <v>150</v>
      </c>
    </row>
    <row r="17" spans="1:11" ht="18" customHeight="1">
      <c r="A17" s="176" t="s">
        <v>151</v>
      </c>
      <c r="B17" s="172" t="s">
        <v>152</v>
      </c>
    </row>
    <row r="18" spans="1:11" ht="18" customHeight="1">
      <c r="A18" s="173" t="s">
        <v>259</v>
      </c>
      <c r="B18" s="171" t="s">
        <v>153</v>
      </c>
      <c r="F18" s="177" t="s">
        <v>122</v>
      </c>
      <c r="G18" s="177" t="s">
        <v>122</v>
      </c>
      <c r="H18" s="178">
        <v>51724577.288385898</v>
      </c>
      <c r="I18" s="178">
        <v>0</v>
      </c>
      <c r="J18" s="178">
        <v>44230980.8620717</v>
      </c>
      <c r="K18" s="179">
        <v>7493596.4263141975</v>
      </c>
    </row>
    <row r="19" spans="1:11" ht="45" customHeight="1">
      <c r="A19" s="342" t="s">
        <v>154</v>
      </c>
      <c r="B19" s="341"/>
      <c r="C19" s="341"/>
      <c r="D19" s="341"/>
      <c r="E19" s="341"/>
      <c r="F19" s="175" t="s">
        <v>145</v>
      </c>
      <c r="G19" s="175" t="s">
        <v>146</v>
      </c>
      <c r="H19" s="175" t="s">
        <v>147</v>
      </c>
      <c r="I19" s="175" t="s">
        <v>148</v>
      </c>
      <c r="J19" s="175" t="s">
        <v>149</v>
      </c>
      <c r="K19" s="175" t="s">
        <v>150</v>
      </c>
    </row>
    <row r="20" spans="1:11" ht="18" customHeight="1">
      <c r="A20" s="176" t="s">
        <v>260</v>
      </c>
      <c r="B20" s="172" t="s">
        <v>155</v>
      </c>
    </row>
    <row r="21" spans="1:11" ht="18" customHeight="1">
      <c r="A21" s="173" t="s">
        <v>164</v>
      </c>
      <c r="B21" s="171" t="s">
        <v>156</v>
      </c>
      <c r="F21" s="177">
        <v>5650</v>
      </c>
      <c r="G21" s="177">
        <v>14754486</v>
      </c>
      <c r="H21" s="178">
        <v>627056.41999999993</v>
      </c>
      <c r="I21" s="178">
        <v>294591.10611599992</v>
      </c>
      <c r="J21" s="178">
        <v>0</v>
      </c>
      <c r="K21" s="179">
        <v>921647.52611599979</v>
      </c>
    </row>
    <row r="22" spans="1:11" ht="18" customHeight="1">
      <c r="A22" s="173" t="s">
        <v>261</v>
      </c>
      <c r="B22" s="171" t="s">
        <v>157</v>
      </c>
      <c r="F22" s="177">
        <v>1613</v>
      </c>
      <c r="G22" s="177">
        <v>1757</v>
      </c>
      <c r="H22" s="178">
        <v>116069.24</v>
      </c>
      <c r="I22" s="178">
        <v>54529.328952000011</v>
      </c>
      <c r="J22" s="178">
        <v>0</v>
      </c>
      <c r="K22" s="179">
        <v>170598.568952</v>
      </c>
    </row>
    <row r="23" spans="1:11" ht="18" customHeight="1">
      <c r="A23" s="173" t="s">
        <v>262</v>
      </c>
      <c r="B23" s="171" t="s">
        <v>158</v>
      </c>
      <c r="F23" s="177">
        <v>0</v>
      </c>
      <c r="G23" s="177">
        <v>0</v>
      </c>
      <c r="H23" s="178">
        <v>0</v>
      </c>
      <c r="I23" s="178">
        <v>0</v>
      </c>
      <c r="J23" s="178">
        <v>0</v>
      </c>
      <c r="K23" s="179">
        <v>0</v>
      </c>
    </row>
    <row r="24" spans="1:11" ht="18" customHeight="1">
      <c r="A24" s="173" t="s">
        <v>263</v>
      </c>
      <c r="B24" s="171" t="s">
        <v>159</v>
      </c>
      <c r="F24" s="177">
        <v>3212</v>
      </c>
      <c r="G24" s="177">
        <v>15107</v>
      </c>
      <c r="H24" s="178">
        <v>373970.78</v>
      </c>
      <c r="I24" s="178">
        <v>175691.47244400001</v>
      </c>
      <c r="J24" s="178">
        <v>0</v>
      </c>
      <c r="K24" s="179">
        <v>549662.25244399998</v>
      </c>
    </row>
    <row r="25" spans="1:11" ht="18" customHeight="1">
      <c r="A25" s="173" t="s">
        <v>264</v>
      </c>
      <c r="B25" s="171" t="s">
        <v>160</v>
      </c>
      <c r="F25" s="177">
        <v>570</v>
      </c>
      <c r="G25" s="177">
        <v>550</v>
      </c>
      <c r="H25" s="178">
        <v>184989.12</v>
      </c>
      <c r="I25" s="178">
        <v>86907.888575999998</v>
      </c>
      <c r="J25" s="178">
        <v>0</v>
      </c>
      <c r="K25" s="179">
        <v>271897.00857599999</v>
      </c>
    </row>
    <row r="26" spans="1:11" ht="18" customHeight="1">
      <c r="A26" s="173" t="s">
        <v>265</v>
      </c>
      <c r="B26" s="171" t="s">
        <v>161</v>
      </c>
      <c r="F26" s="177">
        <v>124</v>
      </c>
      <c r="G26" s="177">
        <v>1017</v>
      </c>
      <c r="H26" s="178">
        <v>14983.24</v>
      </c>
      <c r="I26" s="178">
        <v>7039.1261520000007</v>
      </c>
      <c r="J26" s="178">
        <v>0</v>
      </c>
      <c r="K26" s="179">
        <v>22022.366152000002</v>
      </c>
    </row>
    <row r="27" spans="1:11" ht="18" customHeight="1">
      <c r="A27" s="173" t="s">
        <v>266</v>
      </c>
      <c r="B27" s="171" t="s">
        <v>162</v>
      </c>
      <c r="F27" s="177">
        <v>0</v>
      </c>
      <c r="G27" s="177">
        <v>0</v>
      </c>
      <c r="H27" s="178">
        <v>0</v>
      </c>
      <c r="I27" s="178">
        <v>0</v>
      </c>
      <c r="J27" s="178">
        <v>0</v>
      </c>
      <c r="K27" s="179">
        <v>0</v>
      </c>
    </row>
    <row r="28" spans="1:11" ht="18" customHeight="1">
      <c r="A28" s="173" t="s">
        <v>267</v>
      </c>
      <c r="B28" s="171" t="s">
        <v>163</v>
      </c>
      <c r="F28" s="177">
        <v>16694</v>
      </c>
      <c r="G28" s="177">
        <v>3204</v>
      </c>
      <c r="H28" s="178">
        <v>839237.64</v>
      </c>
      <c r="I28" s="178">
        <v>394273.84327200003</v>
      </c>
      <c r="J28" s="178">
        <v>877966</v>
      </c>
      <c r="K28" s="179">
        <v>355545.48327199998</v>
      </c>
    </row>
    <row r="29" spans="1:11" ht="18" customHeight="1">
      <c r="A29" s="173" t="s">
        <v>268</v>
      </c>
      <c r="B29" s="171" t="s">
        <v>165</v>
      </c>
      <c r="F29" s="177">
        <v>34727</v>
      </c>
      <c r="G29" s="177">
        <v>37272</v>
      </c>
      <c r="H29" s="178">
        <v>4617504.0199999996</v>
      </c>
      <c r="I29" s="178">
        <v>1468375.4127960003</v>
      </c>
      <c r="J29" s="178">
        <v>153634</v>
      </c>
      <c r="K29" s="179">
        <v>5932245.4327959996</v>
      </c>
    </row>
    <row r="30" spans="1:11" ht="18" customHeight="1">
      <c r="A30" s="173" t="s">
        <v>269</v>
      </c>
      <c r="B30" s="933" t="s">
        <v>698</v>
      </c>
      <c r="C30" s="934"/>
      <c r="D30" s="935"/>
      <c r="F30" s="177">
        <v>1733</v>
      </c>
      <c r="G30" s="177">
        <v>2097</v>
      </c>
      <c r="H30" s="178">
        <v>311943.67999999999</v>
      </c>
      <c r="I30" s="178">
        <v>146551.14086400002</v>
      </c>
      <c r="J30" s="178">
        <v>10000</v>
      </c>
      <c r="K30" s="179">
        <v>448494.82086400001</v>
      </c>
    </row>
    <row r="31" spans="1:11" ht="18" customHeight="1">
      <c r="A31" s="173" t="s">
        <v>270</v>
      </c>
      <c r="B31" s="933"/>
      <c r="C31" s="934"/>
      <c r="D31" s="935"/>
      <c r="F31" s="177">
        <v>0</v>
      </c>
      <c r="G31" s="177">
        <v>0</v>
      </c>
      <c r="H31" s="178">
        <v>0</v>
      </c>
      <c r="I31" s="178">
        <v>0</v>
      </c>
      <c r="J31" s="178">
        <v>0</v>
      </c>
      <c r="K31" s="179">
        <v>0</v>
      </c>
    </row>
    <row r="32" spans="1:11" ht="18" customHeight="1">
      <c r="A32" s="173" t="s">
        <v>271</v>
      </c>
      <c r="B32" s="449"/>
      <c r="C32" s="450"/>
      <c r="D32" s="451"/>
      <c r="F32" s="177">
        <v>0</v>
      </c>
      <c r="G32" s="177">
        <v>0</v>
      </c>
      <c r="H32" s="178">
        <v>0</v>
      </c>
      <c r="I32" s="178">
        <v>0</v>
      </c>
      <c r="J32" s="178">
        <v>0</v>
      </c>
      <c r="K32" s="179">
        <v>0</v>
      </c>
    </row>
    <row r="33" spans="1:11" ht="18" customHeight="1">
      <c r="A33" s="173" t="s">
        <v>273</v>
      </c>
      <c r="B33" s="449"/>
      <c r="C33" s="450"/>
      <c r="D33" s="451"/>
      <c r="F33" s="177">
        <v>0</v>
      </c>
      <c r="G33" s="177">
        <v>0</v>
      </c>
      <c r="H33" s="178">
        <v>0</v>
      </c>
      <c r="I33" s="178">
        <v>0</v>
      </c>
      <c r="J33" s="178">
        <v>0</v>
      </c>
      <c r="K33" s="179">
        <v>0</v>
      </c>
    </row>
    <row r="34" spans="1:11" ht="18" customHeight="1">
      <c r="A34" s="173" t="s">
        <v>274</v>
      </c>
      <c r="B34" s="933"/>
      <c r="C34" s="934"/>
      <c r="D34" s="935"/>
      <c r="F34" s="177">
        <v>0</v>
      </c>
      <c r="G34" s="177">
        <v>0</v>
      </c>
      <c r="H34" s="178">
        <v>0</v>
      </c>
      <c r="I34" s="178">
        <v>0</v>
      </c>
      <c r="J34" s="178">
        <v>0</v>
      </c>
      <c r="K34" s="179">
        <v>0</v>
      </c>
    </row>
    <row r="35" spans="1:11" ht="18" customHeight="1">
      <c r="K35" s="180"/>
    </row>
    <row r="36" spans="1:11" ht="18" customHeight="1">
      <c r="A36" s="176" t="s">
        <v>275</v>
      </c>
      <c r="B36" s="172" t="s">
        <v>166</v>
      </c>
      <c r="E36" s="172" t="s">
        <v>276</v>
      </c>
      <c r="F36" s="181">
        <f t="shared" ref="F36:K36" si="0">SUM(F21:F34)</f>
        <v>64323</v>
      </c>
      <c r="G36" s="181">
        <f t="shared" si="0"/>
        <v>14815490</v>
      </c>
      <c r="H36" s="179">
        <f t="shared" si="0"/>
        <v>7085754.1399999987</v>
      </c>
      <c r="I36" s="179">
        <f t="shared" si="0"/>
        <v>2627959.3191720005</v>
      </c>
      <c r="J36" s="179">
        <f t="shared" si="0"/>
        <v>1041600</v>
      </c>
      <c r="K36" s="179">
        <f t="shared" si="0"/>
        <v>8672113.4591719992</v>
      </c>
    </row>
    <row r="37" spans="1:11" ht="18" customHeight="1" thickBot="1">
      <c r="B37" s="172"/>
      <c r="F37" s="182"/>
      <c r="G37" s="182"/>
      <c r="H37" s="183"/>
      <c r="I37" s="183"/>
      <c r="J37" s="183"/>
      <c r="K37" s="184"/>
    </row>
    <row r="38" spans="1:11" ht="42.75" customHeight="1">
      <c r="F38" s="175" t="s">
        <v>145</v>
      </c>
      <c r="G38" s="175" t="s">
        <v>146</v>
      </c>
      <c r="H38" s="175" t="s">
        <v>147</v>
      </c>
      <c r="I38" s="175" t="s">
        <v>148</v>
      </c>
      <c r="J38" s="175" t="s">
        <v>149</v>
      </c>
      <c r="K38" s="175" t="s">
        <v>150</v>
      </c>
    </row>
    <row r="39" spans="1:11" ht="18.75" customHeight="1">
      <c r="A39" s="176" t="s">
        <v>167</v>
      </c>
      <c r="B39" s="172" t="s">
        <v>168</v>
      </c>
    </row>
    <row r="40" spans="1:11" ht="18" customHeight="1">
      <c r="A40" s="173" t="s">
        <v>277</v>
      </c>
      <c r="B40" s="171" t="s">
        <v>170</v>
      </c>
      <c r="F40" s="177">
        <v>1830480</v>
      </c>
      <c r="G40" s="177">
        <v>881</v>
      </c>
      <c r="H40" s="178">
        <v>102862787.2</v>
      </c>
      <c r="I40" s="178">
        <v>0</v>
      </c>
      <c r="J40" s="178">
        <v>0</v>
      </c>
      <c r="K40" s="179">
        <v>102862787.2</v>
      </c>
    </row>
    <row r="41" spans="1:11" ht="18" customHeight="1">
      <c r="A41" s="173" t="s">
        <v>278</v>
      </c>
      <c r="B41" s="936" t="s">
        <v>172</v>
      </c>
      <c r="C41" s="936"/>
      <c r="F41" s="177">
        <v>56706</v>
      </c>
      <c r="G41" s="177">
        <v>511</v>
      </c>
      <c r="H41" s="178">
        <v>3332972</v>
      </c>
      <c r="I41" s="178">
        <v>0</v>
      </c>
      <c r="J41" s="178">
        <v>0</v>
      </c>
      <c r="K41" s="179">
        <v>3332972</v>
      </c>
    </row>
    <row r="42" spans="1:11" ht="18" customHeight="1">
      <c r="A42" s="173" t="s">
        <v>279</v>
      </c>
      <c r="B42" s="171" t="s">
        <v>174</v>
      </c>
      <c r="F42" s="177">
        <v>81051</v>
      </c>
      <c r="G42" s="177">
        <v>182</v>
      </c>
      <c r="H42" s="178">
        <v>2990855.1</v>
      </c>
      <c r="I42" s="178">
        <v>84663.409679999997</v>
      </c>
      <c r="J42" s="178">
        <v>0</v>
      </c>
      <c r="K42" s="179">
        <v>3075518.5096800001</v>
      </c>
    </row>
    <row r="43" spans="1:11" ht="18" customHeight="1">
      <c r="A43" s="173" t="s">
        <v>280</v>
      </c>
      <c r="B43" s="171" t="s">
        <v>176</v>
      </c>
      <c r="F43" s="177">
        <v>280</v>
      </c>
      <c r="G43" s="177">
        <v>52</v>
      </c>
      <c r="H43" s="178">
        <v>1789913</v>
      </c>
      <c r="I43" s="178">
        <v>0</v>
      </c>
      <c r="J43" s="178">
        <v>0</v>
      </c>
      <c r="K43" s="179">
        <v>1789913</v>
      </c>
    </row>
    <row r="44" spans="1:11" ht="18" customHeight="1">
      <c r="A44" s="173" t="s">
        <v>281</v>
      </c>
      <c r="B44" s="933" t="s">
        <v>699</v>
      </c>
      <c r="C44" s="934"/>
      <c r="D44" s="935"/>
      <c r="F44" s="177">
        <v>67049.5</v>
      </c>
      <c r="G44" s="177">
        <v>345</v>
      </c>
      <c r="H44" s="178">
        <v>2534083.3199999998</v>
      </c>
      <c r="I44" s="178">
        <v>0</v>
      </c>
      <c r="J44" s="178">
        <v>1763</v>
      </c>
      <c r="K44" s="185">
        <v>2532320.3199999998</v>
      </c>
    </row>
    <row r="45" spans="1:11" ht="18" customHeight="1">
      <c r="A45" s="173" t="s">
        <v>283</v>
      </c>
      <c r="B45" s="933"/>
      <c r="C45" s="934"/>
      <c r="D45" s="935"/>
      <c r="F45" s="177">
        <v>0</v>
      </c>
      <c r="G45" s="177">
        <v>0</v>
      </c>
      <c r="H45" s="178">
        <v>0</v>
      </c>
      <c r="I45" s="178">
        <v>0</v>
      </c>
      <c r="J45" s="178">
        <v>0</v>
      </c>
      <c r="K45" s="179">
        <v>0</v>
      </c>
    </row>
    <row r="46" spans="1:11" ht="18" customHeight="1">
      <c r="A46" s="173" t="s">
        <v>284</v>
      </c>
      <c r="B46" s="933"/>
      <c r="C46" s="934"/>
      <c r="D46" s="935"/>
      <c r="F46" s="177">
        <v>0</v>
      </c>
      <c r="G46" s="177">
        <v>0</v>
      </c>
      <c r="H46" s="178">
        <v>0</v>
      </c>
      <c r="I46" s="178">
        <v>0</v>
      </c>
      <c r="J46" s="178">
        <v>0</v>
      </c>
      <c r="K46" s="179">
        <v>0</v>
      </c>
    </row>
    <row r="47" spans="1:11" ht="18" customHeight="1">
      <c r="A47" s="173" t="s">
        <v>285</v>
      </c>
      <c r="B47" s="933"/>
      <c r="C47" s="934"/>
      <c r="D47" s="935"/>
      <c r="F47" s="177">
        <v>0</v>
      </c>
      <c r="G47" s="177">
        <v>0</v>
      </c>
      <c r="H47" s="178">
        <v>0</v>
      </c>
      <c r="I47" s="178">
        <v>0</v>
      </c>
      <c r="J47" s="178">
        <v>0</v>
      </c>
      <c r="K47" s="179">
        <v>0</v>
      </c>
    </row>
    <row r="49" spans="1:11" ht="18" customHeight="1">
      <c r="A49" s="176" t="s">
        <v>286</v>
      </c>
      <c r="B49" s="172" t="s">
        <v>177</v>
      </c>
      <c r="E49" s="172" t="s">
        <v>276</v>
      </c>
      <c r="F49" s="181">
        <f t="shared" ref="F49:K49" si="1">SUM(F40:F47)</f>
        <v>2035566.5</v>
      </c>
      <c r="G49" s="181">
        <f t="shared" si="1"/>
        <v>1971</v>
      </c>
      <c r="H49" s="179">
        <f t="shared" si="1"/>
        <v>113510610.61999999</v>
      </c>
      <c r="I49" s="179">
        <f t="shared" si="1"/>
        <v>84663.409679999997</v>
      </c>
      <c r="J49" s="179">
        <f t="shared" si="1"/>
        <v>1763</v>
      </c>
      <c r="K49" s="179">
        <f t="shared" si="1"/>
        <v>113593511.02968</v>
      </c>
    </row>
    <row r="50" spans="1:11" ht="18" customHeight="1" thickBot="1">
      <c r="G50" s="186"/>
      <c r="H50" s="186"/>
      <c r="I50" s="186"/>
      <c r="J50" s="186"/>
      <c r="K50" s="186"/>
    </row>
    <row r="51" spans="1:11" ht="42.75" customHeight="1">
      <c r="F51" s="175" t="s">
        <v>145</v>
      </c>
      <c r="G51" s="175" t="s">
        <v>146</v>
      </c>
      <c r="H51" s="175" t="s">
        <v>147</v>
      </c>
      <c r="I51" s="175" t="s">
        <v>148</v>
      </c>
      <c r="J51" s="175" t="s">
        <v>149</v>
      </c>
      <c r="K51" s="175" t="s">
        <v>150</v>
      </c>
    </row>
    <row r="52" spans="1:11" ht="18" customHeight="1">
      <c r="A52" s="176" t="s">
        <v>178</v>
      </c>
      <c r="B52" s="937" t="s">
        <v>179</v>
      </c>
      <c r="C52" s="938"/>
    </row>
    <row r="53" spans="1:11" ht="18" customHeight="1">
      <c r="A53" s="173" t="s">
        <v>287</v>
      </c>
      <c r="B53" s="883" t="s">
        <v>700</v>
      </c>
      <c r="C53" s="884"/>
      <c r="D53" s="885"/>
      <c r="F53" s="177">
        <v>5815</v>
      </c>
      <c r="G53" s="177">
        <v>1292</v>
      </c>
      <c r="H53" s="178">
        <v>252928.56</v>
      </c>
      <c r="I53" s="178">
        <v>0</v>
      </c>
      <c r="J53" s="178">
        <v>107100</v>
      </c>
      <c r="K53" s="179">
        <v>145828.56</v>
      </c>
    </row>
    <row r="54" spans="1:11" ht="18" customHeight="1">
      <c r="A54" s="173" t="s">
        <v>289</v>
      </c>
      <c r="B54" s="883" t="s">
        <v>701</v>
      </c>
      <c r="C54" s="884"/>
      <c r="D54" s="885"/>
      <c r="F54" s="177">
        <v>10072</v>
      </c>
      <c r="G54" s="177">
        <v>2817</v>
      </c>
      <c r="H54" s="178">
        <v>424708</v>
      </c>
      <c r="I54" s="178">
        <v>0</v>
      </c>
      <c r="J54" s="178">
        <v>0</v>
      </c>
      <c r="K54" s="179">
        <v>424708</v>
      </c>
    </row>
    <row r="55" spans="1:11" ht="18" customHeight="1">
      <c r="A55" s="173" t="s">
        <v>291</v>
      </c>
      <c r="B55" s="939" t="s">
        <v>702</v>
      </c>
      <c r="C55" s="940"/>
      <c r="D55" s="885"/>
      <c r="F55" s="177">
        <v>6653</v>
      </c>
      <c r="G55" s="177">
        <v>3848</v>
      </c>
      <c r="H55" s="178">
        <v>267547.58</v>
      </c>
      <c r="I55" s="178">
        <v>0</v>
      </c>
      <c r="J55" s="178">
        <v>0</v>
      </c>
      <c r="K55" s="179">
        <v>267547.58</v>
      </c>
    </row>
    <row r="56" spans="1:11" ht="18" customHeight="1">
      <c r="A56" s="173" t="s">
        <v>293</v>
      </c>
      <c r="B56" s="939" t="s">
        <v>703</v>
      </c>
      <c r="C56" s="940"/>
      <c r="D56" s="885"/>
      <c r="F56" s="177">
        <v>2723</v>
      </c>
      <c r="G56" s="177">
        <v>93</v>
      </c>
      <c r="H56" s="178">
        <v>112221.78</v>
      </c>
      <c r="I56" s="178">
        <v>0</v>
      </c>
      <c r="J56" s="178">
        <v>0</v>
      </c>
      <c r="K56" s="179">
        <v>112221.78</v>
      </c>
    </row>
    <row r="57" spans="1:11" ht="18" customHeight="1">
      <c r="A57" s="173" t="s">
        <v>295</v>
      </c>
      <c r="B57" s="939" t="s">
        <v>704</v>
      </c>
      <c r="C57" s="940"/>
      <c r="D57" s="885"/>
      <c r="F57" s="177">
        <v>1948</v>
      </c>
      <c r="G57" s="177">
        <v>1553</v>
      </c>
      <c r="H57" s="178">
        <v>45145.36</v>
      </c>
      <c r="I57" s="178">
        <v>0</v>
      </c>
      <c r="J57" s="178">
        <v>0</v>
      </c>
      <c r="K57" s="179">
        <v>45145.36</v>
      </c>
    </row>
    <row r="58" spans="1:11" ht="18" customHeight="1">
      <c r="A58" s="173" t="s">
        <v>298</v>
      </c>
      <c r="B58" s="941" t="s">
        <v>705</v>
      </c>
      <c r="C58" s="942"/>
      <c r="D58" s="943"/>
      <c r="F58" s="177">
        <v>1</v>
      </c>
      <c r="G58" s="177">
        <v>871</v>
      </c>
      <c r="H58" s="178">
        <v>96451</v>
      </c>
      <c r="I58" s="178">
        <v>0</v>
      </c>
      <c r="J58" s="178">
        <v>0</v>
      </c>
      <c r="K58" s="179">
        <v>96451</v>
      </c>
    </row>
    <row r="59" spans="1:11" ht="18" customHeight="1">
      <c r="A59" s="173" t="s">
        <v>300</v>
      </c>
      <c r="B59" s="939" t="s">
        <v>706</v>
      </c>
      <c r="C59" s="940"/>
      <c r="D59" s="885"/>
      <c r="F59" s="177">
        <v>1</v>
      </c>
      <c r="G59" s="177">
        <v>1347</v>
      </c>
      <c r="H59" s="178">
        <v>220781</v>
      </c>
      <c r="I59" s="178">
        <v>0</v>
      </c>
      <c r="J59" s="178">
        <v>0</v>
      </c>
      <c r="K59" s="179">
        <v>220781</v>
      </c>
    </row>
    <row r="60" spans="1:11" ht="18" customHeight="1">
      <c r="A60" s="173" t="s">
        <v>302</v>
      </c>
      <c r="B60" s="941" t="s">
        <v>707</v>
      </c>
      <c r="C60" s="944"/>
      <c r="D60" s="945"/>
      <c r="F60" s="177">
        <v>0</v>
      </c>
      <c r="G60" s="177">
        <v>13888</v>
      </c>
      <c r="H60" s="178">
        <v>619718</v>
      </c>
      <c r="I60" s="178">
        <v>0</v>
      </c>
      <c r="J60" s="178">
        <v>0</v>
      </c>
      <c r="K60" s="179">
        <v>619718</v>
      </c>
    </row>
    <row r="61" spans="1:11" ht="18" customHeight="1">
      <c r="A61" s="173" t="s">
        <v>303</v>
      </c>
      <c r="B61" s="939" t="s">
        <v>708</v>
      </c>
      <c r="C61" s="942"/>
      <c r="D61" s="943"/>
      <c r="F61" s="177">
        <v>1</v>
      </c>
      <c r="G61" s="177">
        <v>960</v>
      </c>
      <c r="H61" s="178">
        <v>56145.34</v>
      </c>
      <c r="I61" s="178">
        <v>0</v>
      </c>
      <c r="J61" s="178">
        <v>0</v>
      </c>
      <c r="K61" s="179">
        <v>56145.34</v>
      </c>
    </row>
    <row r="62" spans="1:11" ht="18" customHeight="1">
      <c r="A62" s="173" t="s">
        <v>304</v>
      </c>
      <c r="B62" s="939" t="s">
        <v>709</v>
      </c>
      <c r="C62" s="940"/>
      <c r="D62" s="885"/>
      <c r="F62" s="177">
        <v>113876</v>
      </c>
      <c r="G62" s="177">
        <v>88763</v>
      </c>
      <c r="H62" s="178">
        <v>20211004.379999999</v>
      </c>
      <c r="I62" s="178">
        <v>0</v>
      </c>
      <c r="J62" s="178">
        <v>599028</v>
      </c>
      <c r="K62" s="179">
        <v>19611976.379999999</v>
      </c>
    </row>
    <row r="63" spans="1:11" ht="18" customHeight="1">
      <c r="A63" s="173"/>
      <c r="I63" s="187"/>
    </row>
    <row r="64" spans="1:11" ht="18" customHeight="1">
      <c r="A64" s="173" t="s">
        <v>305</v>
      </c>
      <c r="B64" s="172" t="s">
        <v>184</v>
      </c>
      <c r="E64" s="172" t="s">
        <v>276</v>
      </c>
      <c r="F64" s="181">
        <f t="shared" ref="F64:K64" si="2">SUM(F53:F62)</f>
        <v>141090</v>
      </c>
      <c r="G64" s="181">
        <f t="shared" si="2"/>
        <v>115432</v>
      </c>
      <c r="H64" s="179">
        <f t="shared" si="2"/>
        <v>22306651</v>
      </c>
      <c r="I64" s="179">
        <f t="shared" si="2"/>
        <v>0</v>
      </c>
      <c r="J64" s="179">
        <f t="shared" si="2"/>
        <v>706128</v>
      </c>
      <c r="K64" s="179">
        <f t="shared" si="2"/>
        <v>21600523</v>
      </c>
    </row>
    <row r="65" spans="1:11" ht="18" customHeight="1">
      <c r="F65" s="188"/>
      <c r="G65" s="188"/>
      <c r="H65" s="188"/>
      <c r="I65" s="188"/>
      <c r="J65" s="188"/>
      <c r="K65" s="188"/>
    </row>
    <row r="66" spans="1:11" ht="42.75" customHeight="1">
      <c r="F66" s="175" t="s">
        <v>145</v>
      </c>
      <c r="G66" s="175" t="s">
        <v>146</v>
      </c>
      <c r="H66" s="175" t="s">
        <v>147</v>
      </c>
      <c r="I66" s="175" t="s">
        <v>148</v>
      </c>
      <c r="J66" s="175" t="s">
        <v>149</v>
      </c>
      <c r="K66" s="175" t="s">
        <v>150</v>
      </c>
    </row>
    <row r="67" spans="1:11" ht="18" customHeight="1">
      <c r="A67" s="176" t="s">
        <v>185</v>
      </c>
      <c r="B67" s="172" t="s">
        <v>186</v>
      </c>
      <c r="F67" s="189"/>
      <c r="G67" s="189"/>
      <c r="H67" s="189"/>
      <c r="I67" s="190"/>
      <c r="J67" s="189"/>
      <c r="K67" s="191"/>
    </row>
    <row r="68" spans="1:11" ht="18" customHeight="1">
      <c r="A68" s="173" t="s">
        <v>306</v>
      </c>
      <c r="B68" s="171" t="s">
        <v>188</v>
      </c>
      <c r="F68" s="177">
        <v>0</v>
      </c>
      <c r="G68" s="177">
        <v>0</v>
      </c>
      <c r="H68" s="178">
        <v>0</v>
      </c>
      <c r="I68" s="178">
        <v>0</v>
      </c>
      <c r="J68" s="178">
        <v>0</v>
      </c>
      <c r="K68" s="179">
        <v>0</v>
      </c>
    </row>
    <row r="69" spans="1:11" ht="18" customHeight="1">
      <c r="A69" s="173" t="s">
        <v>307</v>
      </c>
      <c r="B69" s="171" t="s">
        <v>190</v>
      </c>
      <c r="F69" s="177">
        <v>0</v>
      </c>
      <c r="G69" s="177">
        <v>0</v>
      </c>
      <c r="H69" s="178">
        <v>75000</v>
      </c>
      <c r="I69" s="178">
        <v>0</v>
      </c>
      <c r="J69" s="178">
        <v>0</v>
      </c>
      <c r="K69" s="179">
        <v>75000</v>
      </c>
    </row>
    <row r="70" spans="1:11" ht="18" customHeight="1">
      <c r="A70" s="173" t="s">
        <v>308</v>
      </c>
      <c r="B70" s="452"/>
      <c r="C70" s="453"/>
      <c r="D70" s="448"/>
      <c r="E70" s="172"/>
      <c r="F70" s="177">
        <v>0</v>
      </c>
      <c r="G70" s="177">
        <v>0</v>
      </c>
      <c r="H70" s="178">
        <v>0</v>
      </c>
      <c r="I70" s="178">
        <v>0</v>
      </c>
      <c r="J70" s="178">
        <v>0</v>
      </c>
      <c r="K70" s="179">
        <v>0</v>
      </c>
    </row>
    <row r="71" spans="1:11" ht="18" customHeight="1">
      <c r="A71" s="173" t="s">
        <v>309</v>
      </c>
      <c r="B71" s="452"/>
      <c r="C71" s="453"/>
      <c r="D71" s="448"/>
      <c r="E71" s="172"/>
      <c r="F71" s="177">
        <v>0</v>
      </c>
      <c r="G71" s="177">
        <v>0</v>
      </c>
      <c r="H71" s="178">
        <v>0</v>
      </c>
      <c r="I71" s="178">
        <v>0</v>
      </c>
      <c r="J71" s="178">
        <v>0</v>
      </c>
      <c r="K71" s="179">
        <v>0</v>
      </c>
    </row>
    <row r="72" spans="1:11" ht="18" customHeight="1">
      <c r="A72" s="173" t="s">
        <v>310</v>
      </c>
      <c r="B72" s="446"/>
      <c r="C72" s="447"/>
      <c r="D72" s="192"/>
      <c r="E72" s="172"/>
      <c r="F72" s="177">
        <v>0</v>
      </c>
      <c r="G72" s="177">
        <v>0</v>
      </c>
      <c r="H72" s="178">
        <v>0</v>
      </c>
      <c r="I72" s="178">
        <v>0</v>
      </c>
      <c r="J72" s="178">
        <v>0</v>
      </c>
      <c r="K72" s="179">
        <v>0</v>
      </c>
    </row>
    <row r="73" spans="1:11" ht="18" customHeight="1">
      <c r="A73" s="173"/>
      <c r="E73" s="172"/>
      <c r="F73" s="193"/>
      <c r="G73" s="193"/>
      <c r="H73" s="194"/>
      <c r="I73" s="190"/>
      <c r="J73" s="194"/>
      <c r="K73" s="191"/>
    </row>
    <row r="74" spans="1:11" ht="18" customHeight="1">
      <c r="A74" s="176" t="s">
        <v>311</v>
      </c>
      <c r="B74" s="172" t="s">
        <v>191</v>
      </c>
      <c r="E74" s="172" t="s">
        <v>276</v>
      </c>
      <c r="F74" s="343">
        <f t="shared" ref="F74:K74" si="3">SUM(F68:F72)</f>
        <v>0</v>
      </c>
      <c r="G74" s="343">
        <f t="shared" si="3"/>
        <v>0</v>
      </c>
      <c r="H74" s="185">
        <f t="shared" si="3"/>
        <v>75000</v>
      </c>
      <c r="I74" s="195">
        <f t="shared" si="3"/>
        <v>0</v>
      </c>
      <c r="J74" s="343">
        <f t="shared" si="3"/>
        <v>0</v>
      </c>
      <c r="K74" s="185">
        <f t="shared" si="3"/>
        <v>75000</v>
      </c>
    </row>
    <row r="75" spans="1:11" ht="42.75" customHeight="1">
      <c r="F75" s="175" t="s">
        <v>145</v>
      </c>
      <c r="G75" s="175" t="s">
        <v>146</v>
      </c>
      <c r="H75" s="175" t="s">
        <v>147</v>
      </c>
      <c r="I75" s="175" t="s">
        <v>148</v>
      </c>
      <c r="J75" s="175" t="s">
        <v>149</v>
      </c>
      <c r="K75" s="175" t="s">
        <v>150</v>
      </c>
    </row>
    <row r="76" spans="1:11" ht="18" customHeight="1">
      <c r="A76" s="176" t="s">
        <v>192</v>
      </c>
      <c r="B76" s="172" t="s">
        <v>193</v>
      </c>
    </row>
    <row r="77" spans="1:11" ht="18" customHeight="1">
      <c r="A77" s="173" t="s">
        <v>312</v>
      </c>
      <c r="B77" s="171" t="s">
        <v>195</v>
      </c>
      <c r="F77" s="177">
        <v>844</v>
      </c>
      <c r="G77" s="177">
        <v>4645</v>
      </c>
      <c r="H77" s="178">
        <v>3152451.7464000001</v>
      </c>
      <c r="I77" s="178">
        <v>0</v>
      </c>
      <c r="J77" s="178">
        <v>4708</v>
      </c>
      <c r="K77" s="179">
        <v>3147743.7464000001</v>
      </c>
    </row>
    <row r="78" spans="1:11" ht="18" customHeight="1">
      <c r="A78" s="173" t="s">
        <v>313</v>
      </c>
      <c r="B78" s="171" t="s">
        <v>197</v>
      </c>
      <c r="F78" s="177">
        <v>0</v>
      </c>
      <c r="G78" s="177">
        <v>0</v>
      </c>
      <c r="H78" s="178">
        <v>0</v>
      </c>
      <c r="I78" s="178">
        <v>0</v>
      </c>
      <c r="J78" s="178">
        <v>0</v>
      </c>
      <c r="K78" s="179">
        <v>0</v>
      </c>
    </row>
    <row r="79" spans="1:11" ht="18" customHeight="1">
      <c r="A79" s="173" t="s">
        <v>314</v>
      </c>
      <c r="B79" s="171" t="s">
        <v>199</v>
      </c>
      <c r="F79" s="177">
        <v>3249</v>
      </c>
      <c r="G79" s="177">
        <v>3188</v>
      </c>
      <c r="H79" s="178">
        <v>324764.12</v>
      </c>
      <c r="I79" s="178">
        <v>0</v>
      </c>
      <c r="J79" s="178">
        <v>340</v>
      </c>
      <c r="K79" s="179">
        <v>324424.12</v>
      </c>
    </row>
    <row r="80" spans="1:11" ht="18" customHeight="1">
      <c r="A80" s="173" t="s">
        <v>315</v>
      </c>
      <c r="B80" s="171" t="s">
        <v>316</v>
      </c>
      <c r="F80" s="177">
        <v>1779.8999999999999</v>
      </c>
      <c r="G80" s="177">
        <v>25</v>
      </c>
      <c r="H80" s="178">
        <v>119296.35199999998</v>
      </c>
      <c r="I80" s="178">
        <v>19361.797929599998</v>
      </c>
      <c r="J80" s="178">
        <v>0</v>
      </c>
      <c r="K80" s="179">
        <v>138658.14992959998</v>
      </c>
    </row>
    <row r="81" spans="1:11" ht="18" customHeight="1">
      <c r="A81" s="173"/>
      <c r="K81" s="196"/>
    </row>
    <row r="82" spans="1:11" ht="18" customHeight="1">
      <c r="A82" s="173" t="s">
        <v>317</v>
      </c>
      <c r="B82" s="172" t="s">
        <v>318</v>
      </c>
      <c r="E82" s="172" t="s">
        <v>276</v>
      </c>
      <c r="F82" s="197">
        <f t="shared" ref="F82:K82" si="4">SUM(F77:F80)</f>
        <v>5872.9</v>
      </c>
      <c r="G82" s="197">
        <f t="shared" si="4"/>
        <v>7858</v>
      </c>
      <c r="H82" s="185">
        <f t="shared" si="4"/>
        <v>3596512.2184000001</v>
      </c>
      <c r="I82" s="185">
        <f t="shared" si="4"/>
        <v>19361.797929599998</v>
      </c>
      <c r="J82" s="185">
        <f t="shared" si="4"/>
        <v>5048</v>
      </c>
      <c r="K82" s="185">
        <f t="shared" si="4"/>
        <v>3610826.0163296</v>
      </c>
    </row>
    <row r="83" spans="1:11" ht="18" customHeight="1" thickBot="1">
      <c r="A83" s="173"/>
      <c r="F83" s="186"/>
      <c r="G83" s="186"/>
      <c r="H83" s="186"/>
      <c r="I83" s="186"/>
      <c r="J83" s="186"/>
      <c r="K83" s="186"/>
    </row>
    <row r="84" spans="1:11" ht="42.75" customHeight="1">
      <c r="F84" s="175" t="s">
        <v>145</v>
      </c>
      <c r="G84" s="175" t="s">
        <v>146</v>
      </c>
      <c r="H84" s="175" t="s">
        <v>147</v>
      </c>
      <c r="I84" s="175" t="s">
        <v>148</v>
      </c>
      <c r="J84" s="175" t="s">
        <v>149</v>
      </c>
      <c r="K84" s="175" t="s">
        <v>150</v>
      </c>
    </row>
    <row r="85" spans="1:11" ht="18" customHeight="1">
      <c r="A85" s="176" t="s">
        <v>201</v>
      </c>
      <c r="B85" s="172" t="s">
        <v>202</v>
      </c>
    </row>
    <row r="86" spans="1:11" ht="18" customHeight="1">
      <c r="A86" s="173" t="s">
        <v>319</v>
      </c>
      <c r="B86" s="171" t="s">
        <v>204</v>
      </c>
      <c r="F86" s="177">
        <v>712</v>
      </c>
      <c r="G86" s="177">
        <v>0</v>
      </c>
      <c r="H86" s="178">
        <v>22600</v>
      </c>
      <c r="I86" s="178">
        <v>10617.48</v>
      </c>
      <c r="J86" s="178">
        <v>0</v>
      </c>
      <c r="K86" s="179">
        <v>33217.479999999996</v>
      </c>
    </row>
    <row r="87" spans="1:11" ht="18" customHeight="1">
      <c r="A87" s="173" t="s">
        <v>320</v>
      </c>
      <c r="B87" s="171" t="s">
        <v>206</v>
      </c>
      <c r="F87" s="177">
        <v>236</v>
      </c>
      <c r="G87" s="177">
        <v>82</v>
      </c>
      <c r="H87" s="178">
        <v>82459</v>
      </c>
      <c r="I87" s="178">
        <v>38739.238199999993</v>
      </c>
      <c r="J87" s="178">
        <v>0</v>
      </c>
      <c r="K87" s="179">
        <v>121198.23819999999</v>
      </c>
    </row>
    <row r="88" spans="1:11" ht="18" customHeight="1">
      <c r="A88" s="173" t="s">
        <v>321</v>
      </c>
      <c r="B88" s="171" t="s">
        <v>208</v>
      </c>
      <c r="F88" s="177">
        <v>523</v>
      </c>
      <c r="G88" s="177">
        <v>899</v>
      </c>
      <c r="H88" s="178">
        <v>400964.94</v>
      </c>
      <c r="I88" s="178">
        <v>188373.32881200002</v>
      </c>
      <c r="J88" s="178">
        <v>0</v>
      </c>
      <c r="K88" s="179">
        <v>589338.26881200005</v>
      </c>
    </row>
    <row r="89" spans="1:11" ht="18" customHeight="1">
      <c r="A89" s="173" t="s">
        <v>322</v>
      </c>
      <c r="B89" s="171" t="s">
        <v>210</v>
      </c>
      <c r="F89" s="177">
        <v>5150</v>
      </c>
      <c r="G89" s="177">
        <v>6365</v>
      </c>
      <c r="H89" s="178">
        <v>87734</v>
      </c>
      <c r="I89" s="178">
        <v>41217.433199999999</v>
      </c>
      <c r="J89" s="178">
        <v>0</v>
      </c>
      <c r="K89" s="179">
        <v>128951.4332</v>
      </c>
    </row>
    <row r="90" spans="1:11" ht="18" customHeight="1">
      <c r="A90" s="173" t="s">
        <v>323</v>
      </c>
      <c r="B90" s="936" t="s">
        <v>212</v>
      </c>
      <c r="C90" s="936"/>
      <c r="F90" s="177">
        <v>12</v>
      </c>
      <c r="G90" s="177">
        <v>1275</v>
      </c>
      <c r="H90" s="178">
        <v>5901.72</v>
      </c>
      <c r="I90" s="178">
        <v>2772.628056</v>
      </c>
      <c r="J90" s="178">
        <v>0</v>
      </c>
      <c r="K90" s="179">
        <v>8674.3480560000007</v>
      </c>
    </row>
    <row r="91" spans="1:11" ht="18" customHeight="1">
      <c r="A91" s="173" t="s">
        <v>324</v>
      </c>
      <c r="B91" s="171" t="s">
        <v>214</v>
      </c>
      <c r="F91" s="177">
        <v>0</v>
      </c>
      <c r="G91" s="177">
        <v>0</v>
      </c>
      <c r="H91" s="178">
        <v>123575.76000000001</v>
      </c>
      <c r="I91" s="178">
        <v>58055.892048000002</v>
      </c>
      <c r="J91" s="178">
        <v>0</v>
      </c>
      <c r="K91" s="179">
        <v>181631.65204800002</v>
      </c>
    </row>
    <row r="92" spans="1:11" ht="18" customHeight="1">
      <c r="A92" s="173" t="s">
        <v>325</v>
      </c>
      <c r="B92" s="171" t="s">
        <v>216</v>
      </c>
      <c r="F92" s="177">
        <v>2537</v>
      </c>
      <c r="G92" s="177">
        <v>0</v>
      </c>
      <c r="H92" s="178">
        <v>291530.8</v>
      </c>
      <c r="I92" s="178">
        <v>136961.16983999999</v>
      </c>
      <c r="J92" s="178">
        <v>0</v>
      </c>
      <c r="K92" s="179">
        <v>428491.96983999998</v>
      </c>
    </row>
    <row r="93" spans="1:11" ht="18" customHeight="1">
      <c r="A93" s="173" t="s">
        <v>326</v>
      </c>
      <c r="B93" s="171" t="s">
        <v>218</v>
      </c>
      <c r="F93" s="177">
        <v>1202</v>
      </c>
      <c r="G93" s="177">
        <v>3010</v>
      </c>
      <c r="H93" s="178">
        <v>46482.16</v>
      </c>
      <c r="I93" s="178">
        <v>21837.318767999997</v>
      </c>
      <c r="J93" s="178">
        <v>15000</v>
      </c>
      <c r="K93" s="179">
        <v>53319.478768000001</v>
      </c>
    </row>
    <row r="94" spans="1:11" ht="18" customHeight="1">
      <c r="A94" s="173" t="s">
        <v>327</v>
      </c>
      <c r="B94" s="939" t="s">
        <v>710</v>
      </c>
      <c r="C94" s="940"/>
      <c r="D94" s="885"/>
      <c r="F94" s="177">
        <v>14437</v>
      </c>
      <c r="G94" s="177">
        <v>33281</v>
      </c>
      <c r="H94" s="178">
        <v>900241.07920000004</v>
      </c>
      <c r="I94" s="178">
        <v>422933.25900816004</v>
      </c>
      <c r="J94" s="178">
        <v>6575</v>
      </c>
      <c r="K94" s="179">
        <v>1316599.3382081601</v>
      </c>
    </row>
    <row r="95" spans="1:11" ht="18" customHeight="1">
      <c r="A95" s="173" t="s">
        <v>329</v>
      </c>
      <c r="B95" s="939"/>
      <c r="C95" s="940"/>
      <c r="D95" s="885"/>
      <c r="F95" s="177">
        <v>0</v>
      </c>
      <c r="G95" s="177">
        <v>0</v>
      </c>
      <c r="H95" s="178">
        <v>0</v>
      </c>
      <c r="I95" s="178">
        <v>0</v>
      </c>
      <c r="J95" s="178">
        <v>0</v>
      </c>
      <c r="K95" s="179">
        <v>0</v>
      </c>
    </row>
    <row r="96" spans="1:11" ht="18" customHeight="1">
      <c r="A96" s="173" t="s">
        <v>330</v>
      </c>
      <c r="B96" s="939"/>
      <c r="C96" s="940"/>
      <c r="D96" s="885"/>
      <c r="F96" s="177">
        <v>0</v>
      </c>
      <c r="G96" s="177">
        <v>0</v>
      </c>
      <c r="H96" s="178">
        <v>0</v>
      </c>
      <c r="I96" s="178">
        <v>0</v>
      </c>
      <c r="J96" s="178">
        <v>0</v>
      </c>
      <c r="K96" s="179">
        <v>0</v>
      </c>
    </row>
    <row r="97" spans="1:11" ht="18" customHeight="1">
      <c r="A97" s="173"/>
    </row>
    <row r="98" spans="1:11" ht="18" customHeight="1">
      <c r="A98" s="176" t="s">
        <v>331</v>
      </c>
      <c r="B98" s="172" t="s">
        <v>220</v>
      </c>
      <c r="E98" s="172" t="s">
        <v>276</v>
      </c>
      <c r="F98" s="181">
        <f t="shared" ref="F98:K98" si="5">SUM(F86:F96)</f>
        <v>24809</v>
      </c>
      <c r="G98" s="181">
        <f t="shared" si="5"/>
        <v>44912</v>
      </c>
      <c r="H98" s="179">
        <f t="shared" si="5"/>
        <v>1961489.4591999999</v>
      </c>
      <c r="I98" s="179">
        <f t="shared" si="5"/>
        <v>921507.74793216004</v>
      </c>
      <c r="J98" s="179">
        <f t="shared" si="5"/>
        <v>21575</v>
      </c>
      <c r="K98" s="179">
        <f t="shared" si="5"/>
        <v>2861422.2071321597</v>
      </c>
    </row>
    <row r="99" spans="1:11" ht="18" customHeight="1" thickBot="1">
      <c r="B99" s="172"/>
      <c r="F99" s="186"/>
      <c r="G99" s="186"/>
      <c r="H99" s="186"/>
      <c r="I99" s="186"/>
      <c r="J99" s="186"/>
      <c r="K99" s="186"/>
    </row>
    <row r="100" spans="1:11" ht="42.75" customHeight="1">
      <c r="F100" s="175" t="s">
        <v>145</v>
      </c>
      <c r="G100" s="175" t="s">
        <v>146</v>
      </c>
      <c r="H100" s="175" t="s">
        <v>147</v>
      </c>
      <c r="I100" s="175" t="s">
        <v>148</v>
      </c>
      <c r="J100" s="175" t="s">
        <v>149</v>
      </c>
      <c r="K100" s="175" t="s">
        <v>150</v>
      </c>
    </row>
    <row r="101" spans="1:11" ht="18" customHeight="1">
      <c r="A101" s="176" t="s">
        <v>221</v>
      </c>
      <c r="B101" s="172" t="s">
        <v>222</v>
      </c>
    </row>
    <row r="102" spans="1:11" ht="18" customHeight="1">
      <c r="A102" s="173" t="s">
        <v>332</v>
      </c>
      <c r="B102" s="171" t="s">
        <v>224</v>
      </c>
      <c r="F102" s="177">
        <v>4819.1000000000004</v>
      </c>
      <c r="G102" s="177">
        <v>0</v>
      </c>
      <c r="H102" s="178">
        <v>236580.8572</v>
      </c>
      <c r="I102" s="178">
        <v>111145.68671256001</v>
      </c>
      <c r="J102" s="178">
        <v>0</v>
      </c>
      <c r="K102" s="179">
        <v>347726.54391255998</v>
      </c>
    </row>
    <row r="103" spans="1:11" ht="18" customHeight="1">
      <c r="A103" s="173" t="s">
        <v>333</v>
      </c>
      <c r="B103" s="936" t="s">
        <v>226</v>
      </c>
      <c r="C103" s="936"/>
      <c r="F103" s="177">
        <v>720</v>
      </c>
      <c r="G103" s="177">
        <v>0</v>
      </c>
      <c r="H103" s="178">
        <v>98180</v>
      </c>
      <c r="I103" s="178">
        <v>46124.964</v>
      </c>
      <c r="J103" s="178">
        <v>0</v>
      </c>
      <c r="K103" s="179">
        <v>144304.96400000001</v>
      </c>
    </row>
    <row r="104" spans="1:11" ht="18" customHeight="1">
      <c r="A104" s="173" t="s">
        <v>334</v>
      </c>
      <c r="B104" s="939" t="s">
        <v>711</v>
      </c>
      <c r="C104" s="940"/>
      <c r="D104" s="885"/>
      <c r="F104" s="177">
        <v>0</v>
      </c>
      <c r="G104" s="177">
        <v>0</v>
      </c>
      <c r="H104" s="178">
        <v>78077.842889999985</v>
      </c>
      <c r="I104" s="178">
        <v>36680.97058972199</v>
      </c>
      <c r="J104" s="178">
        <v>0</v>
      </c>
      <c r="K104" s="179">
        <v>114758.81347972198</v>
      </c>
    </row>
    <row r="105" spans="1:11" ht="18" customHeight="1">
      <c r="A105" s="173" t="s">
        <v>336</v>
      </c>
      <c r="B105" s="939"/>
      <c r="C105" s="940"/>
      <c r="D105" s="885"/>
      <c r="F105" s="177">
        <v>0</v>
      </c>
      <c r="G105" s="177">
        <v>0</v>
      </c>
      <c r="H105" s="178">
        <v>0</v>
      </c>
      <c r="I105" s="178">
        <v>0</v>
      </c>
      <c r="J105" s="178">
        <v>0</v>
      </c>
      <c r="K105" s="179">
        <v>0</v>
      </c>
    </row>
    <row r="106" spans="1:11" ht="18" customHeight="1">
      <c r="A106" s="173" t="s">
        <v>337</v>
      </c>
      <c r="B106" s="939"/>
      <c r="C106" s="940"/>
      <c r="D106" s="885"/>
      <c r="F106" s="177">
        <v>0</v>
      </c>
      <c r="G106" s="177">
        <v>0</v>
      </c>
      <c r="H106" s="178">
        <v>0</v>
      </c>
      <c r="I106" s="178">
        <v>0</v>
      </c>
      <c r="J106" s="178">
        <v>0</v>
      </c>
      <c r="K106" s="179">
        <v>0</v>
      </c>
    </row>
    <row r="107" spans="1:11" ht="18" customHeight="1">
      <c r="B107" s="172"/>
    </row>
    <row r="108" spans="1:11" ht="18" customHeight="1">
      <c r="A108" s="176" t="s">
        <v>338</v>
      </c>
      <c r="B108" s="172" t="s">
        <v>229</v>
      </c>
      <c r="E108" s="172" t="s">
        <v>276</v>
      </c>
      <c r="F108" s="181">
        <f t="shared" ref="F108:K108" si="6">SUM(F102:F106)</f>
        <v>5539.1</v>
      </c>
      <c r="G108" s="181">
        <f t="shared" si="6"/>
        <v>0</v>
      </c>
      <c r="H108" s="179">
        <f t="shared" si="6"/>
        <v>412838.70008999994</v>
      </c>
      <c r="I108" s="179">
        <f t="shared" si="6"/>
        <v>193951.621302282</v>
      </c>
      <c r="J108" s="179">
        <f t="shared" si="6"/>
        <v>0</v>
      </c>
      <c r="K108" s="179">
        <f t="shared" si="6"/>
        <v>606790.32139228203</v>
      </c>
    </row>
    <row r="109" spans="1:11" ht="18" customHeight="1" thickBot="1">
      <c r="A109" s="198"/>
      <c r="B109" s="199"/>
      <c r="C109" s="200"/>
      <c r="D109" s="200"/>
      <c r="E109" s="200"/>
      <c r="F109" s="186"/>
      <c r="G109" s="186"/>
      <c r="H109" s="186"/>
      <c r="I109" s="186"/>
      <c r="J109" s="186"/>
      <c r="K109" s="186"/>
    </row>
    <row r="110" spans="1:11" ht="18" customHeight="1">
      <c r="A110" s="176" t="s">
        <v>230</v>
      </c>
      <c r="B110" s="172" t="s">
        <v>231</v>
      </c>
    </row>
    <row r="111" spans="1:11" ht="18" customHeight="1">
      <c r="A111" s="176" t="s">
        <v>339</v>
      </c>
      <c r="B111" s="172" t="s">
        <v>232</v>
      </c>
      <c r="E111" s="172" t="s">
        <v>276</v>
      </c>
      <c r="F111" s="178">
        <v>31612000</v>
      </c>
    </row>
    <row r="112" spans="1:11" ht="18" customHeight="1">
      <c r="B112" s="172"/>
      <c r="E112" s="172"/>
    </row>
    <row r="113" spans="1:6" ht="12.75">
      <c r="A113" s="176"/>
      <c r="B113" s="172" t="s">
        <v>233</v>
      </c>
    </row>
    <row r="114" spans="1:6" ht="12.75">
      <c r="A114" s="173" t="s">
        <v>340</v>
      </c>
      <c r="B114" s="171" t="s">
        <v>341</v>
      </c>
      <c r="F114" s="201">
        <v>0.4698</v>
      </c>
    </row>
    <row r="115" spans="1:6" ht="12.75">
      <c r="A115" s="173"/>
      <c r="B115" s="172"/>
    </row>
    <row r="116" spans="1:6" ht="12.75">
      <c r="A116" s="173" t="s">
        <v>234</v>
      </c>
      <c r="B116" s="172" t="s">
        <v>235</v>
      </c>
    </row>
    <row r="117" spans="1:6" ht="12.75">
      <c r="A117" s="173" t="s">
        <v>342</v>
      </c>
      <c r="B117" s="171" t="s">
        <v>236</v>
      </c>
      <c r="F117" s="178">
        <v>1781403000</v>
      </c>
    </row>
    <row r="118" spans="1:6" ht="12.75">
      <c r="A118" s="173" t="s">
        <v>343</v>
      </c>
      <c r="B118" s="171" t="s">
        <v>237</v>
      </c>
      <c r="F118" s="178">
        <v>166819000</v>
      </c>
    </row>
    <row r="119" spans="1:6" ht="12.75">
      <c r="A119" s="173" t="s">
        <v>344</v>
      </c>
      <c r="B119" s="172" t="s">
        <v>238</v>
      </c>
      <c r="F119" s="185">
        <f>F117+F118</f>
        <v>1948222000</v>
      </c>
    </row>
    <row r="120" spans="1:6" ht="12.75">
      <c r="A120" s="173"/>
      <c r="B120" s="172"/>
    </row>
    <row r="121" spans="1:6" ht="12.75">
      <c r="A121" s="173" t="s">
        <v>345</v>
      </c>
      <c r="B121" s="172" t="s">
        <v>346</v>
      </c>
      <c r="F121" s="178">
        <v>1897158000</v>
      </c>
    </row>
    <row r="122" spans="1:6" ht="12.75">
      <c r="A122" s="173"/>
    </row>
    <row r="123" spans="1:6" ht="12.75">
      <c r="A123" s="173" t="s">
        <v>347</v>
      </c>
      <c r="B123" s="172" t="s">
        <v>348</v>
      </c>
      <c r="F123" s="178">
        <f>+F119-F121</f>
        <v>51064000</v>
      </c>
    </row>
    <row r="124" spans="1:6" ht="12.75">
      <c r="A124" s="173"/>
    </row>
    <row r="125" spans="1:6" ht="12.75">
      <c r="A125" s="173" t="s">
        <v>349</v>
      </c>
      <c r="B125" s="172" t="s">
        <v>350</v>
      </c>
      <c r="F125" s="178">
        <v>93830000</v>
      </c>
    </row>
    <row r="126" spans="1:6" ht="12.75">
      <c r="A126" s="173"/>
    </row>
    <row r="127" spans="1:6" ht="12.75">
      <c r="A127" s="173" t="s">
        <v>351</v>
      </c>
      <c r="B127" s="172" t="s">
        <v>352</v>
      </c>
      <c r="F127" s="178">
        <f>+F123+F125</f>
        <v>144894000</v>
      </c>
    </row>
    <row r="128" spans="1:6" ht="12.75">
      <c r="A128" s="173"/>
    </row>
    <row r="129" spans="1:11" ht="42.75" customHeight="1">
      <c r="F129" s="175" t="s">
        <v>145</v>
      </c>
      <c r="G129" s="175" t="s">
        <v>146</v>
      </c>
      <c r="H129" s="175" t="s">
        <v>147</v>
      </c>
      <c r="I129" s="175" t="s">
        <v>148</v>
      </c>
      <c r="J129" s="175" t="s">
        <v>149</v>
      </c>
      <c r="K129" s="175" t="s">
        <v>150</v>
      </c>
    </row>
    <row r="130" spans="1:11" ht="18" customHeight="1">
      <c r="A130" s="176" t="s">
        <v>239</v>
      </c>
      <c r="B130" s="172" t="s">
        <v>240</v>
      </c>
    </row>
    <row r="131" spans="1:11" ht="18" customHeight="1">
      <c r="A131" s="173" t="s">
        <v>353</v>
      </c>
      <c r="B131" s="171" t="s">
        <v>242</v>
      </c>
      <c r="F131" s="177">
        <v>0</v>
      </c>
      <c r="G131" s="177">
        <v>0</v>
      </c>
      <c r="H131" s="178">
        <v>0</v>
      </c>
      <c r="I131" s="202">
        <v>0</v>
      </c>
      <c r="J131" s="178">
        <v>0</v>
      </c>
      <c r="K131" s="179">
        <v>0</v>
      </c>
    </row>
    <row r="132" spans="1:11" ht="18" customHeight="1">
      <c r="A132" s="173" t="s">
        <v>354</v>
      </c>
      <c r="B132" s="171" t="s">
        <v>128</v>
      </c>
      <c r="F132" s="177">
        <v>0</v>
      </c>
      <c r="G132" s="177">
        <v>0</v>
      </c>
      <c r="H132" s="178">
        <v>0</v>
      </c>
      <c r="I132" s="202">
        <v>0</v>
      </c>
      <c r="J132" s="178">
        <v>0</v>
      </c>
      <c r="K132" s="179">
        <v>0</v>
      </c>
    </row>
    <row r="133" spans="1:11" ht="18" customHeight="1">
      <c r="A133" s="173" t="s">
        <v>355</v>
      </c>
      <c r="B133" s="933"/>
      <c r="C133" s="934"/>
      <c r="D133" s="935"/>
      <c r="F133" s="177">
        <v>0</v>
      </c>
      <c r="G133" s="177">
        <v>0</v>
      </c>
      <c r="H133" s="178">
        <v>0</v>
      </c>
      <c r="I133" s="202">
        <v>0</v>
      </c>
      <c r="J133" s="178">
        <v>0</v>
      </c>
      <c r="K133" s="179">
        <v>0</v>
      </c>
    </row>
    <row r="134" spans="1:11" ht="18" customHeight="1">
      <c r="A134" s="173" t="s">
        <v>356</v>
      </c>
      <c r="B134" s="933"/>
      <c r="C134" s="934"/>
      <c r="D134" s="935"/>
      <c r="F134" s="177">
        <v>0</v>
      </c>
      <c r="G134" s="177">
        <v>0</v>
      </c>
      <c r="H134" s="178">
        <v>0</v>
      </c>
      <c r="I134" s="202">
        <v>0</v>
      </c>
      <c r="J134" s="178">
        <v>0</v>
      </c>
      <c r="K134" s="179">
        <v>0</v>
      </c>
    </row>
    <row r="135" spans="1:11" ht="18" customHeight="1">
      <c r="A135" s="173" t="s">
        <v>357</v>
      </c>
      <c r="B135" s="933"/>
      <c r="C135" s="934"/>
      <c r="D135" s="935"/>
      <c r="F135" s="177">
        <v>0</v>
      </c>
      <c r="G135" s="177">
        <v>0</v>
      </c>
      <c r="H135" s="178">
        <v>0</v>
      </c>
      <c r="I135" s="202">
        <v>0</v>
      </c>
      <c r="J135" s="178">
        <v>0</v>
      </c>
      <c r="K135" s="179">
        <v>0</v>
      </c>
    </row>
    <row r="136" spans="1:11" ht="18" customHeight="1">
      <c r="A136" s="176"/>
    </row>
    <row r="137" spans="1:11" ht="18" customHeight="1">
      <c r="A137" s="176" t="s">
        <v>358</v>
      </c>
      <c r="B137" s="172" t="s">
        <v>359</v>
      </c>
      <c r="F137" s="181">
        <f t="shared" ref="F137:K137" si="7">SUM(F131:F135)</f>
        <v>0</v>
      </c>
      <c r="G137" s="181">
        <f t="shared" si="7"/>
        <v>0</v>
      </c>
      <c r="H137" s="179">
        <f t="shared" si="7"/>
        <v>0</v>
      </c>
      <c r="I137" s="179">
        <f t="shared" si="7"/>
        <v>0</v>
      </c>
      <c r="J137" s="179">
        <f t="shared" si="7"/>
        <v>0</v>
      </c>
      <c r="K137" s="179">
        <f t="shared" si="7"/>
        <v>0</v>
      </c>
    </row>
    <row r="138" spans="1:11" ht="18" customHeight="1">
      <c r="A138" s="171"/>
    </row>
    <row r="139" spans="1:11" ht="42.75" customHeight="1">
      <c r="F139" s="175" t="s">
        <v>145</v>
      </c>
      <c r="G139" s="175" t="s">
        <v>146</v>
      </c>
      <c r="H139" s="175" t="s">
        <v>147</v>
      </c>
      <c r="I139" s="175" t="s">
        <v>148</v>
      </c>
      <c r="J139" s="175" t="s">
        <v>149</v>
      </c>
      <c r="K139" s="175" t="s">
        <v>150</v>
      </c>
    </row>
    <row r="140" spans="1:11" ht="18" customHeight="1">
      <c r="A140" s="176" t="s">
        <v>244</v>
      </c>
      <c r="B140" s="172" t="s">
        <v>245</v>
      </c>
    </row>
    <row r="141" spans="1:11" ht="18" customHeight="1">
      <c r="A141" s="173" t="s">
        <v>275</v>
      </c>
      <c r="B141" s="172" t="s">
        <v>246</v>
      </c>
      <c r="F141" s="203">
        <v>64323</v>
      </c>
      <c r="G141" s="203">
        <v>14815490</v>
      </c>
      <c r="H141" s="203">
        <v>7085754.1399999987</v>
      </c>
      <c r="I141" s="203">
        <v>2627959.3191720005</v>
      </c>
      <c r="J141" s="203">
        <v>1041600</v>
      </c>
      <c r="K141" s="203">
        <v>8672113.4591719992</v>
      </c>
    </row>
    <row r="142" spans="1:11" ht="18" customHeight="1">
      <c r="A142" s="173" t="s">
        <v>286</v>
      </c>
      <c r="B142" s="172" t="s">
        <v>125</v>
      </c>
      <c r="F142" s="203">
        <v>2035566.5</v>
      </c>
      <c r="G142" s="203">
        <v>1971</v>
      </c>
      <c r="H142" s="203">
        <v>113510610.61999999</v>
      </c>
      <c r="I142" s="203">
        <v>84663.409679999997</v>
      </c>
      <c r="J142" s="203">
        <v>1763</v>
      </c>
      <c r="K142" s="203">
        <v>113593511.02968</v>
      </c>
    </row>
    <row r="143" spans="1:11" ht="18" customHeight="1">
      <c r="A143" s="173" t="s">
        <v>305</v>
      </c>
      <c r="B143" s="172" t="s">
        <v>247</v>
      </c>
      <c r="F143" s="203">
        <v>141090</v>
      </c>
      <c r="G143" s="203">
        <v>115432</v>
      </c>
      <c r="H143" s="203">
        <v>22306651</v>
      </c>
      <c r="I143" s="203">
        <v>0</v>
      </c>
      <c r="J143" s="203">
        <v>706128</v>
      </c>
      <c r="K143" s="203">
        <v>21600523</v>
      </c>
    </row>
    <row r="144" spans="1:11" ht="18" customHeight="1">
      <c r="A144" s="173" t="s">
        <v>311</v>
      </c>
      <c r="B144" s="172" t="s">
        <v>127</v>
      </c>
      <c r="F144" s="203">
        <v>0</v>
      </c>
      <c r="G144" s="203">
        <v>0</v>
      </c>
      <c r="H144" s="203">
        <v>75000</v>
      </c>
      <c r="I144" s="203">
        <v>0</v>
      </c>
      <c r="J144" s="203">
        <v>0</v>
      </c>
      <c r="K144" s="203">
        <v>75000</v>
      </c>
    </row>
    <row r="145" spans="1:11" ht="18" customHeight="1">
      <c r="A145" s="173" t="s">
        <v>317</v>
      </c>
      <c r="B145" s="172" t="s">
        <v>248</v>
      </c>
      <c r="F145" s="203">
        <v>5872.9</v>
      </c>
      <c r="G145" s="203">
        <v>7858</v>
      </c>
      <c r="H145" s="203">
        <v>3596512.2184000001</v>
      </c>
      <c r="I145" s="203">
        <v>19361.797929599998</v>
      </c>
      <c r="J145" s="203">
        <v>5048</v>
      </c>
      <c r="K145" s="203">
        <v>3610826.0163296</v>
      </c>
    </row>
    <row r="146" spans="1:11" ht="18" customHeight="1">
      <c r="A146" s="173" t="s">
        <v>331</v>
      </c>
      <c r="B146" s="172" t="s">
        <v>249</v>
      </c>
      <c r="F146" s="203">
        <v>24809</v>
      </c>
      <c r="G146" s="203">
        <v>44912</v>
      </c>
      <c r="H146" s="203">
        <v>1961489.4591999999</v>
      </c>
      <c r="I146" s="203">
        <v>921507.74793216004</v>
      </c>
      <c r="J146" s="203">
        <v>21575</v>
      </c>
      <c r="K146" s="203">
        <v>2861422.2071321597</v>
      </c>
    </row>
    <row r="147" spans="1:11" ht="18" customHeight="1">
      <c r="A147" s="173" t="s">
        <v>338</v>
      </c>
      <c r="B147" s="172" t="s">
        <v>129</v>
      </c>
      <c r="F147" s="181">
        <v>5539.1</v>
      </c>
      <c r="G147" s="181">
        <v>0</v>
      </c>
      <c r="H147" s="181">
        <v>412838.70008999994</v>
      </c>
      <c r="I147" s="181">
        <v>193951.621302282</v>
      </c>
      <c r="J147" s="181">
        <v>0</v>
      </c>
      <c r="K147" s="181">
        <v>606790.32139228203</v>
      </c>
    </row>
    <row r="148" spans="1:11" ht="18" customHeight="1">
      <c r="A148" s="173" t="s">
        <v>339</v>
      </c>
      <c r="B148" s="172" t="s">
        <v>131</v>
      </c>
      <c r="F148" s="204" t="s">
        <v>122</v>
      </c>
      <c r="G148" s="204" t="s">
        <v>122</v>
      </c>
      <c r="H148" s="205" t="s">
        <v>122</v>
      </c>
      <c r="I148" s="205" t="s">
        <v>122</v>
      </c>
      <c r="J148" s="205" t="s">
        <v>122</v>
      </c>
      <c r="K148" s="344">
        <v>31612000</v>
      </c>
    </row>
    <row r="149" spans="1:11" ht="18" customHeight="1">
      <c r="A149" s="173" t="s">
        <v>358</v>
      </c>
      <c r="B149" s="172" t="s">
        <v>250</v>
      </c>
      <c r="F149" s="181">
        <v>0</v>
      </c>
      <c r="G149" s="181">
        <v>0</v>
      </c>
      <c r="H149" s="181">
        <v>0</v>
      </c>
      <c r="I149" s="181">
        <v>0</v>
      </c>
      <c r="J149" s="181">
        <v>0</v>
      </c>
      <c r="K149" s="181">
        <v>0</v>
      </c>
    </row>
    <row r="150" spans="1:11" ht="18" customHeight="1">
      <c r="A150" s="173" t="s">
        <v>259</v>
      </c>
      <c r="B150" s="172" t="s">
        <v>251</v>
      </c>
      <c r="F150" s="204" t="s">
        <v>122</v>
      </c>
      <c r="G150" s="204" t="s">
        <v>122</v>
      </c>
      <c r="H150" s="181">
        <v>51724577.288385898</v>
      </c>
      <c r="I150" s="181">
        <v>0</v>
      </c>
      <c r="J150" s="181">
        <v>44230980.8620717</v>
      </c>
      <c r="K150" s="181">
        <v>7493596.4263141975</v>
      </c>
    </row>
    <row r="151" spans="1:11" ht="18" customHeight="1">
      <c r="B151" s="172"/>
      <c r="F151" s="188"/>
      <c r="G151" s="188"/>
      <c r="H151" s="188"/>
      <c r="I151" s="188"/>
      <c r="J151" s="188"/>
      <c r="K151" s="188"/>
    </row>
    <row r="152" spans="1:11" ht="18" customHeight="1">
      <c r="A152" s="176" t="s">
        <v>360</v>
      </c>
      <c r="B152" s="172" t="s">
        <v>245</v>
      </c>
      <c r="F152" s="206">
        <f t="shared" ref="F152:J152" si="8">SUM(F141:F150)</f>
        <v>2277200.5</v>
      </c>
      <c r="G152" s="206">
        <f t="shared" si="8"/>
        <v>14985663</v>
      </c>
      <c r="H152" s="206">
        <f t="shared" si="8"/>
        <v>200673433.42607588</v>
      </c>
      <c r="I152" s="206">
        <f t="shared" si="8"/>
        <v>3847443.8960160422</v>
      </c>
      <c r="J152" s="206">
        <f t="shared" si="8"/>
        <v>46007094.8620717</v>
      </c>
      <c r="K152" s="206">
        <f>SUM(K141:K150)</f>
        <v>190125782.46002021</v>
      </c>
    </row>
    <row r="154" spans="1:11" ht="18" customHeight="1">
      <c r="A154" s="176" t="s">
        <v>361</v>
      </c>
      <c r="B154" s="172" t="s">
        <v>252</v>
      </c>
      <c r="F154" s="345">
        <f>K152/F121</f>
        <v>0.10021610348743763</v>
      </c>
    </row>
    <row r="155" spans="1:11" ht="18" customHeight="1">
      <c r="A155" s="176" t="s">
        <v>362</v>
      </c>
      <c r="B155" s="172" t="s">
        <v>253</v>
      </c>
      <c r="F155" s="345">
        <f>K152/F127</f>
        <v>1.3121715354674466</v>
      </c>
      <c r="G155" s="172"/>
    </row>
    <row r="156" spans="1:11" ht="18" customHeight="1">
      <c r="G156" s="172"/>
    </row>
  </sheetData>
  <mergeCells count="38">
    <mergeCell ref="B134:D134"/>
    <mergeCell ref="B135:D135"/>
    <mergeCell ref="B96:D96"/>
    <mergeCell ref="B103:C103"/>
    <mergeCell ref="B104:D104"/>
    <mergeCell ref="B105:D105"/>
    <mergeCell ref="B106:D106"/>
    <mergeCell ref="B133:D133"/>
    <mergeCell ref="B95:D95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90:C90"/>
    <mergeCell ref="B94:D94"/>
    <mergeCell ref="B53:D53"/>
    <mergeCell ref="C11:G11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C10:G10"/>
    <mergeCell ref="D2:H2"/>
    <mergeCell ref="C5:G5"/>
    <mergeCell ref="C6:G6"/>
    <mergeCell ref="C7:G7"/>
    <mergeCell ref="C9:G9"/>
  </mergeCells>
  <hyperlinks>
    <hyperlink ref="C11" r:id="rId1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30" workbookViewId="0">
      <selection activeCell="B43" sqref="B43"/>
    </sheetView>
  </sheetViews>
  <sheetFormatPr defaultRowHeight="12.75"/>
  <cols>
    <col min="1" max="1" width="8.28515625" style="207" customWidth="1"/>
    <col min="2" max="2" width="55.42578125" style="40" bestFit="1" customWidth="1"/>
    <col min="3" max="3" width="7.140625" style="40" customWidth="1"/>
    <col min="4" max="4" width="5.28515625" style="40" customWidth="1"/>
    <col min="5" max="5" width="12.42578125" style="40" customWidth="1"/>
    <col min="6" max="6" width="18.5703125" style="40" customWidth="1"/>
    <col min="7" max="7" width="23.5703125" style="40" customWidth="1"/>
    <col min="8" max="8" width="17.140625" style="209" customWidth="1"/>
    <col min="9" max="9" width="21.140625" style="209" customWidth="1"/>
    <col min="10" max="10" width="19.85546875" style="209" customWidth="1"/>
    <col min="11" max="11" width="17.5703125" style="209" customWidth="1"/>
    <col min="12" max="16384" width="9.140625" style="40"/>
  </cols>
  <sheetData>
    <row r="1" spans="1:11" ht="18" customHeight="1">
      <c r="C1" s="41"/>
      <c r="D1" s="42"/>
      <c r="E1" s="41"/>
      <c r="F1" s="41"/>
      <c r="G1" s="41"/>
      <c r="H1" s="208"/>
      <c r="I1" s="208"/>
      <c r="J1" s="208"/>
      <c r="K1" s="208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454</v>
      </c>
      <c r="D5" s="827"/>
      <c r="E5" s="827"/>
      <c r="F5" s="827"/>
      <c r="G5" s="828"/>
    </row>
    <row r="6" spans="1:11" ht="18" customHeight="1">
      <c r="B6" s="45" t="s">
        <v>136</v>
      </c>
      <c r="C6" s="886" t="s">
        <v>455</v>
      </c>
      <c r="D6" s="830"/>
      <c r="E6" s="830"/>
      <c r="F6" s="830"/>
      <c r="G6" s="831"/>
    </row>
    <row r="7" spans="1:11" ht="18" customHeight="1">
      <c r="B7" s="45" t="s">
        <v>137</v>
      </c>
      <c r="C7" s="832">
        <f>+'[8]DGH '!D18</f>
        <v>1106</v>
      </c>
      <c r="D7" s="833"/>
      <c r="E7" s="833"/>
      <c r="F7" s="833"/>
      <c r="G7" s="834"/>
    </row>
    <row r="9" spans="1:11" ht="18" customHeight="1">
      <c r="B9" s="45" t="s">
        <v>138</v>
      </c>
      <c r="C9" s="826" t="s">
        <v>456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457</v>
      </c>
      <c r="D10" s="836"/>
      <c r="E10" s="836"/>
      <c r="F10" s="836"/>
      <c r="G10" s="837"/>
    </row>
    <row r="11" spans="1:11" ht="18" customHeight="1">
      <c r="B11" s="45" t="s">
        <v>142</v>
      </c>
      <c r="C11" s="843" t="s">
        <v>458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208"/>
    </row>
    <row r="14" spans="1:11" ht="18" customHeight="1">
      <c r="B14" s="46"/>
    </row>
    <row r="15" spans="1:11" ht="18" customHeight="1">
      <c r="B15" s="46"/>
    </row>
    <row r="16" spans="1:11" ht="45" customHeight="1">
      <c r="A16" s="210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211" t="s">
        <v>147</v>
      </c>
      <c r="I16" s="211" t="s">
        <v>148</v>
      </c>
      <c r="J16" s="211" t="s">
        <v>149</v>
      </c>
      <c r="K16" s="211" t="s">
        <v>150</v>
      </c>
    </row>
    <row r="17" spans="1:11" ht="18" customHeight="1">
      <c r="A17" s="212" t="s">
        <v>151</v>
      </c>
      <c r="B17" s="43" t="s">
        <v>152</v>
      </c>
    </row>
    <row r="18" spans="1:11" ht="18" customHeight="1">
      <c r="A18" s="213" t="s">
        <v>259</v>
      </c>
      <c r="B18" s="49" t="s">
        <v>153</v>
      </c>
      <c r="F18" s="50" t="s">
        <v>122</v>
      </c>
      <c r="G18" s="50" t="s">
        <v>122</v>
      </c>
      <c r="H18" s="214">
        <f>+'[8]DGH '!E215</f>
        <v>1531302</v>
      </c>
      <c r="I18" s="215">
        <v>0</v>
      </c>
      <c r="J18" s="214">
        <f>+'[8]DGH '!D215</f>
        <v>1309455</v>
      </c>
      <c r="K18" s="216">
        <f>(H18+I18)-J18</f>
        <v>221847</v>
      </c>
    </row>
    <row r="19" spans="1:11" ht="45" customHeight="1">
      <c r="A19" s="210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211" t="s">
        <v>147</v>
      </c>
      <c r="I19" s="211" t="s">
        <v>148</v>
      </c>
      <c r="J19" s="211" t="s">
        <v>149</v>
      </c>
      <c r="K19" s="211" t="s">
        <v>150</v>
      </c>
    </row>
    <row r="20" spans="1:11" ht="18" customHeight="1">
      <c r="A20" s="212" t="s">
        <v>260</v>
      </c>
      <c r="B20" s="43" t="s">
        <v>155</v>
      </c>
    </row>
    <row r="21" spans="1:11" ht="18" customHeight="1">
      <c r="A21" s="213" t="s">
        <v>164</v>
      </c>
      <c r="B21" s="49" t="s">
        <v>156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216">
        <f t="shared" ref="K21:K34" si="0">(H21+I21)-J21</f>
        <v>0</v>
      </c>
    </row>
    <row r="22" spans="1:11" ht="18" customHeight="1">
      <c r="A22" s="213" t="s">
        <v>261</v>
      </c>
      <c r="B22" s="40" t="s">
        <v>157</v>
      </c>
      <c r="F22" s="50"/>
      <c r="G22" s="50"/>
      <c r="H22" s="214"/>
      <c r="I22" s="215">
        <f t="shared" ref="I22:I34" si="1">H22*F$114</f>
        <v>0</v>
      </c>
      <c r="J22" s="214"/>
      <c r="K22" s="216">
        <f t="shared" si="0"/>
        <v>0</v>
      </c>
    </row>
    <row r="23" spans="1:11" ht="18" customHeight="1">
      <c r="A23" s="213" t="s">
        <v>262</v>
      </c>
      <c r="B23" s="40" t="s">
        <v>158</v>
      </c>
      <c r="F23" s="50"/>
      <c r="G23" s="50"/>
      <c r="H23" s="214"/>
      <c r="I23" s="215">
        <f t="shared" si="1"/>
        <v>0</v>
      </c>
      <c r="J23" s="214"/>
      <c r="K23" s="216">
        <f t="shared" si="0"/>
        <v>0</v>
      </c>
    </row>
    <row r="24" spans="1:11" ht="18" customHeight="1">
      <c r="A24" s="213" t="s">
        <v>263</v>
      </c>
      <c r="B24" s="40" t="s">
        <v>159</v>
      </c>
      <c r="F24" s="50"/>
      <c r="G24" s="50"/>
      <c r="H24" s="214"/>
      <c r="I24" s="215">
        <f t="shared" si="1"/>
        <v>0</v>
      </c>
      <c r="J24" s="214"/>
      <c r="K24" s="216">
        <f t="shared" si="0"/>
        <v>0</v>
      </c>
    </row>
    <row r="25" spans="1:11" ht="18" customHeight="1">
      <c r="A25" s="213" t="s">
        <v>264</v>
      </c>
      <c r="B25" s="40" t="s">
        <v>160</v>
      </c>
      <c r="F25" s="50"/>
      <c r="G25" s="50"/>
      <c r="H25" s="214"/>
      <c r="I25" s="214"/>
      <c r="J25" s="214"/>
      <c r="K25" s="216">
        <f t="shared" si="0"/>
        <v>0</v>
      </c>
    </row>
    <row r="26" spans="1:11" ht="18" customHeight="1">
      <c r="A26" s="213" t="s">
        <v>265</v>
      </c>
      <c r="B26" s="40" t="s">
        <v>161</v>
      </c>
      <c r="F26" s="50"/>
      <c r="G26" s="50"/>
      <c r="H26" s="214"/>
      <c r="I26" s="215">
        <f t="shared" si="1"/>
        <v>0</v>
      </c>
      <c r="J26" s="214"/>
      <c r="K26" s="216">
        <f t="shared" si="0"/>
        <v>0</v>
      </c>
    </row>
    <row r="27" spans="1:11" ht="18" customHeight="1">
      <c r="A27" s="213" t="s">
        <v>266</v>
      </c>
      <c r="B27" s="40" t="s">
        <v>162</v>
      </c>
      <c r="F27" s="50"/>
      <c r="G27" s="50"/>
      <c r="H27" s="214"/>
      <c r="I27" s="215">
        <f t="shared" si="1"/>
        <v>0</v>
      </c>
      <c r="J27" s="214"/>
      <c r="K27" s="216">
        <f t="shared" si="0"/>
        <v>0</v>
      </c>
    </row>
    <row r="28" spans="1:11" ht="18" customHeight="1">
      <c r="A28" s="213" t="s">
        <v>267</v>
      </c>
      <c r="B28" s="40" t="s">
        <v>163</v>
      </c>
      <c r="F28" s="50"/>
      <c r="G28" s="50"/>
      <c r="H28" s="214"/>
      <c r="I28" s="215">
        <f t="shared" si="1"/>
        <v>0</v>
      </c>
      <c r="J28" s="214"/>
      <c r="K28" s="216">
        <f t="shared" si="0"/>
        <v>0</v>
      </c>
    </row>
    <row r="29" spans="1:11" ht="18" customHeight="1">
      <c r="A29" s="213" t="s">
        <v>268</v>
      </c>
      <c r="B29" s="40" t="s">
        <v>165</v>
      </c>
      <c r="F29" s="50">
        <f>+'[8]SHS MHE DGH Com Ben Rpt 2013'!E175</f>
        <v>2</v>
      </c>
      <c r="G29" s="50">
        <f>+'[8]SHS MHE DGH Com Ben Rpt 2013'!F175</f>
        <v>8</v>
      </c>
      <c r="H29" s="50">
        <f>+'[8]SHS MHE DGH Com Ben Rpt 2013'!G175</f>
        <v>85.344012801511354</v>
      </c>
      <c r="I29" s="50">
        <f>+'[8]SHS MHE DGH Com Ben Rpt 2013'!H175</f>
        <v>50.36150195417185</v>
      </c>
      <c r="J29" s="50">
        <f>+'[8]SHS MHE DGH Com Ben Rpt 2013'!I175</f>
        <v>0</v>
      </c>
      <c r="K29" s="216">
        <f t="shared" si="0"/>
        <v>135.7055147556832</v>
      </c>
    </row>
    <row r="30" spans="1:11" ht="18" customHeight="1">
      <c r="A30" s="213" t="s">
        <v>269</v>
      </c>
      <c r="B30" s="814"/>
      <c r="C30" s="815"/>
      <c r="D30" s="816"/>
      <c r="F30" s="50"/>
      <c r="G30" s="50"/>
      <c r="H30" s="214"/>
      <c r="I30" s="215">
        <f t="shared" si="1"/>
        <v>0</v>
      </c>
      <c r="J30" s="214"/>
      <c r="K30" s="216">
        <f t="shared" si="0"/>
        <v>0</v>
      </c>
    </row>
    <row r="31" spans="1:11" ht="18" customHeight="1">
      <c r="A31" s="213" t="s">
        <v>270</v>
      </c>
      <c r="B31" s="814"/>
      <c r="C31" s="815"/>
      <c r="D31" s="816"/>
      <c r="F31" s="50"/>
      <c r="G31" s="50"/>
      <c r="H31" s="214"/>
      <c r="I31" s="215">
        <f t="shared" si="1"/>
        <v>0</v>
      </c>
      <c r="J31" s="214"/>
      <c r="K31" s="216">
        <f t="shared" si="0"/>
        <v>0</v>
      </c>
    </row>
    <row r="32" spans="1:11" ht="18" customHeight="1">
      <c r="A32" s="213" t="s">
        <v>271</v>
      </c>
      <c r="B32" s="107"/>
      <c r="C32" s="108"/>
      <c r="D32" s="109"/>
      <c r="F32" s="50"/>
      <c r="G32" s="57" t="s">
        <v>272</v>
      </c>
      <c r="H32" s="214"/>
      <c r="I32" s="215">
        <f t="shared" si="1"/>
        <v>0</v>
      </c>
      <c r="J32" s="214"/>
      <c r="K32" s="216">
        <f t="shared" si="0"/>
        <v>0</v>
      </c>
    </row>
    <row r="33" spans="1:11" ht="18" customHeight="1">
      <c r="A33" s="213" t="s">
        <v>273</v>
      </c>
      <c r="B33" s="107"/>
      <c r="C33" s="108"/>
      <c r="D33" s="109"/>
      <c r="F33" s="50"/>
      <c r="G33" s="57" t="s">
        <v>272</v>
      </c>
      <c r="H33" s="214"/>
      <c r="I33" s="215">
        <f t="shared" si="1"/>
        <v>0</v>
      </c>
      <c r="J33" s="214"/>
      <c r="K33" s="216">
        <f t="shared" si="0"/>
        <v>0</v>
      </c>
    </row>
    <row r="34" spans="1:11" ht="18" customHeight="1">
      <c r="A34" s="213" t="s">
        <v>274</v>
      </c>
      <c r="B34" s="814"/>
      <c r="C34" s="815"/>
      <c r="D34" s="816"/>
      <c r="F34" s="50"/>
      <c r="G34" s="57" t="s">
        <v>272</v>
      </c>
      <c r="H34" s="214"/>
      <c r="I34" s="215">
        <f t="shared" si="1"/>
        <v>0</v>
      </c>
      <c r="J34" s="214"/>
      <c r="K34" s="216">
        <f t="shared" si="0"/>
        <v>0</v>
      </c>
    </row>
    <row r="35" spans="1:11" ht="18" customHeight="1">
      <c r="K35" s="217"/>
    </row>
    <row r="36" spans="1:11" ht="18" customHeight="1">
      <c r="A36" s="212" t="s">
        <v>275</v>
      </c>
      <c r="B36" s="43" t="s">
        <v>166</v>
      </c>
      <c r="E36" s="43" t="s">
        <v>276</v>
      </c>
      <c r="F36" s="59">
        <f t="shared" ref="F36:K36" si="2">SUM(F21:F34)</f>
        <v>2</v>
      </c>
      <c r="G36" s="59">
        <f t="shared" si="2"/>
        <v>8</v>
      </c>
      <c r="H36" s="216">
        <f t="shared" si="2"/>
        <v>85.344012801511354</v>
      </c>
      <c r="I36" s="216">
        <f t="shared" si="2"/>
        <v>50.36150195417185</v>
      </c>
      <c r="J36" s="216">
        <f t="shared" si="2"/>
        <v>0</v>
      </c>
      <c r="K36" s="216">
        <f t="shared" si="2"/>
        <v>135.7055147556832</v>
      </c>
    </row>
    <row r="37" spans="1:11" ht="18" customHeight="1" thickBot="1">
      <c r="B37" s="43"/>
      <c r="F37" s="60"/>
      <c r="G37" s="60"/>
      <c r="H37" s="218"/>
      <c r="I37" s="218"/>
      <c r="J37" s="218"/>
      <c r="K37" s="219"/>
    </row>
    <row r="38" spans="1:11" ht="42.75" customHeight="1">
      <c r="F38" s="47" t="s">
        <v>145</v>
      </c>
      <c r="G38" s="47" t="s">
        <v>146</v>
      </c>
      <c r="H38" s="211" t="s">
        <v>147</v>
      </c>
      <c r="I38" s="211" t="s">
        <v>148</v>
      </c>
      <c r="J38" s="211" t="s">
        <v>149</v>
      </c>
      <c r="K38" s="211" t="s">
        <v>150</v>
      </c>
    </row>
    <row r="39" spans="1:11" ht="18.75" customHeight="1">
      <c r="A39" s="212" t="s">
        <v>167</v>
      </c>
      <c r="B39" s="43" t="s">
        <v>168</v>
      </c>
    </row>
    <row r="40" spans="1:11" ht="18" customHeight="1">
      <c r="A40" s="213" t="s">
        <v>277</v>
      </c>
      <c r="B40" s="40" t="s">
        <v>170</v>
      </c>
      <c r="F40" s="50"/>
      <c r="G40" s="50"/>
      <c r="H40" s="214"/>
      <c r="I40" s="215">
        <v>0</v>
      </c>
      <c r="J40" s="214"/>
      <c r="K40" s="216">
        <f t="shared" ref="K40:K47" si="3">(H40+I40)-J40</f>
        <v>0</v>
      </c>
    </row>
    <row r="41" spans="1:11" ht="18" customHeight="1">
      <c r="A41" s="213" t="s">
        <v>278</v>
      </c>
      <c r="B41" s="818" t="s">
        <v>172</v>
      </c>
      <c r="C41" s="819"/>
      <c r="F41" s="50">
        <f>+'[8]DGH '!G24</f>
        <v>4576</v>
      </c>
      <c r="G41" s="50">
        <f>+'[8]DGH '!G25</f>
        <v>5</v>
      </c>
      <c r="H41" s="214">
        <f>+'[8]DGH '!E24</f>
        <v>155248</v>
      </c>
      <c r="I41" s="215">
        <f>+'[8]DGH '!E28</f>
        <v>20548</v>
      </c>
      <c r="J41" s="214">
        <v>0</v>
      </c>
      <c r="K41" s="216">
        <f t="shared" si="3"/>
        <v>175796</v>
      </c>
    </row>
    <row r="42" spans="1:11" ht="18" customHeight="1">
      <c r="A42" s="213" t="s">
        <v>279</v>
      </c>
      <c r="B42" s="49" t="s">
        <v>174</v>
      </c>
      <c r="F42" s="50">
        <f>+'[8]SHS MHE DGH Com Ben Rpt 2013'!E179</f>
        <v>126</v>
      </c>
      <c r="G42" s="50">
        <f>+'[8]SHS MHE DGH Com Ben Rpt 2013'!F179</f>
        <v>79</v>
      </c>
      <c r="H42" s="50">
        <f>+'[8]SHS MHE DGH Com Ben Rpt 2013'!G179</f>
        <v>1885.6092879354269</v>
      </c>
      <c r="I42" s="215">
        <f>H42*F$114</f>
        <v>1112.6980408106954</v>
      </c>
      <c r="J42" s="50">
        <f>+'[8]SHS MHE DGH Com Ben Rpt 2013'!I179</f>
        <v>0</v>
      </c>
      <c r="K42" s="216">
        <f t="shared" si="3"/>
        <v>2998.307328746122</v>
      </c>
    </row>
    <row r="43" spans="1:11" ht="18" customHeight="1">
      <c r="A43" s="213" t="s">
        <v>280</v>
      </c>
      <c r="B43" s="49" t="s">
        <v>176</v>
      </c>
      <c r="F43" s="50"/>
      <c r="G43" s="50"/>
      <c r="H43" s="214"/>
      <c r="I43" s="215">
        <v>0</v>
      </c>
      <c r="J43" s="214"/>
      <c r="K43" s="216">
        <f t="shared" si="3"/>
        <v>0</v>
      </c>
    </row>
    <row r="44" spans="1:11" ht="18" customHeight="1">
      <c r="A44" s="213" t="s">
        <v>281</v>
      </c>
      <c r="B44" s="814"/>
      <c r="C44" s="815"/>
      <c r="D44" s="816"/>
      <c r="F44" s="50"/>
      <c r="G44" s="50"/>
      <c r="H44" s="214"/>
      <c r="I44" s="215">
        <v>0</v>
      </c>
      <c r="J44" s="214"/>
      <c r="K44" s="220">
        <f t="shared" si="3"/>
        <v>0</v>
      </c>
    </row>
    <row r="45" spans="1:11" ht="18" customHeight="1">
      <c r="A45" s="213" t="s">
        <v>283</v>
      </c>
      <c r="B45" s="814"/>
      <c r="C45" s="815"/>
      <c r="D45" s="816"/>
      <c r="F45" s="50"/>
      <c r="G45" s="50"/>
      <c r="H45" s="214"/>
      <c r="I45" s="215">
        <v>0</v>
      </c>
      <c r="J45" s="214"/>
      <c r="K45" s="216">
        <f t="shared" si="3"/>
        <v>0</v>
      </c>
    </row>
    <row r="46" spans="1:11" ht="18" customHeight="1">
      <c r="A46" s="213" t="s">
        <v>284</v>
      </c>
      <c r="B46" s="814"/>
      <c r="C46" s="815"/>
      <c r="D46" s="816"/>
      <c r="F46" s="50"/>
      <c r="G46" s="50"/>
      <c r="H46" s="214"/>
      <c r="I46" s="215">
        <v>0</v>
      </c>
      <c r="J46" s="214"/>
      <c r="K46" s="216">
        <f t="shared" si="3"/>
        <v>0</v>
      </c>
    </row>
    <row r="47" spans="1:11" ht="18" customHeight="1">
      <c r="A47" s="213" t="s">
        <v>285</v>
      </c>
      <c r="B47" s="814"/>
      <c r="C47" s="815"/>
      <c r="D47" s="816"/>
      <c r="F47" s="50"/>
      <c r="G47" s="50"/>
      <c r="H47" s="214"/>
      <c r="I47" s="215">
        <v>0</v>
      </c>
      <c r="J47" s="214"/>
      <c r="K47" s="216">
        <f t="shared" si="3"/>
        <v>0</v>
      </c>
    </row>
    <row r="49" spans="1:11" ht="18" customHeight="1">
      <c r="A49" s="212" t="s">
        <v>286</v>
      </c>
      <c r="B49" s="43" t="s">
        <v>177</v>
      </c>
      <c r="E49" s="43" t="s">
        <v>276</v>
      </c>
      <c r="F49" s="64">
        <f t="shared" ref="F49:K49" si="4">SUM(F40:F47)</f>
        <v>4702</v>
      </c>
      <c r="G49" s="64">
        <f t="shared" si="4"/>
        <v>84</v>
      </c>
      <c r="H49" s="216">
        <f t="shared" si="4"/>
        <v>157133.60928793543</v>
      </c>
      <c r="I49" s="216">
        <f t="shared" si="4"/>
        <v>21660.698040810694</v>
      </c>
      <c r="J49" s="216">
        <f t="shared" si="4"/>
        <v>0</v>
      </c>
      <c r="K49" s="216">
        <f t="shared" si="4"/>
        <v>178794.30732874613</v>
      </c>
    </row>
    <row r="50" spans="1:11" ht="18" customHeight="1" thickBot="1">
      <c r="G50" s="65"/>
      <c r="H50" s="218"/>
      <c r="I50" s="218"/>
      <c r="J50" s="218"/>
      <c r="K50" s="218"/>
    </row>
    <row r="51" spans="1:11" ht="42.75" customHeight="1">
      <c r="F51" s="47" t="s">
        <v>145</v>
      </c>
      <c r="G51" s="47" t="s">
        <v>146</v>
      </c>
      <c r="H51" s="211" t="s">
        <v>147</v>
      </c>
      <c r="I51" s="211" t="s">
        <v>148</v>
      </c>
      <c r="J51" s="211" t="s">
        <v>149</v>
      </c>
      <c r="K51" s="211" t="s">
        <v>150</v>
      </c>
    </row>
    <row r="52" spans="1:11" ht="18" customHeight="1">
      <c r="A52" s="212" t="s">
        <v>178</v>
      </c>
      <c r="B52" s="820" t="s">
        <v>179</v>
      </c>
      <c r="C52" s="821"/>
    </row>
    <row r="53" spans="1:11" ht="18" customHeight="1">
      <c r="A53" s="213" t="s">
        <v>287</v>
      </c>
      <c r="B53" s="846" t="s">
        <v>459</v>
      </c>
      <c r="C53" s="823"/>
      <c r="D53" s="813"/>
      <c r="F53" s="50">
        <f>+'[8]DGH '!O87</f>
        <v>528.68108896451145</v>
      </c>
      <c r="G53" s="50">
        <f>+'[8]DGH '!O86</f>
        <v>704.90811861934856</v>
      </c>
      <c r="H53" s="214">
        <f>+'[8]DGH '!K85</f>
        <v>434998.8</v>
      </c>
      <c r="I53" s="215">
        <v>0</v>
      </c>
      <c r="J53" s="214">
        <f>+'[8]DGH '!K84</f>
        <v>0</v>
      </c>
      <c r="K53" s="216">
        <f t="shared" ref="K53:K62" si="5">(H53+I53)-J53</f>
        <v>434998.8</v>
      </c>
    </row>
    <row r="54" spans="1:11" ht="18" customHeight="1">
      <c r="A54" s="213" t="s">
        <v>289</v>
      </c>
      <c r="B54" s="811" t="s">
        <v>460</v>
      </c>
      <c r="C54" s="812"/>
      <c r="D54" s="813"/>
      <c r="F54" s="50">
        <f>+'[8]DGH '!O91</f>
        <v>10950</v>
      </c>
      <c r="G54" s="50">
        <f>+'[8]DGH '!O90</f>
        <v>22045</v>
      </c>
      <c r="H54" s="214">
        <f>+'[8]DGH '!K89</f>
        <v>553292.88</v>
      </c>
      <c r="I54" s="215">
        <v>0</v>
      </c>
      <c r="J54" s="214">
        <f>+'[8]DGH '!M89</f>
        <v>0</v>
      </c>
      <c r="K54" s="216">
        <f t="shared" si="5"/>
        <v>553292.88</v>
      </c>
    </row>
    <row r="55" spans="1:11" ht="18" customHeight="1">
      <c r="A55" s="213" t="s">
        <v>291</v>
      </c>
      <c r="B55" s="817" t="s">
        <v>461</v>
      </c>
      <c r="C55" s="812"/>
      <c r="D55" s="813"/>
      <c r="F55" s="50"/>
      <c r="G55" s="50"/>
      <c r="H55" s="214">
        <f>+[8]MHE!L107</f>
        <v>345110.35500000004</v>
      </c>
      <c r="I55" s="215">
        <v>0</v>
      </c>
      <c r="J55" s="214"/>
      <c r="K55" s="216">
        <f t="shared" si="5"/>
        <v>345110.35500000004</v>
      </c>
    </row>
    <row r="56" spans="1:11" ht="18" customHeight="1">
      <c r="A56" s="213" t="s">
        <v>293</v>
      </c>
      <c r="B56" s="817" t="s">
        <v>462</v>
      </c>
      <c r="C56" s="812"/>
      <c r="D56" s="813"/>
      <c r="F56" s="50"/>
      <c r="G56" s="50"/>
      <c r="H56" s="214">
        <f>+'[8]DGH '!K93+'[8]DGH '!K94</f>
        <v>215300</v>
      </c>
      <c r="I56" s="215">
        <f>H56*F$114</f>
        <v>127048.52999999998</v>
      </c>
      <c r="J56" s="214"/>
      <c r="K56" s="216">
        <f t="shared" si="5"/>
        <v>342348.52999999997</v>
      </c>
    </row>
    <row r="57" spans="1:11" ht="18" customHeight="1">
      <c r="A57" s="213" t="s">
        <v>295</v>
      </c>
      <c r="B57" s="817" t="s">
        <v>463</v>
      </c>
      <c r="C57" s="812"/>
      <c r="D57" s="813"/>
      <c r="F57" s="50"/>
      <c r="G57" s="50"/>
      <c r="H57" s="214">
        <f>+'[8]DGH '!I100</f>
        <v>788188.5</v>
      </c>
      <c r="I57" s="215">
        <f>(+'[8]DGH '!J100-'[8]DGH '!I100)*0</f>
        <v>0</v>
      </c>
      <c r="J57" s="214">
        <f>+'[8]DGH '!K100</f>
        <v>0</v>
      </c>
      <c r="K57" s="216">
        <f t="shared" si="5"/>
        <v>788188.5</v>
      </c>
    </row>
    <row r="58" spans="1:11" ht="18" customHeight="1">
      <c r="A58" s="213" t="s">
        <v>298</v>
      </c>
      <c r="B58" s="817" t="s">
        <v>464</v>
      </c>
      <c r="C58" s="812"/>
      <c r="D58" s="813"/>
      <c r="F58" s="50"/>
      <c r="G58" s="50"/>
      <c r="H58" s="214">
        <f>+'[8]DGH '!I102</f>
        <v>1701238.66</v>
      </c>
      <c r="I58" s="215">
        <f>(+'[8]DGH '!J102-'[8]DGH '!I102)*0</f>
        <v>0</v>
      </c>
      <c r="J58" s="214">
        <f>+'[8]DGH '!K102*0</f>
        <v>0</v>
      </c>
      <c r="K58" s="216">
        <f t="shared" si="5"/>
        <v>1701238.66</v>
      </c>
    </row>
    <row r="59" spans="1:11" ht="18" customHeight="1">
      <c r="A59" s="213" t="s">
        <v>300</v>
      </c>
      <c r="B59" s="811"/>
      <c r="C59" s="812"/>
      <c r="D59" s="813"/>
      <c r="F59" s="50"/>
      <c r="G59" s="50"/>
      <c r="H59" s="214"/>
      <c r="I59" s="215">
        <v>0</v>
      </c>
      <c r="J59" s="214"/>
      <c r="K59" s="216">
        <f t="shared" si="5"/>
        <v>0</v>
      </c>
    </row>
    <row r="60" spans="1:11" ht="18" customHeight="1">
      <c r="A60" s="213" t="s">
        <v>302</v>
      </c>
      <c r="B60" s="104"/>
      <c r="C60" s="105"/>
      <c r="D60" s="106"/>
      <c r="F60" s="50"/>
      <c r="G60" s="50"/>
      <c r="H60" s="214"/>
      <c r="I60" s="215">
        <v>0</v>
      </c>
      <c r="J60" s="214"/>
      <c r="K60" s="216">
        <f t="shared" si="5"/>
        <v>0</v>
      </c>
    </row>
    <row r="61" spans="1:11" ht="18" customHeight="1">
      <c r="A61" s="213" t="s">
        <v>303</v>
      </c>
      <c r="B61" s="104"/>
      <c r="C61" s="105"/>
      <c r="D61" s="106"/>
      <c r="F61" s="50"/>
      <c r="G61" s="50"/>
      <c r="H61" s="214"/>
      <c r="I61" s="215">
        <v>0</v>
      </c>
      <c r="J61" s="214"/>
      <c r="K61" s="216">
        <f t="shared" si="5"/>
        <v>0</v>
      </c>
    </row>
    <row r="62" spans="1:11" ht="18" customHeight="1">
      <c r="A62" s="213" t="s">
        <v>304</v>
      </c>
      <c r="B62" s="811"/>
      <c r="C62" s="812"/>
      <c r="D62" s="813"/>
      <c r="F62" s="50"/>
      <c r="G62" s="50"/>
      <c r="H62" s="214"/>
      <c r="I62" s="215">
        <v>0</v>
      </c>
      <c r="J62" s="214"/>
      <c r="K62" s="216">
        <f t="shared" si="5"/>
        <v>0</v>
      </c>
    </row>
    <row r="63" spans="1:11" ht="18" customHeight="1">
      <c r="A63" s="213"/>
      <c r="I63" s="221"/>
    </row>
    <row r="64" spans="1:11" ht="18" customHeight="1">
      <c r="A64" s="213" t="s">
        <v>305</v>
      </c>
      <c r="B64" s="43" t="s">
        <v>184</v>
      </c>
      <c r="E64" s="43" t="s">
        <v>276</v>
      </c>
      <c r="F64" s="59">
        <f t="shared" ref="F64:K64" si="6">SUM(F53:F62)</f>
        <v>11478.681088964511</v>
      </c>
      <c r="G64" s="59">
        <f t="shared" si="6"/>
        <v>22749.908118619347</v>
      </c>
      <c r="H64" s="216">
        <f t="shared" si="6"/>
        <v>4038129.1950000003</v>
      </c>
      <c r="I64" s="216">
        <f t="shared" si="6"/>
        <v>127048.52999999998</v>
      </c>
      <c r="J64" s="216">
        <f t="shared" si="6"/>
        <v>0</v>
      </c>
      <c r="K64" s="216">
        <f t="shared" si="6"/>
        <v>4165177.7249999996</v>
      </c>
    </row>
    <row r="65" spans="1:11" ht="18" customHeight="1">
      <c r="F65" s="74"/>
      <c r="G65" s="74"/>
      <c r="H65" s="222"/>
      <c r="I65" s="222"/>
      <c r="J65" s="222"/>
      <c r="K65" s="222"/>
    </row>
    <row r="66" spans="1:11" ht="42.75" customHeight="1">
      <c r="F66" s="47" t="s">
        <v>145</v>
      </c>
      <c r="G66" s="47" t="s">
        <v>146</v>
      </c>
      <c r="H66" s="211" t="s">
        <v>147</v>
      </c>
      <c r="I66" s="211" t="s">
        <v>148</v>
      </c>
      <c r="J66" s="211" t="s">
        <v>149</v>
      </c>
      <c r="K66" s="211" t="s">
        <v>150</v>
      </c>
    </row>
    <row r="67" spans="1:11" ht="18" customHeight="1">
      <c r="A67" s="212" t="s">
        <v>185</v>
      </c>
      <c r="B67" s="43" t="s">
        <v>186</v>
      </c>
      <c r="F67" s="75"/>
      <c r="G67" s="75"/>
      <c r="H67" s="223"/>
      <c r="I67" s="224"/>
      <c r="J67" s="223"/>
      <c r="K67" s="223"/>
    </row>
    <row r="68" spans="1:11" ht="18" customHeight="1">
      <c r="A68" s="213" t="s">
        <v>306</v>
      </c>
      <c r="B68" s="40" t="s">
        <v>188</v>
      </c>
      <c r="F68" s="78"/>
      <c r="G68" s="78"/>
      <c r="H68" s="214"/>
      <c r="I68" s="215">
        <v>0</v>
      </c>
      <c r="J68" s="214"/>
      <c r="K68" s="216">
        <f>(H68+I68)-J68</f>
        <v>0</v>
      </c>
    </row>
    <row r="69" spans="1:11" ht="18" customHeight="1">
      <c r="A69" s="213" t="s">
        <v>307</v>
      </c>
      <c r="B69" s="49" t="s">
        <v>190</v>
      </c>
      <c r="F69" s="78"/>
      <c r="G69" s="78"/>
      <c r="H69" s="214"/>
      <c r="I69" s="215">
        <v>0</v>
      </c>
      <c r="J69" s="214"/>
      <c r="K69" s="216">
        <f>(H69+I69)-J69</f>
        <v>0</v>
      </c>
    </row>
    <row r="70" spans="1:11" ht="18" customHeight="1">
      <c r="A70" s="213" t="s">
        <v>308</v>
      </c>
      <c r="B70" s="104"/>
      <c r="C70" s="105"/>
      <c r="D70" s="106"/>
      <c r="E70" s="43"/>
      <c r="F70" s="79"/>
      <c r="G70" s="79"/>
      <c r="H70" s="225"/>
      <c r="I70" s="215">
        <v>0</v>
      </c>
      <c r="J70" s="225"/>
      <c r="K70" s="216">
        <f>(H70+I70)-J70</f>
        <v>0</v>
      </c>
    </row>
    <row r="71" spans="1:11" ht="18" customHeight="1">
      <c r="A71" s="213" t="s">
        <v>309</v>
      </c>
      <c r="B71" s="104"/>
      <c r="C71" s="105"/>
      <c r="D71" s="106"/>
      <c r="E71" s="43"/>
      <c r="F71" s="79"/>
      <c r="G71" s="79"/>
      <c r="H71" s="225"/>
      <c r="I71" s="215">
        <v>0</v>
      </c>
      <c r="J71" s="225"/>
      <c r="K71" s="216">
        <f>(H71+I71)-J71</f>
        <v>0</v>
      </c>
    </row>
    <row r="72" spans="1:11" ht="18" customHeight="1">
      <c r="A72" s="213" t="s">
        <v>310</v>
      </c>
      <c r="B72" s="112"/>
      <c r="C72" s="111"/>
      <c r="D72" s="83"/>
      <c r="E72" s="43"/>
      <c r="F72" s="50"/>
      <c r="G72" s="50"/>
      <c r="H72" s="214"/>
      <c r="I72" s="215">
        <v>0</v>
      </c>
      <c r="J72" s="214"/>
      <c r="K72" s="216">
        <f>(H72+I72)-J72</f>
        <v>0</v>
      </c>
    </row>
    <row r="73" spans="1:11" ht="18" customHeight="1">
      <c r="A73" s="213"/>
      <c r="B73" s="49"/>
      <c r="E73" s="43"/>
      <c r="F73" s="84"/>
      <c r="G73" s="84"/>
      <c r="H73" s="226"/>
      <c r="I73" s="224"/>
      <c r="J73" s="226"/>
      <c r="K73" s="223"/>
    </row>
    <row r="74" spans="1:11" ht="18" customHeight="1">
      <c r="A74" s="212" t="s">
        <v>311</v>
      </c>
      <c r="B74" s="43" t="s">
        <v>191</v>
      </c>
      <c r="E74" s="43" t="s">
        <v>276</v>
      </c>
      <c r="F74" s="86">
        <f t="shared" ref="F74:K74" si="7">SUM(F68:F72)</f>
        <v>0</v>
      </c>
      <c r="G74" s="86">
        <f t="shared" si="7"/>
        <v>0</v>
      </c>
      <c r="H74" s="220">
        <f t="shared" si="7"/>
        <v>0</v>
      </c>
      <c r="I74" s="227">
        <f t="shared" si="7"/>
        <v>0</v>
      </c>
      <c r="J74" s="220">
        <f t="shared" si="7"/>
        <v>0</v>
      </c>
      <c r="K74" s="220">
        <f t="shared" si="7"/>
        <v>0</v>
      </c>
    </row>
    <row r="75" spans="1:11" ht="42.75" customHeight="1">
      <c r="F75" s="47" t="s">
        <v>145</v>
      </c>
      <c r="G75" s="47" t="s">
        <v>146</v>
      </c>
      <c r="H75" s="211" t="s">
        <v>147</v>
      </c>
      <c r="I75" s="211" t="s">
        <v>148</v>
      </c>
      <c r="J75" s="211" t="s">
        <v>149</v>
      </c>
      <c r="K75" s="211" t="s">
        <v>150</v>
      </c>
    </row>
    <row r="76" spans="1:11" ht="18" customHeight="1">
      <c r="A76" s="212" t="s">
        <v>192</v>
      </c>
      <c r="B76" s="43" t="s">
        <v>193</v>
      </c>
    </row>
    <row r="77" spans="1:11" ht="18" customHeight="1">
      <c r="A77" s="213" t="s">
        <v>312</v>
      </c>
      <c r="B77" s="49" t="s">
        <v>195</v>
      </c>
      <c r="F77" s="50">
        <f>+'[8]SHS MHE DGH Com Ben Rpt 2013'!E181</f>
        <v>0</v>
      </c>
      <c r="G77" s="50">
        <f>+'[8]SHS MHE DGH Com Ben Rpt 2013'!F181</f>
        <v>0</v>
      </c>
      <c r="H77" s="50">
        <f>+'[8]SHS MHE DGH Com Ben Rpt 2013'!G181</f>
        <v>6130.2097535395915</v>
      </c>
      <c r="I77" s="215">
        <f>H77*F$114</f>
        <v>3617.4367755637127</v>
      </c>
      <c r="J77" s="50">
        <f>+'[8]SHS MHE DGH Com Ben Rpt 2013'!I181</f>
        <v>0</v>
      </c>
      <c r="K77" s="216">
        <f>(H77+I77)-J77</f>
        <v>9747.6465291033037</v>
      </c>
    </row>
    <row r="78" spans="1:11" ht="18" customHeight="1">
      <c r="A78" s="213" t="s">
        <v>313</v>
      </c>
      <c r="B78" s="49" t="s">
        <v>197</v>
      </c>
      <c r="F78" s="50"/>
      <c r="G78" s="50"/>
      <c r="H78" s="214"/>
      <c r="I78" s="215">
        <v>0</v>
      </c>
      <c r="J78" s="214"/>
      <c r="K78" s="216">
        <f>(H78+I78)-J78</f>
        <v>0</v>
      </c>
    </row>
    <row r="79" spans="1:11" ht="18" customHeight="1">
      <c r="A79" s="213" t="s">
        <v>314</v>
      </c>
      <c r="B79" s="49" t="s">
        <v>199</v>
      </c>
      <c r="F79" s="50"/>
      <c r="G79" s="50"/>
      <c r="H79" s="214"/>
      <c r="I79" s="215">
        <v>0</v>
      </c>
      <c r="J79" s="214"/>
      <c r="K79" s="216">
        <f>(H79+I79)-J79</f>
        <v>0</v>
      </c>
    </row>
    <row r="80" spans="1:11" ht="18" customHeight="1">
      <c r="A80" s="213" t="s">
        <v>315</v>
      </c>
      <c r="B80" s="49" t="s">
        <v>316</v>
      </c>
      <c r="F80" s="50"/>
      <c r="G80" s="50"/>
      <c r="H80" s="214"/>
      <c r="I80" s="215">
        <v>0</v>
      </c>
      <c r="J80" s="214"/>
      <c r="K80" s="216">
        <f>(H80+I80)-J80</f>
        <v>0</v>
      </c>
    </row>
    <row r="81" spans="1:11" ht="18" customHeight="1">
      <c r="A81" s="213"/>
      <c r="K81" s="228"/>
    </row>
    <row r="82" spans="1:11" ht="18" customHeight="1">
      <c r="A82" s="213" t="s">
        <v>317</v>
      </c>
      <c r="B82" s="43" t="s">
        <v>318</v>
      </c>
      <c r="E82" s="43" t="s">
        <v>276</v>
      </c>
      <c r="F82" s="86">
        <f t="shared" ref="F82:K82" si="8">SUM(F77:F80)</f>
        <v>0</v>
      </c>
      <c r="G82" s="86">
        <f t="shared" si="8"/>
        <v>0</v>
      </c>
      <c r="H82" s="220">
        <f t="shared" si="8"/>
        <v>6130.2097535395915</v>
      </c>
      <c r="I82" s="220">
        <f t="shared" si="8"/>
        <v>3617.4367755637127</v>
      </c>
      <c r="J82" s="220">
        <f t="shared" si="8"/>
        <v>0</v>
      </c>
      <c r="K82" s="220">
        <f t="shared" si="8"/>
        <v>9747.6465291033037</v>
      </c>
    </row>
    <row r="83" spans="1:11" ht="18" customHeight="1" thickBot="1">
      <c r="A83" s="213"/>
      <c r="F83" s="65"/>
      <c r="G83" s="65"/>
      <c r="H83" s="218"/>
      <c r="I83" s="218"/>
      <c r="J83" s="218"/>
      <c r="K83" s="218"/>
    </row>
    <row r="84" spans="1:11" ht="42.75" customHeight="1">
      <c r="F84" s="47" t="s">
        <v>145</v>
      </c>
      <c r="G84" s="47" t="s">
        <v>146</v>
      </c>
      <c r="H84" s="211" t="s">
        <v>147</v>
      </c>
      <c r="I84" s="211" t="s">
        <v>148</v>
      </c>
      <c r="J84" s="211" t="s">
        <v>149</v>
      </c>
      <c r="K84" s="211" t="s">
        <v>150</v>
      </c>
    </row>
    <row r="85" spans="1:11" ht="18" customHeight="1">
      <c r="A85" s="212" t="s">
        <v>201</v>
      </c>
      <c r="B85" s="43" t="s">
        <v>202</v>
      </c>
    </row>
    <row r="86" spans="1:11" ht="18" customHeight="1">
      <c r="A86" s="213" t="s">
        <v>319</v>
      </c>
      <c r="B86" s="49" t="s">
        <v>204</v>
      </c>
      <c r="F86" s="50"/>
      <c r="G86" s="50"/>
      <c r="H86" s="214"/>
      <c r="I86" s="215">
        <f t="shared" ref="I86:I96" si="9">H86*F$114</f>
        <v>0</v>
      </c>
      <c r="J86" s="214"/>
      <c r="K86" s="216">
        <f t="shared" ref="K86:K96" si="10">(H86+I86)-J86</f>
        <v>0</v>
      </c>
    </row>
    <row r="87" spans="1:11" ht="18" customHeight="1">
      <c r="A87" s="213" t="s">
        <v>320</v>
      </c>
      <c r="B87" s="49" t="s">
        <v>206</v>
      </c>
      <c r="F87" s="50"/>
      <c r="G87" s="50"/>
      <c r="H87" s="214"/>
      <c r="I87" s="215">
        <f t="shared" si="9"/>
        <v>0</v>
      </c>
      <c r="J87" s="214"/>
      <c r="K87" s="216">
        <f t="shared" si="10"/>
        <v>0</v>
      </c>
    </row>
    <row r="88" spans="1:11" ht="18" customHeight="1">
      <c r="A88" s="213" t="s">
        <v>321</v>
      </c>
      <c r="B88" s="49" t="s">
        <v>208</v>
      </c>
      <c r="F88" s="50"/>
      <c r="G88" s="50"/>
      <c r="H88" s="214"/>
      <c r="I88" s="215">
        <f t="shared" si="9"/>
        <v>0</v>
      </c>
      <c r="J88" s="214"/>
      <c r="K88" s="216">
        <f t="shared" si="10"/>
        <v>0</v>
      </c>
    </row>
    <row r="89" spans="1:11" ht="18" customHeight="1">
      <c r="A89" s="213" t="s">
        <v>322</v>
      </c>
      <c r="B89" s="49" t="s">
        <v>210</v>
      </c>
      <c r="F89" s="50"/>
      <c r="G89" s="50"/>
      <c r="H89" s="214"/>
      <c r="I89" s="215">
        <f t="shared" si="9"/>
        <v>0</v>
      </c>
      <c r="J89" s="214"/>
      <c r="K89" s="216">
        <f t="shared" si="10"/>
        <v>0</v>
      </c>
    </row>
    <row r="90" spans="1:11" ht="18" customHeight="1">
      <c r="A90" s="213" t="s">
        <v>323</v>
      </c>
      <c r="B90" s="818" t="s">
        <v>212</v>
      </c>
      <c r="C90" s="819"/>
      <c r="F90" s="50"/>
      <c r="G90" s="50"/>
      <c r="H90" s="214"/>
      <c r="I90" s="215">
        <f t="shared" si="9"/>
        <v>0</v>
      </c>
      <c r="J90" s="214"/>
      <c r="K90" s="216">
        <f t="shared" si="10"/>
        <v>0</v>
      </c>
    </row>
    <row r="91" spans="1:11" ht="18" customHeight="1">
      <c r="A91" s="213" t="s">
        <v>324</v>
      </c>
      <c r="B91" s="49" t="s">
        <v>214</v>
      </c>
      <c r="F91" s="50">
        <f>+'[8]SHS MHE DGH Com Ben Rpt 2013'!E185</f>
        <v>109</v>
      </c>
      <c r="G91" s="50">
        <f>+'[8]SHS MHE DGH Com Ben Rpt 2013'!F185</f>
        <v>0</v>
      </c>
      <c r="H91" s="50">
        <f>+'[8]SHS MHE DGH Com Ben Rpt 2013'!G185</f>
        <v>8951.2486976823693</v>
      </c>
      <c r="I91" s="215">
        <f t="shared" si="9"/>
        <v>5282.1318565023657</v>
      </c>
      <c r="J91" s="50">
        <f>+'[8]SHS MHE DGH Com Ben Rpt 2013'!I185</f>
        <v>0</v>
      </c>
      <c r="K91" s="216">
        <f t="shared" si="10"/>
        <v>14233.380554184736</v>
      </c>
    </row>
    <row r="92" spans="1:11" ht="18" customHeight="1">
      <c r="A92" s="213" t="s">
        <v>325</v>
      </c>
      <c r="B92" s="49" t="s">
        <v>216</v>
      </c>
      <c r="F92" s="89"/>
      <c r="G92" s="89"/>
      <c r="H92" s="89"/>
      <c r="I92" s="215">
        <f t="shared" si="9"/>
        <v>0</v>
      </c>
      <c r="J92" s="89"/>
      <c r="K92" s="216">
        <f t="shared" si="10"/>
        <v>0</v>
      </c>
    </row>
    <row r="93" spans="1:11" ht="18" customHeight="1">
      <c r="A93" s="213" t="s">
        <v>326</v>
      </c>
      <c r="B93" s="49" t="s">
        <v>218</v>
      </c>
      <c r="F93" s="50">
        <f>+'[8]SHS MHE DGH Com Ben Rpt 2013'!E187</f>
        <v>205</v>
      </c>
      <c r="G93" s="50">
        <f>+'[8]SHS MHE DGH Com Ben Rpt 2013'!F187</f>
        <v>611</v>
      </c>
      <c r="H93" s="50">
        <f>+'[8]SHS MHE DGH Com Ben Rpt 2013'!G187</f>
        <v>8747.7613121549148</v>
      </c>
      <c r="I93" s="215">
        <f t="shared" si="9"/>
        <v>5162.0539503026148</v>
      </c>
      <c r="J93" s="50">
        <f>+'[8]SHS MHE DGH Com Ben Rpt 2013'!I187</f>
        <v>0</v>
      </c>
      <c r="K93" s="216">
        <f t="shared" si="10"/>
        <v>13909.81526245753</v>
      </c>
    </row>
    <row r="94" spans="1:11" ht="18" customHeight="1">
      <c r="A94" s="213" t="s">
        <v>327</v>
      </c>
      <c r="B94" s="811"/>
      <c r="C94" s="812"/>
      <c r="D94" s="813"/>
      <c r="F94" s="50"/>
      <c r="G94" s="50"/>
      <c r="H94" s="214"/>
      <c r="I94" s="215">
        <f t="shared" si="9"/>
        <v>0</v>
      </c>
      <c r="J94" s="214"/>
      <c r="K94" s="216">
        <f t="shared" si="10"/>
        <v>0</v>
      </c>
    </row>
    <row r="95" spans="1:11" ht="18" customHeight="1">
      <c r="A95" s="213" t="s">
        <v>329</v>
      </c>
      <c r="B95" s="811"/>
      <c r="C95" s="812"/>
      <c r="D95" s="813"/>
      <c r="F95" s="50"/>
      <c r="G95" s="50"/>
      <c r="H95" s="214"/>
      <c r="I95" s="215">
        <f t="shared" si="9"/>
        <v>0</v>
      </c>
      <c r="J95" s="214"/>
      <c r="K95" s="216">
        <f t="shared" si="10"/>
        <v>0</v>
      </c>
    </row>
    <row r="96" spans="1:11" ht="18" customHeight="1">
      <c r="A96" s="213" t="s">
        <v>330</v>
      </c>
      <c r="B96" s="811"/>
      <c r="C96" s="812"/>
      <c r="D96" s="813"/>
      <c r="F96" s="50"/>
      <c r="G96" s="50"/>
      <c r="H96" s="214"/>
      <c r="I96" s="215">
        <f t="shared" si="9"/>
        <v>0</v>
      </c>
      <c r="J96" s="214"/>
      <c r="K96" s="216">
        <f t="shared" si="10"/>
        <v>0</v>
      </c>
    </row>
    <row r="97" spans="1:11" ht="18" customHeight="1">
      <c r="A97" s="213"/>
      <c r="B97" s="49"/>
    </row>
    <row r="98" spans="1:11" ht="18" customHeight="1">
      <c r="A98" s="212" t="s">
        <v>331</v>
      </c>
      <c r="B98" s="43" t="s">
        <v>220</v>
      </c>
      <c r="E98" s="43" t="s">
        <v>276</v>
      </c>
      <c r="F98" s="59">
        <f t="shared" ref="F98:K98" si="11">SUM(F86:F96)</f>
        <v>314</v>
      </c>
      <c r="G98" s="59">
        <f t="shared" si="11"/>
        <v>611</v>
      </c>
      <c r="H98" s="216">
        <f t="shared" si="11"/>
        <v>17699.010009837286</v>
      </c>
      <c r="I98" s="216">
        <f t="shared" si="11"/>
        <v>10444.185806804981</v>
      </c>
      <c r="J98" s="216">
        <f t="shared" si="11"/>
        <v>0</v>
      </c>
      <c r="K98" s="216">
        <f t="shared" si="11"/>
        <v>28143.195816642266</v>
      </c>
    </row>
    <row r="99" spans="1:11" ht="18" customHeight="1" thickBot="1">
      <c r="B99" s="43"/>
      <c r="F99" s="65"/>
      <c r="G99" s="65"/>
      <c r="H99" s="218"/>
      <c r="I99" s="218"/>
      <c r="J99" s="218"/>
      <c r="K99" s="218"/>
    </row>
    <row r="100" spans="1:11" ht="42.75" customHeight="1">
      <c r="F100" s="47" t="s">
        <v>145</v>
      </c>
      <c r="G100" s="47" t="s">
        <v>146</v>
      </c>
      <c r="H100" s="211" t="s">
        <v>147</v>
      </c>
      <c r="I100" s="211" t="s">
        <v>148</v>
      </c>
      <c r="J100" s="211" t="s">
        <v>149</v>
      </c>
      <c r="K100" s="211" t="s">
        <v>150</v>
      </c>
    </row>
    <row r="101" spans="1:11" ht="18" customHeight="1">
      <c r="A101" s="212" t="s">
        <v>221</v>
      </c>
      <c r="B101" s="43" t="s">
        <v>222</v>
      </c>
    </row>
    <row r="102" spans="1:11" ht="18" customHeight="1">
      <c r="A102" s="213" t="s">
        <v>332</v>
      </c>
      <c r="B102" s="49" t="s">
        <v>224</v>
      </c>
      <c r="F102" s="50">
        <f>+'[8]SHS MHE DGH Com Ben Rpt 2013'!E189</f>
        <v>200</v>
      </c>
      <c r="G102" s="50">
        <f>+'[8]SHS MHE DGH Com Ben Rpt 2013'!F189</f>
        <v>0</v>
      </c>
      <c r="H102" s="50">
        <f>+'[8]SHS MHE DGH Com Ben Rpt 2013'!G189</f>
        <v>7922.4144963001809</v>
      </c>
      <c r="I102" s="215">
        <f>H102*F$114</f>
        <v>4675.0167942667367</v>
      </c>
      <c r="J102" s="50">
        <f>+'[8]SHS MHE DGH Com Ben Rpt 2013'!I189</f>
        <v>0</v>
      </c>
      <c r="K102" s="216">
        <f>(H102+I102)-J102</f>
        <v>12597.431290566918</v>
      </c>
    </row>
    <row r="103" spans="1:11" ht="18" customHeight="1">
      <c r="A103" s="213" t="s">
        <v>333</v>
      </c>
      <c r="B103" s="818" t="s">
        <v>226</v>
      </c>
      <c r="C103" s="818"/>
      <c r="F103" s="50">
        <f>+'[8]SHS MHE DGH Com Ben Rpt 2013'!E190</f>
        <v>375</v>
      </c>
      <c r="G103" s="50">
        <f>+'[8]SHS MHE DGH Com Ben Rpt 2013'!F190</f>
        <v>0</v>
      </c>
      <c r="H103" s="50">
        <f>+'[8]SHS MHE DGH Com Ben Rpt 2013'!G190</f>
        <v>16002.00240028338</v>
      </c>
      <c r="I103" s="215">
        <f>H103*F$114</f>
        <v>9442.781616407221</v>
      </c>
      <c r="J103" s="50">
        <f>+'[8]SHS MHE DGH Com Ben Rpt 2013'!I190</f>
        <v>0</v>
      </c>
      <c r="K103" s="216">
        <f>(H103+I103)-J103</f>
        <v>25444.784016690603</v>
      </c>
    </row>
    <row r="104" spans="1:11" ht="18" customHeight="1">
      <c r="A104" s="213" t="s">
        <v>334</v>
      </c>
      <c r="B104" s="811"/>
      <c r="C104" s="812"/>
      <c r="D104" s="813"/>
      <c r="F104" s="50"/>
      <c r="G104" s="50"/>
      <c r="H104" s="214"/>
      <c r="I104" s="215">
        <f>H104*F$114</f>
        <v>0</v>
      </c>
      <c r="J104" s="214"/>
      <c r="K104" s="216">
        <f>(H104+I104)-J104</f>
        <v>0</v>
      </c>
    </row>
    <row r="105" spans="1:11" ht="18" customHeight="1">
      <c r="A105" s="213" t="s">
        <v>336</v>
      </c>
      <c r="B105" s="811"/>
      <c r="C105" s="812"/>
      <c r="D105" s="813"/>
      <c r="F105" s="50"/>
      <c r="G105" s="50"/>
      <c r="H105" s="214"/>
      <c r="I105" s="215">
        <f>H105*F$114</f>
        <v>0</v>
      </c>
      <c r="J105" s="214"/>
      <c r="K105" s="216">
        <f>(H105+I105)-J105</f>
        <v>0</v>
      </c>
    </row>
    <row r="106" spans="1:11" ht="18" customHeight="1">
      <c r="A106" s="213" t="s">
        <v>337</v>
      </c>
      <c r="B106" s="811"/>
      <c r="C106" s="812"/>
      <c r="D106" s="813"/>
      <c r="F106" s="50"/>
      <c r="G106" s="50"/>
      <c r="H106" s="214"/>
      <c r="I106" s="215">
        <f>H106*F$114</f>
        <v>0</v>
      </c>
      <c r="J106" s="214"/>
      <c r="K106" s="216">
        <f>(H106+I106)-J106</f>
        <v>0</v>
      </c>
    </row>
    <row r="107" spans="1:11" ht="18" customHeight="1">
      <c r="B107" s="43"/>
    </row>
    <row r="108" spans="1:11" ht="18" customHeight="1">
      <c r="A108" s="212" t="s">
        <v>338</v>
      </c>
      <c r="B108" s="43" t="s">
        <v>229</v>
      </c>
      <c r="E108" s="43" t="s">
        <v>276</v>
      </c>
      <c r="F108" s="59">
        <f t="shared" ref="F108:K108" si="12">SUM(F102:F106)</f>
        <v>575</v>
      </c>
      <c r="G108" s="59">
        <f t="shared" si="12"/>
        <v>0</v>
      </c>
      <c r="H108" s="216">
        <f t="shared" si="12"/>
        <v>23924.41689658356</v>
      </c>
      <c r="I108" s="216">
        <f t="shared" si="12"/>
        <v>14117.798410673957</v>
      </c>
      <c r="J108" s="216">
        <f t="shared" si="12"/>
        <v>0</v>
      </c>
      <c r="K108" s="216">
        <f t="shared" si="12"/>
        <v>38042.215307257517</v>
      </c>
    </row>
    <row r="109" spans="1:11" ht="18" customHeight="1" thickBot="1">
      <c r="A109" s="229"/>
      <c r="B109" s="92"/>
      <c r="C109" s="93"/>
      <c r="D109" s="93"/>
      <c r="E109" s="93"/>
      <c r="F109" s="65"/>
      <c r="G109" s="65"/>
      <c r="H109" s="218"/>
      <c r="I109" s="218"/>
      <c r="J109" s="218"/>
      <c r="K109" s="218"/>
    </row>
    <row r="110" spans="1:11" ht="18" customHeight="1">
      <c r="A110" s="212" t="s">
        <v>230</v>
      </c>
      <c r="B110" s="43" t="s">
        <v>231</v>
      </c>
    </row>
    <row r="111" spans="1:11" ht="18" customHeight="1">
      <c r="A111" s="212" t="s">
        <v>339</v>
      </c>
      <c r="B111" s="43" t="s">
        <v>232</v>
      </c>
      <c r="E111" s="43" t="s">
        <v>276</v>
      </c>
      <c r="F111" s="230">
        <f>+'[8]UMMS FSS FIN DATA 2013'!R27*1000</f>
        <v>2768000</v>
      </c>
    </row>
    <row r="112" spans="1:11" ht="18" customHeight="1">
      <c r="B112" s="43"/>
      <c r="E112" s="43"/>
    </row>
    <row r="113" spans="1:6" s="40" customFormat="1">
      <c r="A113" s="212"/>
      <c r="B113" s="43" t="s">
        <v>233</v>
      </c>
    </row>
    <row r="114" spans="1:6" s="40" customFormat="1">
      <c r="A114" s="213" t="s">
        <v>340</v>
      </c>
      <c r="B114" s="49" t="s">
        <v>341</v>
      </c>
      <c r="F114" s="94">
        <f>+'[8]UMMS FSS FIN DATA 2013'!AZ17</f>
        <v>0.59009999999999996</v>
      </c>
    </row>
    <row r="115" spans="1:6" s="40" customFormat="1">
      <c r="A115" s="213"/>
      <c r="B115" s="43"/>
    </row>
    <row r="116" spans="1:6" s="40" customFormat="1">
      <c r="A116" s="213" t="s">
        <v>234</v>
      </c>
      <c r="B116" s="43" t="s">
        <v>235</v>
      </c>
    </row>
    <row r="117" spans="1:6" s="40" customFormat="1">
      <c r="A117" s="213" t="s">
        <v>342</v>
      </c>
      <c r="B117" s="49" t="s">
        <v>236</v>
      </c>
      <c r="F117" s="230">
        <f>+'[8]UMMS FSS FIN DATA 2013'!R8</f>
        <v>48191000</v>
      </c>
    </row>
    <row r="118" spans="1:6" s="40" customFormat="1">
      <c r="A118" s="213" t="s">
        <v>343</v>
      </c>
      <c r="B118" s="40" t="s">
        <v>237</v>
      </c>
      <c r="F118" s="230">
        <f>+'[8]UMMS FSS FIN DATA 2013'!R9</f>
        <v>393000</v>
      </c>
    </row>
    <row r="119" spans="1:6" s="40" customFormat="1">
      <c r="A119" s="213" t="s">
        <v>344</v>
      </c>
      <c r="B119" s="43" t="s">
        <v>238</v>
      </c>
      <c r="F119" s="231">
        <f>SUM(F117:F118)</f>
        <v>48584000</v>
      </c>
    </row>
    <row r="120" spans="1:6" s="40" customFormat="1">
      <c r="A120" s="213"/>
      <c r="B120" s="43"/>
      <c r="F120" s="133"/>
    </row>
    <row r="121" spans="1:6" s="40" customFormat="1">
      <c r="A121" s="213" t="s">
        <v>345</v>
      </c>
      <c r="B121" s="43" t="s">
        <v>346</v>
      </c>
      <c r="F121" s="230">
        <f>+'[8]UMMS FSS FIN DATA 2013'!R12</f>
        <v>42329000</v>
      </c>
    </row>
    <row r="122" spans="1:6" s="40" customFormat="1">
      <c r="A122" s="213"/>
      <c r="F122" s="133"/>
    </row>
    <row r="123" spans="1:6" s="40" customFormat="1">
      <c r="A123" s="213" t="s">
        <v>347</v>
      </c>
      <c r="B123" s="43" t="s">
        <v>348</v>
      </c>
      <c r="F123" s="230">
        <f>-F121+F119</f>
        <v>6255000</v>
      </c>
    </row>
    <row r="124" spans="1:6" s="40" customFormat="1">
      <c r="A124" s="213"/>
      <c r="F124" s="133"/>
    </row>
    <row r="125" spans="1:6" s="40" customFormat="1">
      <c r="A125" s="213" t="s">
        <v>349</v>
      </c>
      <c r="B125" s="43" t="s">
        <v>350</v>
      </c>
      <c r="F125" s="230">
        <f>+'[8]UMMS FSS FIN DATA 2013'!R16</f>
        <v>0</v>
      </c>
    </row>
    <row r="126" spans="1:6" s="40" customFormat="1">
      <c r="A126" s="213"/>
      <c r="F126" s="133"/>
    </row>
    <row r="127" spans="1:6" s="40" customFormat="1">
      <c r="A127" s="213" t="s">
        <v>351</v>
      </c>
      <c r="B127" s="43" t="s">
        <v>352</v>
      </c>
      <c r="F127" s="230">
        <f>+F123+F125</f>
        <v>6255000</v>
      </c>
    </row>
    <row r="128" spans="1:6" s="40" customFormat="1">
      <c r="A128" s="213"/>
    </row>
    <row r="129" spans="1:11" ht="42.75" customHeight="1">
      <c r="F129" s="47" t="s">
        <v>145</v>
      </c>
      <c r="G129" s="47" t="s">
        <v>146</v>
      </c>
      <c r="H129" s="211" t="s">
        <v>147</v>
      </c>
      <c r="I129" s="211" t="s">
        <v>148</v>
      </c>
      <c r="J129" s="211" t="s">
        <v>149</v>
      </c>
      <c r="K129" s="211" t="s">
        <v>150</v>
      </c>
    </row>
    <row r="130" spans="1:11" ht="18" customHeight="1">
      <c r="A130" s="212" t="s">
        <v>239</v>
      </c>
      <c r="B130" s="43" t="s">
        <v>240</v>
      </c>
    </row>
    <row r="131" spans="1:11" ht="18" customHeight="1">
      <c r="A131" s="213" t="s">
        <v>353</v>
      </c>
      <c r="B131" s="40" t="s">
        <v>242</v>
      </c>
      <c r="F131" s="50"/>
      <c r="G131" s="50"/>
      <c r="H131" s="214"/>
      <c r="I131" s="215">
        <v>0</v>
      </c>
      <c r="J131" s="214"/>
      <c r="K131" s="216">
        <f>(H131+I131)-J131</f>
        <v>0</v>
      </c>
    </row>
    <row r="132" spans="1:11" ht="18" customHeight="1">
      <c r="A132" s="213" t="s">
        <v>354</v>
      </c>
      <c r="B132" s="40" t="s">
        <v>128</v>
      </c>
      <c r="F132" s="50"/>
      <c r="G132" s="50"/>
      <c r="H132" s="214"/>
      <c r="I132" s="215">
        <v>0</v>
      </c>
      <c r="J132" s="214"/>
      <c r="K132" s="216">
        <f>(H132+I132)-J132</f>
        <v>0</v>
      </c>
    </row>
    <row r="133" spans="1:11" ht="18" customHeight="1">
      <c r="A133" s="213" t="s">
        <v>355</v>
      </c>
      <c r="B133" s="814"/>
      <c r="C133" s="815"/>
      <c r="D133" s="816"/>
      <c r="F133" s="50"/>
      <c r="G133" s="50"/>
      <c r="H133" s="214"/>
      <c r="I133" s="215">
        <v>0</v>
      </c>
      <c r="J133" s="214"/>
      <c r="K133" s="216">
        <f>(H133+I133)-J133</f>
        <v>0</v>
      </c>
    </row>
    <row r="134" spans="1:11" ht="18" customHeight="1">
      <c r="A134" s="213" t="s">
        <v>356</v>
      </c>
      <c r="B134" s="814"/>
      <c r="C134" s="815"/>
      <c r="D134" s="816"/>
      <c r="F134" s="50"/>
      <c r="G134" s="50"/>
      <c r="H134" s="214"/>
      <c r="I134" s="215">
        <v>0</v>
      </c>
      <c r="J134" s="214"/>
      <c r="K134" s="216">
        <f>(H134+I134)-J134</f>
        <v>0</v>
      </c>
    </row>
    <row r="135" spans="1:11" ht="18" customHeight="1">
      <c r="A135" s="213" t="s">
        <v>357</v>
      </c>
      <c r="B135" s="814"/>
      <c r="C135" s="815"/>
      <c r="D135" s="816"/>
      <c r="F135" s="50"/>
      <c r="G135" s="50"/>
      <c r="H135" s="214"/>
      <c r="I135" s="215">
        <v>0</v>
      </c>
      <c r="J135" s="214"/>
      <c r="K135" s="216">
        <f>(H135+I135)-J135</f>
        <v>0</v>
      </c>
    </row>
    <row r="136" spans="1:11" ht="18" customHeight="1">
      <c r="A136" s="212"/>
    </row>
    <row r="137" spans="1:11" ht="18" customHeight="1">
      <c r="A137" s="212" t="s">
        <v>358</v>
      </c>
      <c r="B137" s="43" t="s">
        <v>359</v>
      </c>
      <c r="F137" s="59">
        <f t="shared" ref="F137:K137" si="13">SUM(F131:F135)</f>
        <v>0</v>
      </c>
      <c r="G137" s="59">
        <f t="shared" si="13"/>
        <v>0</v>
      </c>
      <c r="H137" s="216">
        <f t="shared" si="13"/>
        <v>0</v>
      </c>
      <c r="I137" s="216">
        <f t="shared" si="13"/>
        <v>0</v>
      </c>
      <c r="J137" s="216">
        <f t="shared" si="13"/>
        <v>0</v>
      </c>
      <c r="K137" s="216">
        <f t="shared" si="13"/>
        <v>0</v>
      </c>
    </row>
    <row r="138" spans="1:11" ht="18" customHeight="1">
      <c r="A138" s="232"/>
    </row>
    <row r="139" spans="1:11" ht="42.75" customHeight="1">
      <c r="F139" s="47" t="s">
        <v>145</v>
      </c>
      <c r="G139" s="47" t="s">
        <v>146</v>
      </c>
      <c r="H139" s="211" t="s">
        <v>147</v>
      </c>
      <c r="I139" s="211" t="s">
        <v>148</v>
      </c>
      <c r="J139" s="211" t="s">
        <v>149</v>
      </c>
      <c r="K139" s="211" t="s">
        <v>150</v>
      </c>
    </row>
    <row r="140" spans="1:11" ht="18" customHeight="1">
      <c r="A140" s="212" t="s">
        <v>244</v>
      </c>
      <c r="B140" s="43" t="s">
        <v>245</v>
      </c>
    </row>
    <row r="141" spans="1:11" ht="18" customHeight="1">
      <c r="A141" s="213" t="s">
        <v>275</v>
      </c>
      <c r="B141" s="43" t="s">
        <v>246</v>
      </c>
      <c r="F141" s="95">
        <f t="shared" ref="F141:K141" si="14">F36</f>
        <v>2</v>
      </c>
      <c r="G141" s="95">
        <f t="shared" si="14"/>
        <v>8</v>
      </c>
      <c r="H141" s="233">
        <f t="shared" si="14"/>
        <v>85.344012801511354</v>
      </c>
      <c r="I141" s="233">
        <f t="shared" si="14"/>
        <v>50.36150195417185</v>
      </c>
      <c r="J141" s="233">
        <f t="shared" si="14"/>
        <v>0</v>
      </c>
      <c r="K141" s="233">
        <f t="shared" si="14"/>
        <v>135.7055147556832</v>
      </c>
    </row>
    <row r="142" spans="1:11" ht="18" customHeight="1">
      <c r="A142" s="213" t="s">
        <v>286</v>
      </c>
      <c r="B142" s="43" t="s">
        <v>125</v>
      </c>
      <c r="F142" s="95">
        <f t="shared" ref="F142:K142" si="15">F49</f>
        <v>4702</v>
      </c>
      <c r="G142" s="95">
        <f t="shared" si="15"/>
        <v>84</v>
      </c>
      <c r="H142" s="233">
        <f t="shared" si="15"/>
        <v>157133.60928793543</v>
      </c>
      <c r="I142" s="233">
        <f t="shared" si="15"/>
        <v>21660.698040810694</v>
      </c>
      <c r="J142" s="233">
        <f t="shared" si="15"/>
        <v>0</v>
      </c>
      <c r="K142" s="233">
        <f t="shared" si="15"/>
        <v>178794.30732874613</v>
      </c>
    </row>
    <row r="143" spans="1:11" ht="18" customHeight="1">
      <c r="A143" s="213" t="s">
        <v>305</v>
      </c>
      <c r="B143" s="43" t="s">
        <v>247</v>
      </c>
      <c r="F143" s="95">
        <f t="shared" ref="F143:K143" si="16">F64</f>
        <v>11478.681088964511</v>
      </c>
      <c r="G143" s="95">
        <f t="shared" si="16"/>
        <v>22749.908118619347</v>
      </c>
      <c r="H143" s="233">
        <f t="shared" si="16"/>
        <v>4038129.1950000003</v>
      </c>
      <c r="I143" s="233">
        <f t="shared" si="16"/>
        <v>127048.52999999998</v>
      </c>
      <c r="J143" s="233">
        <f t="shared" si="16"/>
        <v>0</v>
      </c>
      <c r="K143" s="233">
        <f t="shared" si="16"/>
        <v>4165177.7249999996</v>
      </c>
    </row>
    <row r="144" spans="1:11" ht="18" customHeight="1">
      <c r="A144" s="213" t="s">
        <v>311</v>
      </c>
      <c r="B144" s="43" t="s">
        <v>127</v>
      </c>
      <c r="F144" s="95">
        <f t="shared" ref="F144:K144" si="17">F74</f>
        <v>0</v>
      </c>
      <c r="G144" s="95">
        <f t="shared" si="17"/>
        <v>0</v>
      </c>
      <c r="H144" s="233">
        <f t="shared" si="17"/>
        <v>0</v>
      </c>
      <c r="I144" s="233">
        <f t="shared" si="17"/>
        <v>0</v>
      </c>
      <c r="J144" s="233">
        <f t="shared" si="17"/>
        <v>0</v>
      </c>
      <c r="K144" s="233">
        <f t="shared" si="17"/>
        <v>0</v>
      </c>
    </row>
    <row r="145" spans="1:11" ht="18" customHeight="1">
      <c r="A145" s="213" t="s">
        <v>317</v>
      </c>
      <c r="B145" s="43" t="s">
        <v>248</v>
      </c>
      <c r="F145" s="95">
        <f t="shared" ref="F145:K145" si="18">F82</f>
        <v>0</v>
      </c>
      <c r="G145" s="95">
        <f t="shared" si="18"/>
        <v>0</v>
      </c>
      <c r="H145" s="233">
        <f t="shared" si="18"/>
        <v>6130.2097535395915</v>
      </c>
      <c r="I145" s="233">
        <f t="shared" si="18"/>
        <v>3617.4367755637127</v>
      </c>
      <c r="J145" s="233">
        <f t="shared" si="18"/>
        <v>0</v>
      </c>
      <c r="K145" s="233">
        <f t="shared" si="18"/>
        <v>9747.6465291033037</v>
      </c>
    </row>
    <row r="146" spans="1:11" ht="18" customHeight="1">
      <c r="A146" s="213" t="s">
        <v>331</v>
      </c>
      <c r="B146" s="43" t="s">
        <v>249</v>
      </c>
      <c r="F146" s="95">
        <f t="shared" ref="F146:K146" si="19">F98</f>
        <v>314</v>
      </c>
      <c r="G146" s="95">
        <f t="shared" si="19"/>
        <v>611</v>
      </c>
      <c r="H146" s="233">
        <f t="shared" si="19"/>
        <v>17699.010009837286</v>
      </c>
      <c r="I146" s="233">
        <f t="shared" si="19"/>
        <v>10444.185806804981</v>
      </c>
      <c r="J146" s="233">
        <f t="shared" si="19"/>
        <v>0</v>
      </c>
      <c r="K146" s="233">
        <f t="shared" si="19"/>
        <v>28143.195816642266</v>
      </c>
    </row>
    <row r="147" spans="1:11" ht="18" customHeight="1">
      <c r="A147" s="213" t="s">
        <v>338</v>
      </c>
      <c r="B147" s="43" t="s">
        <v>129</v>
      </c>
      <c r="F147" s="59">
        <f t="shared" ref="F147:K147" si="20">F108</f>
        <v>575</v>
      </c>
      <c r="G147" s="59">
        <f t="shared" si="20"/>
        <v>0</v>
      </c>
      <c r="H147" s="216">
        <f t="shared" si="20"/>
        <v>23924.41689658356</v>
      </c>
      <c r="I147" s="216">
        <f t="shared" si="20"/>
        <v>14117.798410673957</v>
      </c>
      <c r="J147" s="216">
        <f t="shared" si="20"/>
        <v>0</v>
      </c>
      <c r="K147" s="216">
        <f t="shared" si="20"/>
        <v>38042.215307257517</v>
      </c>
    </row>
    <row r="148" spans="1:11" ht="18" customHeight="1">
      <c r="A148" s="213" t="s">
        <v>339</v>
      </c>
      <c r="B148" s="43" t="s">
        <v>131</v>
      </c>
      <c r="F148" s="96" t="s">
        <v>122</v>
      </c>
      <c r="G148" s="96" t="s">
        <v>122</v>
      </c>
      <c r="H148" s="234" t="s">
        <v>122</v>
      </c>
      <c r="I148" s="234" t="s">
        <v>122</v>
      </c>
      <c r="J148" s="234" t="s">
        <v>122</v>
      </c>
      <c r="K148" s="233">
        <f>F111</f>
        <v>2768000</v>
      </c>
    </row>
    <row r="149" spans="1:11" ht="18" customHeight="1">
      <c r="A149" s="213" t="s">
        <v>358</v>
      </c>
      <c r="B149" s="43" t="s">
        <v>250</v>
      </c>
      <c r="F149" s="59">
        <f t="shared" ref="F149:K149" si="21">F137</f>
        <v>0</v>
      </c>
      <c r="G149" s="59">
        <f t="shared" si="21"/>
        <v>0</v>
      </c>
      <c r="H149" s="216">
        <f t="shared" si="21"/>
        <v>0</v>
      </c>
      <c r="I149" s="216">
        <f t="shared" si="21"/>
        <v>0</v>
      </c>
      <c r="J149" s="216">
        <f t="shared" si="21"/>
        <v>0</v>
      </c>
      <c r="K149" s="216">
        <f t="shared" si="21"/>
        <v>0</v>
      </c>
    </row>
    <row r="150" spans="1:11" ht="18" customHeight="1">
      <c r="A150" s="213" t="s">
        <v>259</v>
      </c>
      <c r="B150" s="43" t="s">
        <v>251</v>
      </c>
      <c r="F150" s="96" t="s">
        <v>122</v>
      </c>
      <c r="G150" s="96" t="s">
        <v>122</v>
      </c>
      <c r="H150" s="216">
        <f>H18</f>
        <v>1531302</v>
      </c>
      <c r="I150" s="216">
        <f>I18</f>
        <v>0</v>
      </c>
      <c r="J150" s="216">
        <f>J18</f>
        <v>1309455</v>
      </c>
      <c r="K150" s="216">
        <f>K18</f>
        <v>221847</v>
      </c>
    </row>
    <row r="151" spans="1:11" ht="18" customHeight="1">
      <c r="B151" s="43"/>
      <c r="F151" s="74"/>
      <c r="G151" s="74"/>
      <c r="H151" s="222"/>
      <c r="I151" s="222"/>
      <c r="J151" s="222"/>
      <c r="K151" s="222"/>
    </row>
    <row r="152" spans="1:11" ht="18" customHeight="1">
      <c r="A152" s="212" t="s">
        <v>360</v>
      </c>
      <c r="B152" s="43" t="s">
        <v>245</v>
      </c>
      <c r="F152" s="99">
        <f t="shared" ref="F152:K152" si="22">SUM(F141:F150)</f>
        <v>17071.681088964513</v>
      </c>
      <c r="G152" s="99">
        <f t="shared" si="22"/>
        <v>23452.908118619347</v>
      </c>
      <c r="H152" s="235">
        <f t="shared" si="22"/>
        <v>5774403.7849606974</v>
      </c>
      <c r="I152" s="235">
        <f t="shared" si="22"/>
        <v>176939.01053580749</v>
      </c>
      <c r="J152" s="235">
        <f t="shared" si="22"/>
        <v>1309455</v>
      </c>
      <c r="K152" s="235">
        <f t="shared" si="22"/>
        <v>7409887.7954965048</v>
      </c>
    </row>
    <row r="154" spans="1:11" ht="18" customHeight="1">
      <c r="A154" s="212" t="s">
        <v>361</v>
      </c>
      <c r="B154" s="43" t="s">
        <v>252</v>
      </c>
      <c r="F154" s="165">
        <f>K152/F121</f>
        <v>0.17505463855740758</v>
      </c>
    </row>
    <row r="155" spans="1:11" ht="18" customHeight="1">
      <c r="A155" s="212" t="s">
        <v>362</v>
      </c>
      <c r="B155" s="43" t="s">
        <v>253</v>
      </c>
      <c r="F155" s="165">
        <f>K152/F127</f>
        <v>1.1846343398075947</v>
      </c>
      <c r="G155" s="43"/>
    </row>
    <row r="156" spans="1:11" ht="18" customHeight="1">
      <c r="G156" s="43"/>
    </row>
  </sheetData>
  <mergeCells count="36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59:D59"/>
    <mergeCell ref="B44:D44"/>
    <mergeCell ref="B45:D45"/>
    <mergeCell ref="B46:D46"/>
    <mergeCell ref="B47:D47"/>
    <mergeCell ref="B52:C52"/>
    <mergeCell ref="B53:D53"/>
    <mergeCell ref="B54:D54"/>
    <mergeCell ref="B55:D55"/>
    <mergeCell ref="B56:D56"/>
    <mergeCell ref="B57:D57"/>
    <mergeCell ref="B58:D58"/>
    <mergeCell ref="B135:D135"/>
    <mergeCell ref="B62:D62"/>
    <mergeCell ref="B90:C90"/>
    <mergeCell ref="B94:D94"/>
    <mergeCell ref="B95:D95"/>
    <mergeCell ref="B96:D96"/>
    <mergeCell ref="B103:C103"/>
    <mergeCell ref="B104:D104"/>
    <mergeCell ref="B105:D105"/>
    <mergeCell ref="B106:D106"/>
    <mergeCell ref="B133:D133"/>
    <mergeCell ref="B134:D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zoomScaleNormal="100" workbookViewId="0">
      <selection sqref="A1:XFD1048576"/>
    </sheetView>
  </sheetViews>
  <sheetFormatPr defaultRowHeight="15"/>
  <cols>
    <col min="1" max="1" width="10.42578125" customWidth="1"/>
    <col min="2" max="2" width="40.28515625" customWidth="1"/>
    <col min="3" max="3" width="13.85546875" style="9" bestFit="1" customWidth="1"/>
    <col min="4" max="4" width="13.28515625" style="9" bestFit="1" customWidth="1"/>
    <col min="5" max="5" width="15.28515625" bestFit="1" customWidth="1"/>
    <col min="10" max="10" width="14.7109375" customWidth="1"/>
    <col min="14" max="14" width="13.85546875" style="9" bestFit="1" customWidth="1"/>
    <col min="15" max="15" width="11.7109375" customWidth="1"/>
    <col min="19" max="19" width="15.42578125" customWidth="1"/>
    <col min="20" max="20" width="10.5703125" bestFit="1" customWidth="1"/>
    <col min="21" max="21" width="10.5703125" style="9" bestFit="1" customWidth="1"/>
    <col min="22" max="22" width="11.5703125" bestFit="1" customWidth="1"/>
    <col min="26" max="26" width="16.140625" customWidth="1"/>
  </cols>
  <sheetData>
    <row r="1" spans="1:26" s="10" customFormat="1" ht="54.75" customHeight="1" thickBot="1">
      <c r="A1" s="10" t="s">
        <v>65</v>
      </c>
      <c r="B1" s="696" t="s">
        <v>915</v>
      </c>
      <c r="C1" s="697" t="s">
        <v>58</v>
      </c>
      <c r="D1" s="697" t="s">
        <v>63</v>
      </c>
      <c r="E1" s="698" t="s">
        <v>64</v>
      </c>
      <c r="N1" s="680" t="s">
        <v>979</v>
      </c>
      <c r="O1" s="682" t="s">
        <v>926</v>
      </c>
      <c r="P1" s="681" t="s">
        <v>924</v>
      </c>
      <c r="U1" s="11"/>
    </row>
    <row r="2" spans="1:26">
      <c r="A2">
        <v>1</v>
      </c>
      <c r="B2" s="699" t="s">
        <v>55</v>
      </c>
      <c r="C2" s="675"/>
      <c r="D2" s="700">
        <f>+J2</f>
        <v>275699.7</v>
      </c>
      <c r="E2" s="701">
        <f t="shared" ref="E2:E47" si="0">C2+D2</f>
        <v>275699.7</v>
      </c>
      <c r="F2">
        <v>1</v>
      </c>
      <c r="H2" s="683" t="s">
        <v>75</v>
      </c>
      <c r="I2" s="689">
        <v>1</v>
      </c>
      <c r="J2" s="690">
        <v>275699.7</v>
      </c>
      <c r="K2" s="694">
        <f>+A2-I2</f>
        <v>0</v>
      </c>
      <c r="N2" s="673"/>
      <c r="O2" s="6"/>
      <c r="P2" s="674"/>
      <c r="X2" s="683"/>
      <c r="Y2" s="684"/>
      <c r="Z2" s="685" t="s">
        <v>927</v>
      </c>
    </row>
    <row r="3" spans="1:26">
      <c r="A3">
        <v>2</v>
      </c>
      <c r="B3" s="699" t="s">
        <v>50</v>
      </c>
      <c r="C3" s="675">
        <v>87138634.855519816</v>
      </c>
      <c r="D3" s="700">
        <f t="shared" ref="D3:D47" si="1">+J3</f>
        <v>1113137</v>
      </c>
      <c r="E3" s="701">
        <f t="shared" si="0"/>
        <v>88251771.855519816</v>
      </c>
      <c r="F3">
        <v>2</v>
      </c>
      <c r="H3" s="683" t="s">
        <v>930</v>
      </c>
      <c r="I3" s="689">
        <v>2</v>
      </c>
      <c r="J3" s="690">
        <v>1113137</v>
      </c>
      <c r="K3" s="694">
        <f t="shared" ref="K3:K47" si="2">+A3-I3</f>
        <v>0</v>
      </c>
      <c r="N3" s="673">
        <v>78475049.819372982</v>
      </c>
      <c r="O3" s="675">
        <f>+C3-N3</f>
        <v>8663585.0361468345</v>
      </c>
      <c r="P3" s="676">
        <f>+O3/N3</f>
        <v>0.11039922951419487</v>
      </c>
      <c r="X3" s="686" t="s">
        <v>819</v>
      </c>
      <c r="Y3" s="687" t="s">
        <v>928</v>
      </c>
      <c r="Z3" s="688" t="s">
        <v>929</v>
      </c>
    </row>
    <row r="4" spans="1:26">
      <c r="A4">
        <v>3</v>
      </c>
      <c r="B4" s="699" t="s">
        <v>36</v>
      </c>
      <c r="C4" s="675">
        <v>3651966.0002529514</v>
      </c>
      <c r="D4" s="700">
        <f t="shared" si="1"/>
        <v>238526</v>
      </c>
      <c r="E4" s="701">
        <f t="shared" si="0"/>
        <v>3890492.0002529514</v>
      </c>
      <c r="F4">
        <v>3</v>
      </c>
      <c r="H4" s="683" t="s">
        <v>931</v>
      </c>
      <c r="I4" s="689">
        <v>3</v>
      </c>
      <c r="J4" s="690">
        <v>238526</v>
      </c>
      <c r="K4" s="694">
        <f t="shared" si="2"/>
        <v>0</v>
      </c>
      <c r="N4" s="673">
        <v>3573289.7713328702</v>
      </c>
      <c r="O4" s="675">
        <f t="shared" ref="O4:O5" si="3">+C4-N4</f>
        <v>78676.228920081165</v>
      </c>
      <c r="P4" s="676">
        <f t="shared" ref="P4:P50" si="4">+O4/N4</f>
        <v>2.2017869793619957E-2</v>
      </c>
      <c r="X4" s="683" t="s">
        <v>75</v>
      </c>
      <c r="Y4" s="689">
        <v>1</v>
      </c>
      <c r="Z4" s="690">
        <v>275699.7</v>
      </c>
    </row>
    <row r="5" spans="1:26">
      <c r="A5">
        <v>4</v>
      </c>
      <c r="B5" s="699" t="s">
        <v>24</v>
      </c>
      <c r="C5" s="675">
        <v>2370066.3775599995</v>
      </c>
      <c r="D5" s="700">
        <f t="shared" si="1"/>
        <v>437749.3</v>
      </c>
      <c r="E5" s="701">
        <f t="shared" si="0"/>
        <v>2807815.6775599993</v>
      </c>
      <c r="F5">
        <v>4</v>
      </c>
      <c r="H5" s="683" t="s">
        <v>932</v>
      </c>
      <c r="I5" s="689">
        <v>4</v>
      </c>
      <c r="J5" s="690">
        <v>437749.3</v>
      </c>
      <c r="K5" s="694">
        <f t="shared" si="2"/>
        <v>0</v>
      </c>
      <c r="N5" s="673">
        <v>2305891.3784200004</v>
      </c>
      <c r="O5" s="675">
        <f t="shared" si="3"/>
        <v>64174.999139999039</v>
      </c>
      <c r="P5" s="676">
        <f t="shared" si="4"/>
        <v>2.7830885591832097E-2</v>
      </c>
      <c r="X5" s="683" t="s">
        <v>930</v>
      </c>
      <c r="Y5" s="689">
        <v>2</v>
      </c>
      <c r="Z5" s="690">
        <v>1113137</v>
      </c>
    </row>
    <row r="6" spans="1:26">
      <c r="A6">
        <v>5</v>
      </c>
      <c r="B6" s="699" t="s">
        <v>19</v>
      </c>
      <c r="C6" s="675"/>
      <c r="D6" s="700">
        <f t="shared" si="1"/>
        <v>323934.90000000002</v>
      </c>
      <c r="E6" s="701">
        <f t="shared" si="0"/>
        <v>323934.90000000002</v>
      </c>
      <c r="F6">
        <v>5</v>
      </c>
      <c r="H6" s="683" t="s">
        <v>933</v>
      </c>
      <c r="I6" s="689">
        <v>5</v>
      </c>
      <c r="J6" s="690">
        <v>323934.90000000002</v>
      </c>
      <c r="K6" s="694">
        <f t="shared" si="2"/>
        <v>0</v>
      </c>
      <c r="N6" s="673"/>
      <c r="O6" s="675"/>
      <c r="P6" s="676"/>
      <c r="S6" s="5" t="s">
        <v>0</v>
      </c>
      <c r="T6" s="5" t="s">
        <v>917</v>
      </c>
      <c r="U6" s="5" t="s">
        <v>925</v>
      </c>
      <c r="X6" s="683" t="s">
        <v>931</v>
      </c>
      <c r="Y6" s="689">
        <v>3</v>
      </c>
      <c r="Z6" s="690">
        <v>238526</v>
      </c>
    </row>
    <row r="7" spans="1:26">
      <c r="A7" s="15">
        <v>6</v>
      </c>
      <c r="B7" s="699" t="s">
        <v>46</v>
      </c>
      <c r="C7" s="675"/>
      <c r="D7" s="700">
        <f t="shared" si="1"/>
        <v>67120</v>
      </c>
      <c r="E7" s="701">
        <f t="shared" si="0"/>
        <v>67120</v>
      </c>
      <c r="F7">
        <v>6</v>
      </c>
      <c r="H7" s="683" t="s">
        <v>934</v>
      </c>
      <c r="I7" s="689">
        <v>6</v>
      </c>
      <c r="J7" s="690">
        <v>67120</v>
      </c>
      <c r="K7" s="694">
        <f t="shared" si="2"/>
        <v>0</v>
      </c>
      <c r="N7" s="673"/>
      <c r="O7" s="675"/>
      <c r="P7" s="676"/>
      <c r="U7"/>
      <c r="X7" s="683" t="s">
        <v>932</v>
      </c>
      <c r="Y7" s="689">
        <v>4</v>
      </c>
      <c r="Z7" s="690">
        <v>437749.3</v>
      </c>
    </row>
    <row r="8" spans="1:26">
      <c r="A8">
        <v>7</v>
      </c>
      <c r="B8" s="699" t="s">
        <v>43</v>
      </c>
      <c r="C8" s="675"/>
      <c r="D8" s="700">
        <f t="shared" si="1"/>
        <v>362195</v>
      </c>
      <c r="E8" s="701">
        <f t="shared" si="0"/>
        <v>362195</v>
      </c>
      <c r="F8">
        <v>7</v>
      </c>
      <c r="H8" s="683" t="s">
        <v>935</v>
      </c>
      <c r="I8" s="689">
        <v>7</v>
      </c>
      <c r="J8" s="690">
        <v>362195</v>
      </c>
      <c r="K8" s="694">
        <f t="shared" si="2"/>
        <v>0</v>
      </c>
      <c r="N8" s="673"/>
      <c r="O8" s="675"/>
      <c r="P8" s="676"/>
      <c r="S8" s="670" t="s">
        <v>918</v>
      </c>
      <c r="T8" s="671">
        <v>67942.431128740442</v>
      </c>
      <c r="U8" s="671">
        <v>19196.203726779378</v>
      </c>
      <c r="V8" s="671">
        <f>SUM(T8:U8)</f>
        <v>87138.63485551982</v>
      </c>
      <c r="X8" s="683" t="s">
        <v>933</v>
      </c>
      <c r="Y8" s="689">
        <v>5</v>
      </c>
      <c r="Z8" s="690">
        <v>323934.90000000002</v>
      </c>
    </row>
    <row r="9" spans="1:26">
      <c r="A9">
        <v>8</v>
      </c>
      <c r="B9" s="699" t="s">
        <v>32</v>
      </c>
      <c r="C9" s="675">
        <f>+V11*1000</f>
        <v>3939401.7463600002</v>
      </c>
      <c r="D9" s="700">
        <f t="shared" si="1"/>
        <v>420066.69999999995</v>
      </c>
      <c r="E9" s="701">
        <f t="shared" si="0"/>
        <v>4359468.4463600004</v>
      </c>
      <c r="F9">
        <v>8</v>
      </c>
      <c r="H9" s="683" t="s">
        <v>936</v>
      </c>
      <c r="I9" s="689">
        <v>8</v>
      </c>
      <c r="J9" s="690">
        <v>420066.69999999995</v>
      </c>
      <c r="K9" s="694">
        <f t="shared" si="2"/>
        <v>0</v>
      </c>
      <c r="N9" s="673">
        <v>4668533.0933100004</v>
      </c>
      <c r="O9" s="675">
        <f t="shared" ref="O9:O15" si="5">+C9-N9</f>
        <v>-729131.34695000015</v>
      </c>
      <c r="P9" s="676">
        <f t="shared" si="4"/>
        <v>-0.15617996753516519</v>
      </c>
      <c r="S9" s="670" t="s">
        <v>919</v>
      </c>
      <c r="T9" s="671">
        <v>3651.9660002529513</v>
      </c>
      <c r="U9" s="671"/>
      <c r="V9" s="671">
        <f t="shared" ref="V9:V24" si="6">SUM(T9:U9)</f>
        <v>3651.9660002529513</v>
      </c>
      <c r="X9" s="683" t="s">
        <v>934</v>
      </c>
      <c r="Y9" s="689">
        <v>6</v>
      </c>
      <c r="Z9" s="690">
        <v>67120</v>
      </c>
    </row>
    <row r="10" spans="1:26">
      <c r="A10">
        <v>9</v>
      </c>
      <c r="B10" s="699" t="s">
        <v>27</v>
      </c>
      <c r="C10" s="675">
        <f>+V12*1000</f>
        <v>131101761.24633549</v>
      </c>
      <c r="D10" s="700">
        <f t="shared" si="1"/>
        <v>1772066.2999999998</v>
      </c>
      <c r="E10" s="701">
        <f t="shared" si="0"/>
        <v>132873827.54633549</v>
      </c>
      <c r="F10">
        <v>9</v>
      </c>
      <c r="H10" s="683" t="s">
        <v>937</v>
      </c>
      <c r="I10" s="689">
        <v>9</v>
      </c>
      <c r="J10" s="690">
        <v>1772066.2999999998</v>
      </c>
      <c r="K10" s="694">
        <f t="shared" si="2"/>
        <v>0</v>
      </c>
      <c r="N10" s="673">
        <v>97729396.99999997</v>
      </c>
      <c r="O10" s="675">
        <f t="shared" si="5"/>
        <v>33372364.246335521</v>
      </c>
      <c r="P10" s="676">
        <f t="shared" si="4"/>
        <v>0.34147723480106534</v>
      </c>
      <c r="S10" s="670" t="s">
        <v>24</v>
      </c>
      <c r="T10" s="671">
        <v>2370.0663775599996</v>
      </c>
      <c r="U10" s="671"/>
      <c r="V10" s="671">
        <f t="shared" si="6"/>
        <v>2370.0663775599996</v>
      </c>
      <c r="X10" s="683" t="s">
        <v>935</v>
      </c>
      <c r="Y10" s="689">
        <v>7</v>
      </c>
      <c r="Z10" s="690">
        <v>362195</v>
      </c>
    </row>
    <row r="11" spans="1:26">
      <c r="A11">
        <v>10</v>
      </c>
      <c r="B11" s="699" t="s">
        <v>39</v>
      </c>
      <c r="C11" s="675"/>
      <c r="D11" s="700">
        <f t="shared" si="1"/>
        <v>56094.1</v>
      </c>
      <c r="E11" s="701">
        <f t="shared" si="0"/>
        <v>56094.1</v>
      </c>
      <c r="F11">
        <v>10</v>
      </c>
      <c r="H11" s="683" t="s">
        <v>938</v>
      </c>
      <c r="I11" s="689">
        <v>10</v>
      </c>
      <c r="J11" s="690">
        <v>56094.1</v>
      </c>
      <c r="K11" s="694">
        <f t="shared" si="2"/>
        <v>0</v>
      </c>
      <c r="N11" s="673"/>
      <c r="O11" s="675"/>
      <c r="P11" s="676"/>
      <c r="S11" s="670" t="s">
        <v>32</v>
      </c>
      <c r="T11" s="671">
        <v>3939.4017463600003</v>
      </c>
      <c r="U11" s="671"/>
      <c r="V11" s="671">
        <f t="shared" si="6"/>
        <v>3939.4017463600003</v>
      </c>
      <c r="X11" s="683" t="s">
        <v>936</v>
      </c>
      <c r="Y11" s="689">
        <v>8</v>
      </c>
      <c r="Z11" s="690">
        <v>420066.69999999995</v>
      </c>
    </row>
    <row r="12" spans="1:26">
      <c r="A12">
        <v>11</v>
      </c>
      <c r="B12" s="699" t="s">
        <v>42</v>
      </c>
      <c r="C12" s="675">
        <f>+V13*1000</f>
        <v>7101458.0765657974</v>
      </c>
      <c r="D12" s="700">
        <f t="shared" si="1"/>
        <v>376582.89999999997</v>
      </c>
      <c r="E12" s="701">
        <f t="shared" si="0"/>
        <v>7478040.9765657978</v>
      </c>
      <c r="F12">
        <v>11</v>
      </c>
      <c r="H12" s="683" t="s">
        <v>939</v>
      </c>
      <c r="I12" s="689">
        <v>11</v>
      </c>
      <c r="J12" s="690">
        <v>376582.89999999997</v>
      </c>
      <c r="K12" s="694">
        <f t="shared" si="2"/>
        <v>0</v>
      </c>
      <c r="N12" s="673">
        <v>6533721.4606214818</v>
      </c>
      <c r="O12" s="675">
        <f t="shared" si="5"/>
        <v>567736.61594431568</v>
      </c>
      <c r="P12" s="676">
        <f t="shared" si="4"/>
        <v>8.6893299533205542E-2</v>
      </c>
      <c r="S12" s="670" t="s">
        <v>920</v>
      </c>
      <c r="T12" s="671">
        <v>92897.887399999978</v>
      </c>
      <c r="U12" s="671">
        <v>38203.873846335518</v>
      </c>
      <c r="V12" s="671">
        <f t="shared" si="6"/>
        <v>131101.76124633549</v>
      </c>
      <c r="X12" s="683" t="s">
        <v>937</v>
      </c>
      <c r="Y12" s="689">
        <v>9</v>
      </c>
      <c r="Z12" s="690">
        <v>1772066.2999999998</v>
      </c>
    </row>
    <row r="13" spans="1:26">
      <c r="A13">
        <v>12</v>
      </c>
      <c r="B13" s="699" t="s">
        <v>40</v>
      </c>
      <c r="C13" s="675">
        <f>+V14*1000</f>
        <v>16841270.912805829</v>
      </c>
      <c r="D13" s="700">
        <f t="shared" si="1"/>
        <v>636490.9</v>
      </c>
      <c r="E13" s="701">
        <f t="shared" si="0"/>
        <v>17477761.812805828</v>
      </c>
      <c r="F13">
        <v>12</v>
      </c>
      <c r="H13" s="683" t="s">
        <v>940</v>
      </c>
      <c r="I13" s="689">
        <v>12</v>
      </c>
      <c r="J13" s="690">
        <v>636490.9</v>
      </c>
      <c r="K13" s="694">
        <f t="shared" si="2"/>
        <v>0</v>
      </c>
      <c r="N13" s="673">
        <v>14750170.008365672</v>
      </c>
      <c r="O13" s="675">
        <f t="shared" si="5"/>
        <v>2091100.9044401571</v>
      </c>
      <c r="P13" s="676">
        <f t="shared" si="4"/>
        <v>0.14176791882765916</v>
      </c>
      <c r="S13" s="670" t="s">
        <v>42</v>
      </c>
      <c r="T13" s="671">
        <v>7101.4580765657975</v>
      </c>
      <c r="U13" s="671"/>
      <c r="V13" s="671">
        <f t="shared" si="6"/>
        <v>7101.4580765657975</v>
      </c>
      <c r="X13" s="683" t="s">
        <v>938</v>
      </c>
      <c r="Y13" s="689">
        <v>10</v>
      </c>
      <c r="Z13" s="690">
        <v>56094.1</v>
      </c>
    </row>
    <row r="14" spans="1:26">
      <c r="A14">
        <v>13</v>
      </c>
      <c r="B14" s="699" t="s">
        <v>11</v>
      </c>
      <c r="C14" s="675"/>
      <c r="D14" s="700">
        <f t="shared" si="1"/>
        <v>128847.2</v>
      </c>
      <c r="E14" s="701">
        <f t="shared" si="0"/>
        <v>128847.2</v>
      </c>
      <c r="F14">
        <v>13</v>
      </c>
      <c r="H14" s="683" t="s">
        <v>941</v>
      </c>
      <c r="I14" s="689">
        <v>13</v>
      </c>
      <c r="J14" s="690">
        <v>128847.2</v>
      </c>
      <c r="K14" s="694">
        <f t="shared" si="2"/>
        <v>0</v>
      </c>
      <c r="N14" s="673"/>
      <c r="O14" s="675"/>
      <c r="P14" s="676"/>
      <c r="S14" s="670" t="s">
        <v>40</v>
      </c>
      <c r="T14" s="671">
        <v>16841.27091280583</v>
      </c>
      <c r="U14" s="671"/>
      <c r="V14" s="671">
        <f t="shared" si="6"/>
        <v>16841.27091280583</v>
      </c>
      <c r="X14" s="683" t="s">
        <v>939</v>
      </c>
      <c r="Y14" s="689">
        <v>11</v>
      </c>
      <c r="Z14" s="690">
        <v>376582.89999999997</v>
      </c>
    </row>
    <row r="15" spans="1:26">
      <c r="A15">
        <v>15</v>
      </c>
      <c r="B15" s="699" t="s">
        <v>18</v>
      </c>
      <c r="C15" s="675">
        <f>+V15*1000</f>
        <v>7595381.7286274908</v>
      </c>
      <c r="D15" s="700">
        <f t="shared" si="1"/>
        <v>439004.2</v>
      </c>
      <c r="E15" s="701">
        <f t="shared" si="0"/>
        <v>8034385.928627491</v>
      </c>
      <c r="F15">
        <v>15</v>
      </c>
      <c r="H15" s="683" t="s">
        <v>942</v>
      </c>
      <c r="I15" s="689">
        <v>15</v>
      </c>
      <c r="J15" s="690">
        <v>439004.2</v>
      </c>
      <c r="K15" s="694">
        <f t="shared" si="2"/>
        <v>0</v>
      </c>
      <c r="N15" s="673">
        <v>7881363.5697196871</v>
      </c>
      <c r="O15" s="675">
        <f t="shared" si="5"/>
        <v>-285981.84109219629</v>
      </c>
      <c r="P15" s="676">
        <f t="shared" si="4"/>
        <v>-3.628583284635449E-2</v>
      </c>
      <c r="S15" s="670" t="s">
        <v>18</v>
      </c>
      <c r="T15" s="671">
        <v>7595.3817286274907</v>
      </c>
      <c r="U15" s="671"/>
      <c r="V15" s="671">
        <f t="shared" si="6"/>
        <v>7595.3817286274907</v>
      </c>
      <c r="X15" s="683" t="s">
        <v>940</v>
      </c>
      <c r="Y15" s="689">
        <v>12</v>
      </c>
      <c r="Z15" s="690">
        <v>636490.9</v>
      </c>
    </row>
    <row r="16" spans="1:26">
      <c r="A16" s="15">
        <v>16</v>
      </c>
      <c r="B16" s="699" t="s">
        <v>51</v>
      </c>
      <c r="C16" s="675"/>
      <c r="D16" s="700">
        <f t="shared" si="1"/>
        <v>250500</v>
      </c>
      <c r="E16" s="701">
        <f t="shared" si="0"/>
        <v>250500</v>
      </c>
      <c r="F16">
        <v>16</v>
      </c>
      <c r="H16" s="683" t="s">
        <v>943</v>
      </c>
      <c r="I16" s="689">
        <v>16</v>
      </c>
      <c r="J16" s="690">
        <v>250500</v>
      </c>
      <c r="K16" s="694">
        <f t="shared" si="2"/>
        <v>0</v>
      </c>
      <c r="N16" s="673"/>
      <c r="O16" s="675"/>
      <c r="P16" s="676"/>
      <c r="S16" s="670" t="s">
        <v>45</v>
      </c>
      <c r="T16" s="671">
        <v>228.18728741214699</v>
      </c>
      <c r="U16" s="671"/>
      <c r="V16" s="671">
        <f t="shared" si="6"/>
        <v>228.18728741214699</v>
      </c>
      <c r="X16" s="683" t="s">
        <v>941</v>
      </c>
      <c r="Y16" s="689">
        <v>13</v>
      </c>
      <c r="Z16" s="690">
        <v>128847.2</v>
      </c>
    </row>
    <row r="17" spans="1:26">
      <c r="A17">
        <v>17</v>
      </c>
      <c r="B17" s="699" t="s">
        <v>20</v>
      </c>
      <c r="C17" s="675"/>
      <c r="D17" s="700">
        <f t="shared" si="1"/>
        <v>32853</v>
      </c>
      <c r="E17" s="701">
        <f t="shared" si="0"/>
        <v>32853</v>
      </c>
      <c r="F17">
        <v>17</v>
      </c>
      <c r="H17" s="683" t="s">
        <v>944</v>
      </c>
      <c r="I17" s="689">
        <v>17</v>
      </c>
      <c r="J17" s="690">
        <v>32853</v>
      </c>
      <c r="K17" s="694">
        <f t="shared" si="2"/>
        <v>0</v>
      </c>
      <c r="N17" s="673"/>
      <c r="O17" s="675"/>
      <c r="P17" s="676"/>
      <c r="S17" s="670" t="s">
        <v>49</v>
      </c>
      <c r="T17" s="671">
        <v>9669.4266720325631</v>
      </c>
      <c r="U17" s="671">
        <v>2961.4930013552566</v>
      </c>
      <c r="V17" s="671">
        <f t="shared" si="6"/>
        <v>12630.91967338782</v>
      </c>
      <c r="X17" s="683" t="s">
        <v>942</v>
      </c>
      <c r="Y17" s="689">
        <v>15</v>
      </c>
      <c r="Z17" s="690">
        <v>439004.2</v>
      </c>
    </row>
    <row r="18" spans="1:26">
      <c r="A18">
        <v>18</v>
      </c>
      <c r="B18" s="699" t="s">
        <v>33</v>
      </c>
      <c r="C18" s="675"/>
      <c r="D18" s="700">
        <f t="shared" si="1"/>
        <v>156795.1</v>
      </c>
      <c r="E18" s="701">
        <f t="shared" si="0"/>
        <v>156795.1</v>
      </c>
      <c r="F18">
        <v>18</v>
      </c>
      <c r="H18" s="683" t="s">
        <v>945</v>
      </c>
      <c r="I18" s="689">
        <v>18</v>
      </c>
      <c r="J18" s="690">
        <v>156795.1</v>
      </c>
      <c r="K18" s="694">
        <f t="shared" si="2"/>
        <v>0</v>
      </c>
      <c r="N18" s="673"/>
      <c r="O18" s="675"/>
      <c r="P18" s="676"/>
      <c r="S18" s="670" t="s">
        <v>921</v>
      </c>
      <c r="T18" s="671">
        <v>20212.800000000003</v>
      </c>
      <c r="U18" s="671"/>
      <c r="V18" s="671">
        <f t="shared" si="6"/>
        <v>20212.800000000003</v>
      </c>
      <c r="X18" s="683" t="s">
        <v>943</v>
      </c>
      <c r="Y18" s="689">
        <v>16</v>
      </c>
      <c r="Z18" s="690">
        <v>250500</v>
      </c>
    </row>
    <row r="19" spans="1:26">
      <c r="A19">
        <v>19</v>
      </c>
      <c r="B19" s="699" t="s">
        <v>35</v>
      </c>
      <c r="C19" s="675"/>
      <c r="D19" s="700">
        <f t="shared" si="1"/>
        <v>50000</v>
      </c>
      <c r="E19" s="701">
        <f t="shared" si="0"/>
        <v>50000</v>
      </c>
      <c r="F19">
        <v>19</v>
      </c>
      <c r="H19" s="683" t="s">
        <v>946</v>
      </c>
      <c r="I19" s="689">
        <v>19</v>
      </c>
      <c r="J19" s="690">
        <v>50000</v>
      </c>
      <c r="K19" s="694">
        <f t="shared" si="2"/>
        <v>0</v>
      </c>
      <c r="N19" s="673"/>
      <c r="O19" s="675"/>
      <c r="P19" s="676"/>
      <c r="S19" s="670" t="s">
        <v>922</v>
      </c>
      <c r="T19" s="671">
        <v>4596.5145063377149</v>
      </c>
      <c r="U19" s="671"/>
      <c r="V19" s="671">
        <f t="shared" si="6"/>
        <v>4596.5145063377149</v>
      </c>
      <c r="X19" s="683" t="s">
        <v>944</v>
      </c>
      <c r="Y19" s="689">
        <v>17</v>
      </c>
      <c r="Z19" s="690">
        <v>32853</v>
      </c>
    </row>
    <row r="20" spans="1:26">
      <c r="A20">
        <v>22</v>
      </c>
      <c r="B20" s="699" t="s">
        <v>45</v>
      </c>
      <c r="C20" s="675">
        <f>+V16*1000</f>
        <v>228187.28741214698</v>
      </c>
      <c r="D20" s="700">
        <f t="shared" si="1"/>
        <v>253166.9</v>
      </c>
      <c r="E20" s="701">
        <f t="shared" si="0"/>
        <v>481354.18741214694</v>
      </c>
      <c r="F20">
        <v>22</v>
      </c>
      <c r="H20" s="683" t="s">
        <v>947</v>
      </c>
      <c r="I20" s="689">
        <v>22</v>
      </c>
      <c r="J20" s="690">
        <v>253166.9</v>
      </c>
      <c r="K20" s="694">
        <f t="shared" si="2"/>
        <v>0</v>
      </c>
      <c r="N20" s="673">
        <v>133905</v>
      </c>
      <c r="O20" s="675">
        <f t="shared" ref="O20:O22" si="7">+C20-N20</f>
        <v>94282.287412146979</v>
      </c>
      <c r="P20" s="676">
        <f t="shared" si="4"/>
        <v>0.70409833398414534</v>
      </c>
      <c r="S20" s="670" t="s">
        <v>923</v>
      </c>
      <c r="T20" s="671">
        <v>4653.3192260000005</v>
      </c>
      <c r="U20" s="671"/>
      <c r="V20" s="671">
        <f t="shared" si="6"/>
        <v>4653.3192260000005</v>
      </c>
      <c r="X20" s="683" t="s">
        <v>945</v>
      </c>
      <c r="Y20" s="689">
        <v>18</v>
      </c>
      <c r="Z20" s="690">
        <v>156795.1</v>
      </c>
    </row>
    <row r="21" spans="1:26">
      <c r="A21">
        <v>23</v>
      </c>
      <c r="B21" s="699" t="s">
        <v>8</v>
      </c>
      <c r="C21" s="675"/>
      <c r="D21" s="700">
        <f t="shared" si="1"/>
        <v>461358.80000000005</v>
      </c>
      <c r="E21" s="701">
        <f t="shared" si="0"/>
        <v>461358.80000000005</v>
      </c>
      <c r="F21">
        <v>23</v>
      </c>
      <c r="H21" s="683" t="s">
        <v>948</v>
      </c>
      <c r="I21" s="689">
        <v>23</v>
      </c>
      <c r="J21" s="690">
        <v>461358.80000000005</v>
      </c>
      <c r="K21" s="694">
        <f t="shared" si="2"/>
        <v>0</v>
      </c>
      <c r="N21" s="673"/>
      <c r="O21" s="675"/>
      <c r="P21" s="676"/>
      <c r="Q21" s="670"/>
      <c r="R21" s="670"/>
      <c r="S21" s="670" t="s">
        <v>10</v>
      </c>
      <c r="T21" s="672">
        <v>491.62285623378079</v>
      </c>
      <c r="U21" s="671"/>
      <c r="V21" s="671">
        <f t="shared" si="6"/>
        <v>491.62285623378079</v>
      </c>
      <c r="X21" s="683" t="s">
        <v>946</v>
      </c>
      <c r="Y21" s="689">
        <v>19</v>
      </c>
      <c r="Z21" s="690">
        <v>50000</v>
      </c>
    </row>
    <row r="22" spans="1:26">
      <c r="A22">
        <v>24</v>
      </c>
      <c r="B22" s="699" t="s">
        <v>49</v>
      </c>
      <c r="C22" s="675">
        <f>+V17*1000</f>
        <v>12630919.67338782</v>
      </c>
      <c r="D22" s="700">
        <f t="shared" si="1"/>
        <v>400597.10000000003</v>
      </c>
      <c r="E22" s="701">
        <f t="shared" si="0"/>
        <v>13031516.77338782</v>
      </c>
      <c r="F22">
        <v>24</v>
      </c>
      <c r="H22" s="683" t="s">
        <v>949</v>
      </c>
      <c r="I22" s="689">
        <v>24</v>
      </c>
      <c r="J22" s="690">
        <v>400597.10000000003</v>
      </c>
      <c r="K22" s="694">
        <f t="shared" si="2"/>
        <v>0</v>
      </c>
      <c r="N22" s="673">
        <v>11630867.999999998</v>
      </c>
      <c r="O22" s="675">
        <f t="shared" si="7"/>
        <v>1000051.6733878218</v>
      </c>
      <c r="P22" s="676">
        <f t="shared" si="4"/>
        <v>8.5982548627309835E-2</v>
      </c>
      <c r="S22" s="670" t="s">
        <v>21</v>
      </c>
      <c r="T22" s="671">
        <v>5080.1149999999998</v>
      </c>
      <c r="U22" s="671"/>
      <c r="V22" s="671">
        <f t="shared" si="6"/>
        <v>5080.1149999999998</v>
      </c>
      <c r="X22" s="683" t="s">
        <v>947</v>
      </c>
      <c r="Y22" s="689">
        <v>22</v>
      </c>
      <c r="Z22" s="690">
        <v>253166.9</v>
      </c>
    </row>
    <row r="23" spans="1:26">
      <c r="A23">
        <v>27</v>
      </c>
      <c r="B23" s="699" t="s">
        <v>56</v>
      </c>
      <c r="C23" s="675"/>
      <c r="D23" s="700">
        <f t="shared" si="1"/>
        <v>301480</v>
      </c>
      <c r="E23" s="701">
        <f t="shared" si="0"/>
        <v>301480</v>
      </c>
      <c r="F23">
        <v>27</v>
      </c>
      <c r="H23" s="683" t="s">
        <v>950</v>
      </c>
      <c r="I23" s="689">
        <v>27</v>
      </c>
      <c r="J23" s="690">
        <v>301480</v>
      </c>
      <c r="K23" s="694">
        <f t="shared" si="2"/>
        <v>0</v>
      </c>
      <c r="N23" s="673"/>
      <c r="O23" s="675"/>
      <c r="P23" s="676"/>
      <c r="S23" s="670" t="s">
        <v>28</v>
      </c>
      <c r="T23" s="671">
        <v>3729.1352816915469</v>
      </c>
      <c r="U23" s="671"/>
      <c r="V23" s="671">
        <f t="shared" si="6"/>
        <v>3729.1352816915469</v>
      </c>
      <c r="X23" s="683" t="s">
        <v>948</v>
      </c>
      <c r="Y23" s="689">
        <v>23</v>
      </c>
      <c r="Z23" s="690">
        <v>461358.80000000005</v>
      </c>
    </row>
    <row r="24" spans="1:26">
      <c r="A24">
        <v>28</v>
      </c>
      <c r="B24" s="699" t="s">
        <v>44</v>
      </c>
      <c r="C24" s="675"/>
      <c r="D24" s="700">
        <f t="shared" si="1"/>
        <v>134162.9</v>
      </c>
      <c r="E24" s="701">
        <f t="shared" si="0"/>
        <v>134162.9</v>
      </c>
      <c r="F24">
        <v>28</v>
      </c>
      <c r="H24" s="683" t="s">
        <v>951</v>
      </c>
      <c r="I24" s="689">
        <v>28</v>
      </c>
      <c r="J24" s="690">
        <v>134162.9</v>
      </c>
      <c r="K24" s="694">
        <f t="shared" si="2"/>
        <v>0</v>
      </c>
      <c r="N24" s="673"/>
      <c r="O24" s="675"/>
      <c r="P24" s="676"/>
      <c r="S24" s="670" t="s">
        <v>22</v>
      </c>
      <c r="T24" s="671">
        <v>4851.3559454628939</v>
      </c>
      <c r="U24" s="671"/>
      <c r="V24" s="671">
        <f t="shared" si="6"/>
        <v>4851.3559454628939</v>
      </c>
      <c r="X24" s="683" t="s">
        <v>949</v>
      </c>
      <c r="Y24" s="689">
        <v>24</v>
      </c>
      <c r="Z24" s="690">
        <v>400597.10000000003</v>
      </c>
    </row>
    <row r="25" spans="1:26">
      <c r="A25">
        <v>29</v>
      </c>
      <c r="B25" s="699" t="s">
        <v>26</v>
      </c>
      <c r="C25" s="675">
        <f>+T18*1000</f>
        <v>20212800.000000004</v>
      </c>
      <c r="D25" s="700">
        <f t="shared" si="1"/>
        <v>530152.1</v>
      </c>
      <c r="E25" s="701">
        <f t="shared" si="0"/>
        <v>20742952.100000005</v>
      </c>
      <c r="F25">
        <v>29</v>
      </c>
      <c r="H25" s="683" t="s">
        <v>952</v>
      </c>
      <c r="I25" s="689">
        <v>29</v>
      </c>
      <c r="J25" s="690">
        <v>530152.1</v>
      </c>
      <c r="K25" s="694">
        <f t="shared" si="2"/>
        <v>0</v>
      </c>
      <c r="N25" s="673">
        <v>20845899.999999996</v>
      </c>
      <c r="O25" s="675">
        <f t="shared" ref="O25" si="8">+C25-N25</f>
        <v>-633099.99999999255</v>
      </c>
      <c r="P25" s="676">
        <f t="shared" si="4"/>
        <v>-3.0370480526146278E-2</v>
      </c>
      <c r="X25" s="683" t="s">
        <v>950</v>
      </c>
      <c r="Y25" s="689">
        <v>27</v>
      </c>
      <c r="Z25" s="690">
        <v>301480</v>
      </c>
    </row>
    <row r="26" spans="1:26">
      <c r="A26">
        <v>30</v>
      </c>
      <c r="B26" s="699" t="s">
        <v>14</v>
      </c>
      <c r="C26" s="675"/>
      <c r="D26" s="700">
        <f t="shared" si="1"/>
        <v>57589</v>
      </c>
      <c r="E26" s="701">
        <f t="shared" si="0"/>
        <v>57589</v>
      </c>
      <c r="F26">
        <v>30</v>
      </c>
      <c r="H26" s="683" t="s">
        <v>953</v>
      </c>
      <c r="I26" s="689">
        <v>30</v>
      </c>
      <c r="J26" s="690">
        <v>57589</v>
      </c>
      <c r="K26" s="694">
        <f t="shared" si="2"/>
        <v>0</v>
      </c>
      <c r="N26" s="673"/>
      <c r="O26" s="675"/>
      <c r="P26" s="676"/>
      <c r="X26" s="683" t="s">
        <v>951</v>
      </c>
      <c r="Y26" s="689">
        <v>28</v>
      </c>
      <c r="Z26" s="690">
        <v>134162.9</v>
      </c>
    </row>
    <row r="27" spans="1:26">
      <c r="A27">
        <v>32</v>
      </c>
      <c r="B27" s="699" t="s">
        <v>48</v>
      </c>
      <c r="C27" s="675"/>
      <c r="D27" s="700">
        <f t="shared" si="1"/>
        <v>137717.9</v>
      </c>
      <c r="E27" s="701">
        <f t="shared" si="0"/>
        <v>137717.9</v>
      </c>
      <c r="F27">
        <v>32</v>
      </c>
      <c r="H27" s="683" t="s">
        <v>100</v>
      </c>
      <c r="I27" s="689">
        <v>32</v>
      </c>
      <c r="J27" s="690">
        <v>137717.9</v>
      </c>
      <c r="K27" s="694">
        <f t="shared" si="2"/>
        <v>0</v>
      </c>
      <c r="N27" s="673"/>
      <c r="O27" s="675"/>
      <c r="P27" s="676"/>
      <c r="X27" s="683" t="s">
        <v>952</v>
      </c>
      <c r="Y27" s="689">
        <v>29</v>
      </c>
      <c r="Z27" s="690">
        <v>530152.1</v>
      </c>
    </row>
    <row r="28" spans="1:26">
      <c r="A28">
        <v>33</v>
      </c>
      <c r="B28" s="699" t="s">
        <v>13</v>
      </c>
      <c r="C28" s="675"/>
      <c r="D28" s="700">
        <f t="shared" si="1"/>
        <v>214427.80000000002</v>
      </c>
      <c r="E28" s="701">
        <f t="shared" si="0"/>
        <v>214427.80000000002</v>
      </c>
      <c r="F28">
        <v>33</v>
      </c>
      <c r="H28" s="683" t="s">
        <v>101</v>
      </c>
      <c r="I28" s="689">
        <v>33</v>
      </c>
      <c r="J28" s="690">
        <v>214427.80000000002</v>
      </c>
      <c r="K28" s="694">
        <f t="shared" si="2"/>
        <v>0</v>
      </c>
      <c r="N28" s="673"/>
      <c r="O28" s="675"/>
      <c r="P28" s="676"/>
      <c r="X28" s="683" t="s">
        <v>953</v>
      </c>
      <c r="Y28" s="689">
        <v>30</v>
      </c>
      <c r="Z28" s="690">
        <v>57589</v>
      </c>
    </row>
    <row r="29" spans="1:26">
      <c r="A29">
        <v>34</v>
      </c>
      <c r="B29" s="699" t="s">
        <v>23</v>
      </c>
      <c r="C29" s="675">
        <f>+T19*1000</f>
        <v>4596514.5063377153</v>
      </c>
      <c r="D29" s="700">
        <f t="shared" si="1"/>
        <v>200000</v>
      </c>
      <c r="E29" s="701">
        <f t="shared" si="0"/>
        <v>4796514.5063377153</v>
      </c>
      <c r="F29">
        <v>34</v>
      </c>
      <c r="H29" s="683" t="s">
        <v>954</v>
      </c>
      <c r="I29" s="689">
        <v>34</v>
      </c>
      <c r="J29" s="690">
        <v>200000</v>
      </c>
      <c r="K29" s="694">
        <f t="shared" si="2"/>
        <v>0</v>
      </c>
      <c r="N29" s="673">
        <v>5003909.3880381938</v>
      </c>
      <c r="O29" s="675">
        <f t="shared" ref="O29" si="9">+C29-N29</f>
        <v>-407394.88170047849</v>
      </c>
      <c r="P29" s="676">
        <f t="shared" si="4"/>
        <v>-8.1415319524840477E-2</v>
      </c>
      <c r="X29" s="683" t="s">
        <v>100</v>
      </c>
      <c r="Y29" s="689">
        <v>32</v>
      </c>
      <c r="Z29" s="690">
        <v>137717.9</v>
      </c>
    </row>
    <row r="30" spans="1:26">
      <c r="A30">
        <v>35</v>
      </c>
      <c r="B30" s="699" t="s">
        <v>15</v>
      </c>
      <c r="C30" s="675"/>
      <c r="D30" s="700">
        <f t="shared" si="1"/>
        <v>115504.20000000001</v>
      </c>
      <c r="E30" s="701">
        <f t="shared" si="0"/>
        <v>115504.20000000001</v>
      </c>
      <c r="F30">
        <v>35</v>
      </c>
      <c r="H30" s="683" t="s">
        <v>955</v>
      </c>
      <c r="I30" s="689">
        <v>35</v>
      </c>
      <c r="J30" s="690">
        <v>115504.20000000001</v>
      </c>
      <c r="K30" s="694">
        <f t="shared" si="2"/>
        <v>0</v>
      </c>
      <c r="N30" s="673"/>
      <c r="O30" s="675"/>
      <c r="P30" s="676"/>
      <c r="X30" s="683" t="s">
        <v>101</v>
      </c>
      <c r="Y30" s="689">
        <v>33</v>
      </c>
      <c r="Z30" s="690">
        <v>214427.80000000002</v>
      </c>
    </row>
    <row r="31" spans="1:26">
      <c r="A31">
        <v>37</v>
      </c>
      <c r="B31" s="699" t="s">
        <v>38</v>
      </c>
      <c r="C31" s="675"/>
      <c r="D31" s="700">
        <f t="shared" si="1"/>
        <v>173171.5</v>
      </c>
      <c r="E31" s="701">
        <f t="shared" si="0"/>
        <v>173171.5</v>
      </c>
      <c r="F31">
        <v>37</v>
      </c>
      <c r="H31" s="683" t="s">
        <v>956</v>
      </c>
      <c r="I31" s="689">
        <v>37</v>
      </c>
      <c r="J31" s="690">
        <v>173171.5</v>
      </c>
      <c r="K31" s="694">
        <f t="shared" si="2"/>
        <v>0</v>
      </c>
      <c r="N31" s="673"/>
      <c r="O31" s="675"/>
      <c r="P31" s="676"/>
      <c r="X31" s="683" t="s">
        <v>954</v>
      </c>
      <c r="Y31" s="689">
        <v>34</v>
      </c>
      <c r="Z31" s="690">
        <v>200000</v>
      </c>
    </row>
    <row r="32" spans="1:26">
      <c r="A32">
        <v>38</v>
      </c>
      <c r="B32" s="699" t="s">
        <v>30</v>
      </c>
      <c r="C32" s="675">
        <f>+T20*1000</f>
        <v>4653319.2260000007</v>
      </c>
      <c r="D32" s="700">
        <f t="shared" si="1"/>
        <v>183154.5</v>
      </c>
      <c r="E32" s="701">
        <f t="shared" si="0"/>
        <v>4836473.7260000007</v>
      </c>
      <c r="F32">
        <v>38</v>
      </c>
      <c r="H32" s="683" t="s">
        <v>957</v>
      </c>
      <c r="I32" s="689">
        <v>38</v>
      </c>
      <c r="J32" s="690">
        <v>183154.5</v>
      </c>
      <c r="K32" s="694">
        <f t="shared" si="2"/>
        <v>0</v>
      </c>
      <c r="N32" s="673">
        <v>4510914.9530000016</v>
      </c>
      <c r="O32" s="675">
        <f t="shared" ref="O32" si="10">+C32-N32</f>
        <v>142404.27299999911</v>
      </c>
      <c r="P32" s="676">
        <f t="shared" si="4"/>
        <v>3.15688223971708E-2</v>
      </c>
      <c r="X32" s="683" t="s">
        <v>955</v>
      </c>
      <c r="Y32" s="689">
        <v>35</v>
      </c>
      <c r="Z32" s="690">
        <v>115504.20000000001</v>
      </c>
    </row>
    <row r="33" spans="1:26">
      <c r="A33">
        <v>39</v>
      </c>
      <c r="B33" s="699" t="s">
        <v>12</v>
      </c>
      <c r="C33" s="675"/>
      <c r="D33" s="700">
        <f t="shared" si="1"/>
        <v>129181.7</v>
      </c>
      <c r="E33" s="701">
        <f t="shared" si="0"/>
        <v>129181.7</v>
      </c>
      <c r="F33">
        <v>39</v>
      </c>
      <c r="H33" s="683" t="s">
        <v>958</v>
      </c>
      <c r="I33" s="689">
        <v>39</v>
      </c>
      <c r="J33" s="690">
        <v>129181.7</v>
      </c>
      <c r="K33" s="694">
        <f t="shared" si="2"/>
        <v>0</v>
      </c>
      <c r="N33" s="673"/>
      <c r="O33" s="675"/>
      <c r="P33" s="676"/>
      <c r="X33" s="683" t="s">
        <v>956</v>
      </c>
      <c r="Y33" s="689">
        <v>37</v>
      </c>
      <c r="Z33" s="690">
        <v>173171.5</v>
      </c>
    </row>
    <row r="34" spans="1:26">
      <c r="A34">
        <v>40</v>
      </c>
      <c r="B34" s="699" t="s">
        <v>34</v>
      </c>
      <c r="C34" s="675"/>
      <c r="D34" s="700">
        <f t="shared" si="1"/>
        <v>227677.30000000002</v>
      </c>
      <c r="E34" s="701">
        <f t="shared" si="0"/>
        <v>227677.30000000002</v>
      </c>
      <c r="F34">
        <v>40</v>
      </c>
      <c r="H34" s="683" t="s">
        <v>959</v>
      </c>
      <c r="I34" s="689">
        <v>40</v>
      </c>
      <c r="J34" s="690">
        <v>227677.30000000002</v>
      </c>
      <c r="K34" s="694">
        <f t="shared" si="2"/>
        <v>0</v>
      </c>
      <c r="N34" s="673"/>
      <c r="O34" s="675"/>
      <c r="P34" s="676"/>
      <c r="X34" s="683" t="s">
        <v>957</v>
      </c>
      <c r="Y34" s="689">
        <v>38</v>
      </c>
      <c r="Z34" s="690">
        <v>183154.5</v>
      </c>
    </row>
    <row r="35" spans="1:26">
      <c r="A35">
        <v>43</v>
      </c>
      <c r="B35" s="699" t="s">
        <v>10</v>
      </c>
      <c r="C35" s="675">
        <f>+T21*1000</f>
        <v>491622.8562337808</v>
      </c>
      <c r="D35" s="700">
        <f t="shared" si="1"/>
        <v>340200</v>
      </c>
      <c r="E35" s="701">
        <f t="shared" si="0"/>
        <v>831822.85623378074</v>
      </c>
      <c r="F35">
        <v>43</v>
      </c>
      <c r="H35" s="683" t="s">
        <v>960</v>
      </c>
      <c r="I35" s="689">
        <v>43</v>
      </c>
      <c r="J35" s="690">
        <v>340200</v>
      </c>
      <c r="K35" s="694">
        <f t="shared" si="2"/>
        <v>0</v>
      </c>
      <c r="N35" s="673">
        <v>422194.71981938148</v>
      </c>
      <c r="O35" s="675">
        <f t="shared" ref="O35:O36" si="11">+C35-N35</f>
        <v>69428.136414399312</v>
      </c>
      <c r="P35" s="676">
        <f t="shared" si="4"/>
        <v>0.1644457714774388</v>
      </c>
      <c r="X35" s="683" t="s">
        <v>958</v>
      </c>
      <c r="Y35" s="689">
        <v>39</v>
      </c>
      <c r="Z35" s="690">
        <v>129181.7</v>
      </c>
    </row>
    <row r="36" spans="1:26">
      <c r="A36">
        <v>44</v>
      </c>
      <c r="B36" s="699" t="s">
        <v>21</v>
      </c>
      <c r="C36" s="675">
        <f>+T22*1000</f>
        <v>5080115</v>
      </c>
      <c r="D36" s="700">
        <f t="shared" si="1"/>
        <v>427052.5</v>
      </c>
      <c r="E36" s="701">
        <f t="shared" si="0"/>
        <v>5507167.5</v>
      </c>
      <c r="F36">
        <v>44</v>
      </c>
      <c r="H36" s="683" t="s">
        <v>961</v>
      </c>
      <c r="I36" s="689">
        <v>44</v>
      </c>
      <c r="J36" s="690">
        <v>427052.5</v>
      </c>
      <c r="K36" s="694">
        <f t="shared" si="2"/>
        <v>0</v>
      </c>
      <c r="N36" s="673">
        <v>5100873.0000000009</v>
      </c>
      <c r="O36" s="675">
        <f t="shared" si="11"/>
        <v>-20758.000000000931</v>
      </c>
      <c r="P36" s="676">
        <f t="shared" si="4"/>
        <v>-4.069499475874214E-3</v>
      </c>
      <c r="X36" s="683" t="s">
        <v>959</v>
      </c>
      <c r="Y36" s="689">
        <v>40</v>
      </c>
      <c r="Z36" s="690">
        <v>227677.30000000002</v>
      </c>
    </row>
    <row r="37" spans="1:26">
      <c r="A37">
        <v>45</v>
      </c>
      <c r="B37" s="699" t="s">
        <v>31</v>
      </c>
      <c r="C37" s="675"/>
      <c r="D37" s="700">
        <f t="shared" si="1"/>
        <v>18235.900000000001</v>
      </c>
      <c r="E37" s="701">
        <f t="shared" si="0"/>
        <v>18235.900000000001</v>
      </c>
      <c r="F37">
        <v>45</v>
      </c>
      <c r="H37" s="683" t="s">
        <v>962</v>
      </c>
      <c r="I37" s="689">
        <v>45</v>
      </c>
      <c r="J37" s="690">
        <v>18235.900000000001</v>
      </c>
      <c r="K37" s="694">
        <f t="shared" si="2"/>
        <v>0</v>
      </c>
      <c r="N37" s="673"/>
      <c r="O37" s="675"/>
      <c r="P37" s="676"/>
      <c r="X37" s="683" t="s">
        <v>960</v>
      </c>
      <c r="Y37" s="689">
        <v>43</v>
      </c>
      <c r="Z37" s="690">
        <v>340200</v>
      </c>
    </row>
    <row r="38" spans="1:26">
      <c r="A38">
        <v>48</v>
      </c>
      <c r="B38" s="699" t="s">
        <v>25</v>
      </c>
      <c r="C38" s="675"/>
      <c r="D38" s="700">
        <f t="shared" si="1"/>
        <v>255196</v>
      </c>
      <c r="E38" s="701">
        <f t="shared" si="0"/>
        <v>255196</v>
      </c>
      <c r="F38">
        <v>48</v>
      </c>
      <c r="H38" s="683" t="s">
        <v>963</v>
      </c>
      <c r="I38" s="689">
        <v>48</v>
      </c>
      <c r="J38" s="690">
        <v>255196</v>
      </c>
      <c r="K38" s="694">
        <f t="shared" si="2"/>
        <v>0</v>
      </c>
      <c r="N38" s="673"/>
      <c r="O38" s="675"/>
      <c r="P38" s="676"/>
      <c r="X38" s="683" t="s">
        <v>961</v>
      </c>
      <c r="Y38" s="689">
        <v>44</v>
      </c>
      <c r="Z38" s="690">
        <v>427052.5</v>
      </c>
    </row>
    <row r="39" spans="1:26">
      <c r="A39" s="15">
        <v>49</v>
      </c>
      <c r="B39" s="699" t="s">
        <v>47</v>
      </c>
      <c r="C39" s="675"/>
      <c r="D39" s="700">
        <f t="shared" si="1"/>
        <v>178987</v>
      </c>
      <c r="E39" s="701">
        <f t="shared" si="0"/>
        <v>178987</v>
      </c>
      <c r="F39">
        <v>49</v>
      </c>
      <c r="H39" s="683" t="s">
        <v>964</v>
      </c>
      <c r="I39" s="689">
        <v>49</v>
      </c>
      <c r="J39" s="690">
        <v>178987</v>
      </c>
      <c r="K39" s="694">
        <f t="shared" si="2"/>
        <v>0</v>
      </c>
      <c r="N39" s="673"/>
      <c r="O39" s="675"/>
      <c r="P39" s="676"/>
      <c r="X39" s="683" t="s">
        <v>962</v>
      </c>
      <c r="Y39" s="689">
        <v>45</v>
      </c>
      <c r="Z39" s="690">
        <v>18235.900000000001</v>
      </c>
    </row>
    <row r="40" spans="1:26">
      <c r="A40">
        <v>51</v>
      </c>
      <c r="B40" s="699" t="s">
        <v>16</v>
      </c>
      <c r="C40" s="675"/>
      <c r="D40" s="700">
        <f t="shared" si="1"/>
        <v>213054.4</v>
      </c>
      <c r="E40" s="701">
        <f t="shared" si="0"/>
        <v>213054.4</v>
      </c>
      <c r="F40">
        <v>51</v>
      </c>
      <c r="H40" s="683" t="s">
        <v>965</v>
      </c>
      <c r="I40" s="689">
        <v>51</v>
      </c>
      <c r="J40" s="690">
        <v>213054.4</v>
      </c>
      <c r="K40" s="694">
        <f t="shared" si="2"/>
        <v>0</v>
      </c>
      <c r="N40" s="673"/>
      <c r="O40" s="675"/>
      <c r="P40" s="676"/>
      <c r="X40" s="683" t="s">
        <v>963</v>
      </c>
      <c r="Y40" s="689">
        <v>48</v>
      </c>
      <c r="Z40" s="690">
        <v>255196</v>
      </c>
    </row>
    <row r="41" spans="1:26">
      <c r="A41" s="15">
        <v>54</v>
      </c>
      <c r="B41" s="699" t="s">
        <v>41</v>
      </c>
      <c r="C41" s="675"/>
      <c r="D41" s="700">
        <f t="shared" si="1"/>
        <v>210040</v>
      </c>
      <c r="E41" s="701">
        <f t="shared" si="0"/>
        <v>210040</v>
      </c>
      <c r="F41">
        <v>54</v>
      </c>
      <c r="H41" s="683" t="s">
        <v>966</v>
      </c>
      <c r="I41" s="689">
        <v>54</v>
      </c>
      <c r="J41" s="690">
        <v>210040</v>
      </c>
      <c r="K41" s="694">
        <f t="shared" si="2"/>
        <v>0</v>
      </c>
      <c r="N41" s="673"/>
      <c r="O41" s="675"/>
      <c r="P41" s="676"/>
      <c r="X41" s="683" t="s">
        <v>964</v>
      </c>
      <c r="Y41" s="689">
        <v>49</v>
      </c>
      <c r="Z41" s="690">
        <v>178987</v>
      </c>
    </row>
    <row r="42" spans="1:26">
      <c r="A42">
        <v>55</v>
      </c>
      <c r="B42" s="699" t="s">
        <v>29</v>
      </c>
      <c r="C42" s="675"/>
      <c r="D42" s="700">
        <f t="shared" si="1"/>
        <v>102226</v>
      </c>
      <c r="E42" s="701">
        <f t="shared" si="0"/>
        <v>102226</v>
      </c>
      <c r="F42">
        <v>55</v>
      </c>
      <c r="H42" s="683" t="s">
        <v>967</v>
      </c>
      <c r="I42" s="689">
        <v>55</v>
      </c>
      <c r="J42" s="690">
        <v>102226</v>
      </c>
      <c r="K42" s="694">
        <f t="shared" si="2"/>
        <v>0</v>
      </c>
      <c r="N42" s="673"/>
      <c r="O42" s="675"/>
      <c r="P42" s="676"/>
      <c r="X42" s="683" t="s">
        <v>965</v>
      </c>
      <c r="Y42" s="689">
        <v>51</v>
      </c>
      <c r="Z42" s="690">
        <v>213054.4</v>
      </c>
    </row>
    <row r="43" spans="1:26">
      <c r="A43" s="15">
        <v>60</v>
      </c>
      <c r="B43" s="699" t="s">
        <v>17</v>
      </c>
      <c r="C43" s="675"/>
      <c r="D43" s="700">
        <f t="shared" si="1"/>
        <v>47165.008000000002</v>
      </c>
      <c r="E43" s="701">
        <f t="shared" si="0"/>
        <v>47165.008000000002</v>
      </c>
      <c r="F43">
        <v>60</v>
      </c>
      <c r="H43" s="683" t="s">
        <v>968</v>
      </c>
      <c r="I43" s="689">
        <v>60</v>
      </c>
      <c r="J43" s="690">
        <v>47165.008000000002</v>
      </c>
      <c r="K43" s="694">
        <f t="shared" si="2"/>
        <v>0</v>
      </c>
      <c r="N43" s="673"/>
      <c r="O43" s="675"/>
      <c r="P43" s="676"/>
      <c r="X43" s="683" t="s">
        <v>966</v>
      </c>
      <c r="Y43" s="689">
        <v>54</v>
      </c>
      <c r="Z43" s="690">
        <v>210040</v>
      </c>
    </row>
    <row r="44" spans="1:26">
      <c r="A44">
        <v>61</v>
      </c>
      <c r="B44" s="699" t="s">
        <v>9</v>
      </c>
      <c r="C44" s="675"/>
      <c r="D44" s="700">
        <f t="shared" si="1"/>
        <v>88149</v>
      </c>
      <c r="E44" s="701">
        <f t="shared" si="0"/>
        <v>88149</v>
      </c>
      <c r="F44">
        <v>61</v>
      </c>
      <c r="H44" s="683" t="s">
        <v>969</v>
      </c>
      <c r="I44" s="689">
        <v>61</v>
      </c>
      <c r="J44" s="690">
        <v>88149</v>
      </c>
      <c r="K44" s="694">
        <f t="shared" si="2"/>
        <v>0</v>
      </c>
      <c r="N44" s="673"/>
      <c r="O44" s="675"/>
      <c r="P44" s="676"/>
      <c r="X44" s="683" t="s">
        <v>967</v>
      </c>
      <c r="Y44" s="689">
        <v>55</v>
      </c>
      <c r="Z44" s="690">
        <v>102226</v>
      </c>
    </row>
    <row r="45" spans="1:26">
      <c r="A45">
        <v>2001</v>
      </c>
      <c r="B45" s="699" t="s">
        <v>28</v>
      </c>
      <c r="C45" s="675">
        <f>+T23*1000</f>
        <v>3729135.281691547</v>
      </c>
      <c r="D45" s="700">
        <f t="shared" si="1"/>
        <v>103574.6</v>
      </c>
      <c r="E45" s="701">
        <f t="shared" si="0"/>
        <v>3832709.8816915471</v>
      </c>
      <c r="F45">
        <v>2001</v>
      </c>
      <c r="H45" s="683" t="s">
        <v>970</v>
      </c>
      <c r="I45" s="689">
        <v>2001</v>
      </c>
      <c r="J45" s="690">
        <v>103574.6</v>
      </c>
      <c r="K45" s="694">
        <f t="shared" si="2"/>
        <v>0</v>
      </c>
      <c r="N45" s="673">
        <v>3487391.9976305449</v>
      </c>
      <c r="O45" s="675">
        <f t="shared" ref="O45:O46" si="12">+C45-N45</f>
        <v>241743.28406100208</v>
      </c>
      <c r="P45" s="676">
        <f t="shared" si="4"/>
        <v>6.931921740522741E-2</v>
      </c>
      <c r="X45" s="683" t="s">
        <v>968</v>
      </c>
      <c r="Y45" s="689">
        <v>60</v>
      </c>
      <c r="Z45" s="690">
        <v>47165.008000000002</v>
      </c>
    </row>
    <row r="46" spans="1:26">
      <c r="A46">
        <v>2004</v>
      </c>
      <c r="B46" s="699" t="s">
        <v>22</v>
      </c>
      <c r="C46" s="675">
        <f>+T24*1000</f>
        <v>4851355.9454628937</v>
      </c>
      <c r="D46" s="700">
        <f t="shared" si="1"/>
        <v>304134.3</v>
      </c>
      <c r="E46" s="701">
        <f t="shared" si="0"/>
        <v>5155490.2454628935</v>
      </c>
      <c r="F46">
        <v>2004</v>
      </c>
      <c r="H46" s="683" t="s">
        <v>971</v>
      </c>
      <c r="I46" s="689">
        <v>2004</v>
      </c>
      <c r="J46" s="690">
        <v>304134.3</v>
      </c>
      <c r="K46" s="694">
        <f t="shared" si="2"/>
        <v>0</v>
      </c>
      <c r="N46" s="673">
        <v>5293171.2100714985</v>
      </c>
      <c r="O46" s="675">
        <f t="shared" si="12"/>
        <v>-441815.26460860483</v>
      </c>
      <c r="P46" s="676">
        <f t="shared" si="4"/>
        <v>-8.346891628367277E-2</v>
      </c>
      <c r="X46" s="683" t="s">
        <v>969</v>
      </c>
      <c r="Y46" s="689">
        <v>61</v>
      </c>
      <c r="Z46" s="690">
        <v>88149</v>
      </c>
    </row>
    <row r="47" spans="1:26">
      <c r="A47" s="15">
        <v>5050</v>
      </c>
      <c r="B47" s="699" t="s">
        <v>37</v>
      </c>
      <c r="C47" s="675"/>
      <c r="D47" s="700">
        <f t="shared" si="1"/>
        <v>358655.53500000003</v>
      </c>
      <c r="E47" s="701">
        <f t="shared" si="0"/>
        <v>358655.53500000003</v>
      </c>
      <c r="F47">
        <v>5050</v>
      </c>
      <c r="H47" s="683" t="s">
        <v>972</v>
      </c>
      <c r="I47" s="689">
        <v>5050</v>
      </c>
      <c r="J47" s="690">
        <v>358655.53500000003</v>
      </c>
      <c r="K47" s="694">
        <f t="shared" si="2"/>
        <v>0</v>
      </c>
      <c r="N47" s="673"/>
      <c r="O47" s="675"/>
      <c r="P47" s="676"/>
      <c r="X47" s="683" t="s">
        <v>970</v>
      </c>
      <c r="Y47" s="689">
        <v>2001</v>
      </c>
      <c r="Z47" s="690">
        <v>103574.6</v>
      </c>
    </row>
    <row r="48" spans="1:26">
      <c r="A48" s="15"/>
      <c r="B48" s="699"/>
      <c r="C48" s="675"/>
      <c r="D48" s="702"/>
      <c r="E48" s="703"/>
      <c r="H48" s="683" t="s">
        <v>973</v>
      </c>
      <c r="I48" s="689">
        <v>2005</v>
      </c>
      <c r="J48" s="690">
        <v>57201</v>
      </c>
      <c r="N48" s="673"/>
      <c r="O48" s="675"/>
      <c r="P48" s="676"/>
      <c r="X48" s="683" t="s">
        <v>971</v>
      </c>
      <c r="Y48" s="689">
        <v>2004</v>
      </c>
      <c r="Z48" s="690">
        <v>304134.3</v>
      </c>
    </row>
    <row r="49" spans="1:26">
      <c r="A49" s="15"/>
      <c r="B49" s="699"/>
      <c r="C49" s="675"/>
      <c r="D49" s="702"/>
      <c r="E49" s="703"/>
      <c r="H49" s="683" t="s">
        <v>974</v>
      </c>
      <c r="I49" s="689">
        <v>3029</v>
      </c>
      <c r="J49" s="690">
        <v>46328.1</v>
      </c>
      <c r="N49" s="673"/>
      <c r="O49" s="675"/>
      <c r="P49" s="676"/>
      <c r="X49" s="683" t="s">
        <v>972</v>
      </c>
      <c r="Y49" s="689">
        <v>5050</v>
      </c>
      <c r="Z49" s="690">
        <v>358655.53500000003</v>
      </c>
    </row>
    <row r="50" spans="1:26" ht="15.75" thickBot="1">
      <c r="B50" s="699" t="s">
        <v>57</v>
      </c>
      <c r="C50" s="675">
        <f>SUM(C2:C49)</f>
        <v>316213910.72055328</v>
      </c>
      <c r="D50" s="702">
        <f>SUM(D2:D47)</f>
        <v>13303674.243000001</v>
      </c>
      <c r="E50" s="703">
        <f>C50+D50</f>
        <v>329517584.96355331</v>
      </c>
      <c r="F50">
        <v>99999</v>
      </c>
      <c r="H50" s="683" t="s">
        <v>975</v>
      </c>
      <c r="I50" s="689">
        <v>5034</v>
      </c>
      <c r="J50" s="690">
        <v>47622</v>
      </c>
      <c r="N50" s="677">
        <f>SUM(N2:N49)</f>
        <v>272346544.36970222</v>
      </c>
      <c r="O50" s="678">
        <f>+C50</f>
        <v>316213910.72055328</v>
      </c>
      <c r="P50" s="679">
        <f t="shared" si="4"/>
        <v>1.1610718669200459</v>
      </c>
      <c r="X50" s="683" t="s">
        <v>973</v>
      </c>
      <c r="Y50" s="689">
        <v>2005</v>
      </c>
      <c r="Z50" s="690">
        <v>57201</v>
      </c>
    </row>
    <row r="51" spans="1:26" ht="15.75" thickBot="1">
      <c r="B51" s="704"/>
      <c r="C51" s="678"/>
      <c r="D51" s="678"/>
      <c r="E51" s="705"/>
      <c r="H51" s="683" t="s">
        <v>976</v>
      </c>
      <c r="I51" s="689">
        <v>4000</v>
      </c>
      <c r="J51" s="690">
        <v>100713</v>
      </c>
      <c r="X51" s="683" t="s">
        <v>974</v>
      </c>
      <c r="Y51" s="689">
        <v>3029</v>
      </c>
      <c r="Z51" s="690">
        <v>46328.1</v>
      </c>
    </row>
    <row r="52" spans="1:26">
      <c r="H52" s="683" t="s">
        <v>977</v>
      </c>
      <c r="I52" s="689">
        <v>8992</v>
      </c>
      <c r="J52" s="690">
        <v>180648.80000000002</v>
      </c>
      <c r="X52" s="683" t="s">
        <v>975</v>
      </c>
      <c r="Y52" s="689">
        <v>5034</v>
      </c>
      <c r="Z52" s="690">
        <v>47622</v>
      </c>
    </row>
    <row r="53" spans="1:26">
      <c r="H53" s="691" t="s">
        <v>978</v>
      </c>
      <c r="I53" s="687">
        <v>8994</v>
      </c>
      <c r="J53" s="692">
        <v>50120.4</v>
      </c>
      <c r="X53" s="683" t="s">
        <v>976</v>
      </c>
      <c r="Y53" s="689">
        <v>4000</v>
      </c>
      <c r="Z53" s="690">
        <v>100713</v>
      </c>
    </row>
    <row r="54" spans="1:26">
      <c r="H54" s="683"/>
      <c r="I54" s="689"/>
      <c r="J54" s="693">
        <v>13786307.543000001</v>
      </c>
      <c r="X54" s="683" t="s">
        <v>977</v>
      </c>
      <c r="Y54" s="689">
        <v>8992</v>
      </c>
      <c r="Z54" s="690">
        <v>180648.80000000002</v>
      </c>
    </row>
    <row r="55" spans="1:26">
      <c r="X55" s="691" t="s">
        <v>978</v>
      </c>
      <c r="Y55" s="687">
        <v>8994</v>
      </c>
      <c r="Z55" s="692">
        <v>50120.4</v>
      </c>
    </row>
    <row r="56" spans="1:26">
      <c r="X56" s="683"/>
      <c r="Y56" s="689"/>
      <c r="Z56" s="693">
        <v>13786307.543000001</v>
      </c>
    </row>
    <row r="57" spans="1:26">
      <c r="J57" s="695">
        <f>SUM(J49:J53)</f>
        <v>425432.30000000005</v>
      </c>
    </row>
    <row r="59" spans="1:26">
      <c r="J59" s="695"/>
    </row>
  </sheetData>
  <sortState ref="A2:E47">
    <sortCondition ref="A2:A47"/>
  </sortState>
  <pageMargins left="0.7" right="0.7" top="0.75" bottom="0.75" header="0.3" footer="0.3"/>
  <pageSetup scale="7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2" workbookViewId="0">
      <selection activeCell="B43" sqref="B43"/>
    </sheetView>
  </sheetViews>
  <sheetFormatPr defaultRowHeight="12.75"/>
  <cols>
    <col min="1" max="1" width="8.28515625" style="39" customWidth="1"/>
    <col min="2" max="2" width="55.42578125" style="40" bestFit="1" customWidth="1"/>
    <col min="3" max="3" width="9.5703125" style="40" customWidth="1"/>
    <col min="4" max="4" width="9.140625" style="40"/>
    <col min="5" max="5" width="12.42578125" style="40" customWidth="1"/>
    <col min="6" max="6" width="18.5703125" style="40" customWidth="1"/>
    <col min="7" max="7" width="23.5703125" style="40" customWidth="1"/>
    <col min="8" max="8" width="17.140625" style="40" customWidth="1"/>
    <col min="9" max="9" width="21.140625" style="40" customWidth="1"/>
    <col min="10" max="10" width="19.85546875" style="40" customWidth="1"/>
    <col min="11" max="11" width="17.5703125" style="40" customWidth="1"/>
    <col min="12" max="16384" width="9.14062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363</v>
      </c>
      <c r="D5" s="827"/>
      <c r="E5" s="827"/>
      <c r="F5" s="827"/>
      <c r="G5" s="828"/>
    </row>
    <row r="6" spans="1:11" ht="18" customHeight="1">
      <c r="B6" s="45" t="s">
        <v>136</v>
      </c>
      <c r="C6" s="847" t="s">
        <v>364</v>
      </c>
      <c r="D6" s="830"/>
      <c r="E6" s="830"/>
      <c r="F6" s="830"/>
      <c r="G6" s="831"/>
    </row>
    <row r="7" spans="1:11" ht="18" customHeight="1">
      <c r="B7" s="45" t="s">
        <v>137</v>
      </c>
      <c r="C7" s="832">
        <v>2767</v>
      </c>
      <c r="D7" s="833"/>
      <c r="E7" s="833"/>
      <c r="F7" s="833"/>
      <c r="G7" s="834"/>
    </row>
    <row r="9" spans="1:11" ht="18" customHeight="1">
      <c r="B9" s="45" t="s">
        <v>138</v>
      </c>
      <c r="C9" s="843" t="s">
        <v>365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366</v>
      </c>
      <c r="D10" s="836"/>
      <c r="E10" s="836"/>
      <c r="F10" s="836"/>
      <c r="G10" s="837"/>
    </row>
    <row r="11" spans="1:11" ht="18" customHeight="1">
      <c r="B11" s="45" t="s">
        <v>142</v>
      </c>
      <c r="C11" s="838" t="s">
        <v>367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10397856.960897399</v>
      </c>
      <c r="I18" s="52">
        <v>0</v>
      </c>
      <c r="J18" s="51">
        <v>8891467.7771041095</v>
      </c>
      <c r="K18" s="53">
        <f>(H18+I18)-J18</f>
        <v>1506389.1837932896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807.49000000000012</v>
      </c>
      <c r="G21" s="50">
        <v>10915</v>
      </c>
      <c r="H21" s="51">
        <v>162705.83499999996</v>
      </c>
      <c r="I21" s="52">
        <f t="shared" ref="I21:I34" si="0">H21*F$114</f>
        <v>86532.393680155845</v>
      </c>
      <c r="J21" s="51">
        <v>8250.3500000000022</v>
      </c>
      <c r="K21" s="53">
        <f t="shared" ref="K21:K34" si="1">(H21+I21)-J21</f>
        <v>240987.87868015582</v>
      </c>
    </row>
    <row r="22" spans="1:11" ht="18" customHeight="1">
      <c r="A22" s="45" t="s">
        <v>261</v>
      </c>
      <c r="B22" s="40" t="s">
        <v>157</v>
      </c>
      <c r="F22" s="50"/>
      <c r="G22" s="50"/>
      <c r="H22" s="51"/>
      <c r="I22" s="52">
        <f t="shared" si="0"/>
        <v>0</v>
      </c>
      <c r="J22" s="51"/>
      <c r="K22" s="53">
        <f t="shared" si="1"/>
        <v>0</v>
      </c>
    </row>
    <row r="23" spans="1:11" ht="18" customHeight="1">
      <c r="A23" s="45" t="s">
        <v>262</v>
      </c>
      <c r="B23" s="40" t="s">
        <v>158</v>
      </c>
      <c r="F23" s="50">
        <v>116</v>
      </c>
      <c r="G23" s="50"/>
      <c r="H23" s="51">
        <v>7997</v>
      </c>
      <c r="I23" s="52">
        <f t="shared" si="0"/>
        <v>4253.0715155987273</v>
      </c>
      <c r="J23" s="51"/>
      <c r="K23" s="53">
        <f t="shared" si="1"/>
        <v>12250.071515598727</v>
      </c>
    </row>
    <row r="24" spans="1:11" ht="18" customHeight="1">
      <c r="A24" s="45" t="s">
        <v>263</v>
      </c>
      <c r="B24" s="40" t="s">
        <v>159</v>
      </c>
      <c r="F24" s="50"/>
      <c r="G24" s="50"/>
      <c r="H24" s="51"/>
      <c r="I24" s="52">
        <f t="shared" si="0"/>
        <v>0</v>
      </c>
      <c r="J24" s="51"/>
      <c r="K24" s="53">
        <f t="shared" si="1"/>
        <v>0</v>
      </c>
    </row>
    <row r="25" spans="1:11" ht="18" customHeight="1">
      <c r="A25" s="45" t="s">
        <v>264</v>
      </c>
      <c r="B25" s="40" t="s">
        <v>160</v>
      </c>
      <c r="F25" s="50">
        <v>575</v>
      </c>
      <c r="G25" s="50">
        <v>7253</v>
      </c>
      <c r="H25" s="51">
        <v>173933.26</v>
      </c>
      <c r="I25" s="52">
        <f t="shared" si="0"/>
        <v>92503.51303254065</v>
      </c>
      <c r="J25" s="51">
        <v>0</v>
      </c>
      <c r="K25" s="53">
        <f t="shared" si="1"/>
        <v>266436.77303254069</v>
      </c>
    </row>
    <row r="26" spans="1:11" ht="18" customHeight="1">
      <c r="A26" s="45" t="s">
        <v>265</v>
      </c>
      <c r="B26" s="40" t="s">
        <v>161</v>
      </c>
      <c r="F26" s="50"/>
      <c r="G26" s="50"/>
      <c r="H26" s="51"/>
      <c r="I26" s="52">
        <f t="shared" si="0"/>
        <v>0</v>
      </c>
      <c r="J26" s="51"/>
      <c r="K26" s="53">
        <f t="shared" si="1"/>
        <v>0</v>
      </c>
    </row>
    <row r="27" spans="1:11" ht="18" customHeight="1">
      <c r="A27" s="45" t="s">
        <v>266</v>
      </c>
      <c r="B27" s="40" t="s">
        <v>162</v>
      </c>
      <c r="F27" s="50"/>
      <c r="G27" s="50"/>
      <c r="H27" s="51"/>
      <c r="I27" s="52">
        <f t="shared" si="0"/>
        <v>0</v>
      </c>
      <c r="J27" s="51"/>
      <c r="K27" s="53">
        <f t="shared" si="1"/>
        <v>0</v>
      </c>
    </row>
    <row r="28" spans="1:11" ht="18" customHeight="1">
      <c r="A28" s="45" t="s">
        <v>267</v>
      </c>
      <c r="B28" s="40" t="s">
        <v>163</v>
      </c>
      <c r="F28" s="50"/>
      <c r="G28" s="50"/>
      <c r="H28" s="51"/>
      <c r="I28" s="52">
        <f t="shared" si="0"/>
        <v>0</v>
      </c>
      <c r="J28" s="51"/>
      <c r="K28" s="53">
        <f t="shared" si="1"/>
        <v>0</v>
      </c>
    </row>
    <row r="29" spans="1:11" ht="18" customHeight="1">
      <c r="A29" s="45" t="s">
        <v>268</v>
      </c>
      <c r="B29" s="40" t="s">
        <v>165</v>
      </c>
      <c r="F29" s="50">
        <v>8995</v>
      </c>
      <c r="G29" s="50"/>
      <c r="H29" s="51">
        <v>207852</v>
      </c>
      <c r="I29" s="52">
        <f t="shared" si="0"/>
        <v>110542.63106917928</v>
      </c>
      <c r="J29" s="51"/>
      <c r="K29" s="53">
        <f t="shared" si="1"/>
        <v>318394.63106917928</v>
      </c>
    </row>
    <row r="30" spans="1:11" ht="18" customHeight="1">
      <c r="A30" s="45" t="s">
        <v>269</v>
      </c>
      <c r="B30" s="814"/>
      <c r="C30" s="815"/>
      <c r="D30" s="816"/>
      <c r="F30" s="50"/>
      <c r="G30" s="50"/>
      <c r="H30" s="51"/>
      <c r="I30" s="52">
        <f t="shared" si="0"/>
        <v>0</v>
      </c>
      <c r="J30" s="51"/>
      <c r="K30" s="53">
        <f t="shared" si="1"/>
        <v>0</v>
      </c>
    </row>
    <row r="31" spans="1:11" ht="18" customHeight="1">
      <c r="A31" s="45" t="s">
        <v>270</v>
      </c>
      <c r="B31" s="814"/>
      <c r="C31" s="815"/>
      <c r="D31" s="816"/>
      <c r="F31" s="50"/>
      <c r="G31" s="50"/>
      <c r="H31" s="51"/>
      <c r="I31" s="52">
        <f t="shared" si="0"/>
        <v>0</v>
      </c>
      <c r="J31" s="51"/>
      <c r="K31" s="53">
        <f t="shared" si="1"/>
        <v>0</v>
      </c>
    </row>
    <row r="32" spans="1:11" ht="18" customHeight="1">
      <c r="A32" s="45" t="s">
        <v>271</v>
      </c>
      <c r="B32" s="54"/>
      <c r="C32" s="55"/>
      <c r="D32" s="56"/>
      <c r="F32" s="50"/>
      <c r="G32" s="57" t="s">
        <v>272</v>
      </c>
      <c r="H32" s="51"/>
      <c r="I32" s="52">
        <f t="shared" si="0"/>
        <v>0</v>
      </c>
      <c r="J32" s="51"/>
      <c r="K32" s="53">
        <f t="shared" si="1"/>
        <v>0</v>
      </c>
    </row>
    <row r="33" spans="1:11" ht="18" customHeight="1">
      <c r="A33" s="45" t="s">
        <v>273</v>
      </c>
      <c r="B33" s="54"/>
      <c r="C33" s="55"/>
      <c r="D33" s="56"/>
      <c r="F33" s="50"/>
      <c r="G33" s="57" t="s">
        <v>272</v>
      </c>
      <c r="H33" s="51"/>
      <c r="I33" s="52">
        <f t="shared" si="0"/>
        <v>0</v>
      </c>
      <c r="J33" s="51"/>
      <c r="K33" s="53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0"/>
        <v>0</v>
      </c>
      <c r="J34" s="51"/>
      <c r="K34" s="53">
        <f t="shared" si="1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10493.49</v>
      </c>
      <c r="G36" s="59">
        <f t="shared" si="2"/>
        <v>18168</v>
      </c>
      <c r="H36" s="59">
        <f t="shared" si="2"/>
        <v>552488.09499999997</v>
      </c>
      <c r="I36" s="53">
        <f t="shared" si="2"/>
        <v>293831.6092974745</v>
      </c>
      <c r="J36" s="53">
        <f t="shared" si="2"/>
        <v>8250.3500000000022</v>
      </c>
      <c r="K36" s="53">
        <f t="shared" si="2"/>
        <v>838069.35429747449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>
        <v>151839.99999999997</v>
      </c>
      <c r="G40" s="50"/>
      <c r="H40" s="51">
        <v>7145071.9065657947</v>
      </c>
      <c r="I40" s="52">
        <v>0</v>
      </c>
      <c r="J40" s="51"/>
      <c r="K40" s="53">
        <f t="shared" ref="K40:K47" si="3">(H40+I40)-J40</f>
        <v>7145071.9065657947</v>
      </c>
    </row>
    <row r="41" spans="1:11" ht="18" customHeight="1">
      <c r="A41" s="45" t="s">
        <v>278</v>
      </c>
      <c r="B41" s="818" t="s">
        <v>172</v>
      </c>
      <c r="C41" s="819"/>
      <c r="F41" s="50"/>
      <c r="G41" s="50"/>
      <c r="H41" s="51"/>
      <c r="I41" s="52">
        <v>0</v>
      </c>
      <c r="J41" s="51"/>
      <c r="K41" s="53">
        <f t="shared" si="3"/>
        <v>0</v>
      </c>
    </row>
    <row r="42" spans="1:11" ht="18" customHeight="1">
      <c r="A42" s="45" t="s">
        <v>279</v>
      </c>
      <c r="B42" s="49" t="s">
        <v>174</v>
      </c>
      <c r="F42" s="50"/>
      <c r="G42" s="50"/>
      <c r="H42" s="51"/>
      <c r="I42" s="52">
        <v>0</v>
      </c>
      <c r="J42" s="51"/>
      <c r="K42" s="53">
        <f t="shared" si="3"/>
        <v>0</v>
      </c>
    </row>
    <row r="43" spans="1:11" ht="18" customHeight="1">
      <c r="A43" s="45" t="s">
        <v>280</v>
      </c>
      <c r="B43" s="49" t="s">
        <v>176</v>
      </c>
      <c r="F43" s="50"/>
      <c r="G43" s="50"/>
      <c r="H43" s="51"/>
      <c r="I43" s="52">
        <v>0</v>
      </c>
      <c r="J43" s="51"/>
      <c r="K43" s="53">
        <f t="shared" si="3"/>
        <v>0</v>
      </c>
    </row>
    <row r="44" spans="1:11" ht="18" customHeight="1">
      <c r="A44" s="45" t="s">
        <v>281</v>
      </c>
      <c r="B44" s="814"/>
      <c r="C44" s="815"/>
      <c r="D44" s="816"/>
      <c r="F44" s="50"/>
      <c r="G44" s="50"/>
      <c r="H44" s="50"/>
      <c r="I44" s="52">
        <v>0</v>
      </c>
      <c r="J44" s="50"/>
      <c r="K44" s="63">
        <f t="shared" si="3"/>
        <v>0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v>0</v>
      </c>
      <c r="J45" s="51"/>
      <c r="K45" s="53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v>0</v>
      </c>
      <c r="J46" s="51"/>
      <c r="K46" s="53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151839.99999999997</v>
      </c>
      <c r="G49" s="64">
        <f t="shared" si="4"/>
        <v>0</v>
      </c>
      <c r="H49" s="53">
        <f t="shared" si="4"/>
        <v>7145071.9065657947</v>
      </c>
      <c r="I49" s="53">
        <f t="shared" si="4"/>
        <v>0</v>
      </c>
      <c r="J49" s="53">
        <f t="shared" si="4"/>
        <v>0</v>
      </c>
      <c r="K49" s="53">
        <f t="shared" si="4"/>
        <v>7145071.9065657947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46" t="s">
        <v>368</v>
      </c>
      <c r="C53" s="823"/>
      <c r="D53" s="813"/>
      <c r="F53" s="50"/>
      <c r="G53" s="50"/>
      <c r="H53" s="51">
        <v>0</v>
      </c>
      <c r="I53" s="52">
        <v>0</v>
      </c>
      <c r="J53" s="51">
        <v>0</v>
      </c>
      <c r="K53" s="53">
        <f t="shared" ref="K53:K62" si="5">(H53+I53)-J53</f>
        <v>0</v>
      </c>
    </row>
    <row r="54" spans="1:11" ht="18" customHeight="1">
      <c r="A54" s="45" t="s">
        <v>289</v>
      </c>
      <c r="B54" s="71" t="s">
        <v>369</v>
      </c>
      <c r="C54" s="67"/>
      <c r="D54" s="68"/>
      <c r="F54" s="50"/>
      <c r="G54" s="50"/>
      <c r="H54" s="51">
        <v>8995</v>
      </c>
      <c r="I54" s="52">
        <f>+H54*F$114</f>
        <v>4783.8412258109984</v>
      </c>
      <c r="J54" s="51"/>
      <c r="K54" s="53">
        <f t="shared" si="5"/>
        <v>13778.841225810998</v>
      </c>
    </row>
    <row r="55" spans="1:11" ht="18" customHeight="1">
      <c r="A55" s="45" t="s">
        <v>291</v>
      </c>
      <c r="B55" s="811" t="s">
        <v>370</v>
      </c>
      <c r="C55" s="812"/>
      <c r="D55" s="813"/>
      <c r="F55" s="50"/>
      <c r="G55" s="50"/>
      <c r="H55" s="51">
        <v>4136.6900000000005</v>
      </c>
      <c r="I55" s="52">
        <f t="shared" ref="I55:I57" si="6">+H55*F$114</f>
        <v>2200.0298121623237</v>
      </c>
      <c r="J55" s="51"/>
      <c r="K55" s="53">
        <f t="shared" si="5"/>
        <v>6336.7198121623242</v>
      </c>
    </row>
    <row r="56" spans="1:11" ht="18" customHeight="1">
      <c r="A56" s="45" t="s">
        <v>293</v>
      </c>
      <c r="B56" s="817" t="s">
        <v>371</v>
      </c>
      <c r="C56" s="812"/>
      <c r="D56" s="813"/>
      <c r="F56" s="50">
        <v>1251</v>
      </c>
      <c r="G56" s="50"/>
      <c r="H56" s="51">
        <v>55808</v>
      </c>
      <c r="I56" s="52">
        <f t="shared" si="6"/>
        <v>29680.557101729872</v>
      </c>
      <c r="J56" s="51"/>
      <c r="K56" s="53">
        <f t="shared" si="5"/>
        <v>85488.557101729879</v>
      </c>
    </row>
    <row r="57" spans="1:11" ht="18" customHeight="1">
      <c r="A57" s="45" t="s">
        <v>295</v>
      </c>
      <c r="B57" s="817" t="s">
        <v>372</v>
      </c>
      <c r="C57" s="812"/>
      <c r="D57" s="813"/>
      <c r="F57" s="50">
        <v>3553</v>
      </c>
      <c r="G57" s="50">
        <v>6379</v>
      </c>
      <c r="H57" s="51">
        <v>1526016.8</v>
      </c>
      <c r="I57" s="52">
        <f t="shared" si="6"/>
        <v>811586.66805115924</v>
      </c>
      <c r="J57" s="51">
        <v>386123</v>
      </c>
      <c r="K57" s="53">
        <f t="shared" si="5"/>
        <v>1951480.4680511593</v>
      </c>
    </row>
    <row r="58" spans="1:11" ht="18" customHeight="1">
      <c r="A58" s="45" t="s">
        <v>298</v>
      </c>
      <c r="B58" s="71" t="s">
        <v>373</v>
      </c>
      <c r="C58" s="67"/>
      <c r="D58" s="68"/>
      <c r="F58" s="50"/>
      <c r="G58" s="50"/>
      <c r="H58" s="51">
        <v>1549822.0499571187</v>
      </c>
      <c r="I58" s="52">
        <v>0</v>
      </c>
      <c r="J58" s="51"/>
      <c r="K58" s="53">
        <f t="shared" si="5"/>
        <v>1549822.0499571187</v>
      </c>
    </row>
    <row r="59" spans="1:11" ht="18" customHeight="1">
      <c r="A59" s="45" t="s">
        <v>300</v>
      </c>
      <c r="B59" s="811" t="s">
        <v>374</v>
      </c>
      <c r="C59" s="812"/>
      <c r="D59" s="813"/>
      <c r="F59" s="50"/>
      <c r="G59" s="50"/>
      <c r="H59" s="51">
        <v>958819.79995999997</v>
      </c>
      <c r="I59" s="52">
        <v>0</v>
      </c>
      <c r="J59" s="51">
        <v>778357.23435600812</v>
      </c>
      <c r="K59" s="53">
        <f t="shared" si="5"/>
        <v>180462.56560399185</v>
      </c>
    </row>
    <row r="60" spans="1:11" ht="18" customHeight="1">
      <c r="A60" s="45" t="s">
        <v>302</v>
      </c>
      <c r="B60" s="71"/>
      <c r="C60" s="67"/>
      <c r="D60" s="68"/>
      <c r="F60" s="50"/>
      <c r="G60" s="50"/>
      <c r="H60" s="51"/>
      <c r="I60" s="52">
        <v>0</v>
      </c>
      <c r="J60" s="51"/>
      <c r="K60" s="53">
        <f t="shared" si="5"/>
        <v>0</v>
      </c>
    </row>
    <row r="61" spans="1:11" ht="18" customHeight="1">
      <c r="A61" s="45" t="s">
        <v>303</v>
      </c>
      <c r="B61" s="71"/>
      <c r="C61" s="67"/>
      <c r="D61" s="68"/>
      <c r="F61" s="50"/>
      <c r="G61" s="50"/>
      <c r="H61" s="51"/>
      <c r="I61" s="52">
        <v>0</v>
      </c>
      <c r="J61" s="51"/>
      <c r="K61" s="53">
        <f t="shared" si="5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5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7">SUM(F53:F62)</f>
        <v>4804</v>
      </c>
      <c r="G64" s="59">
        <f t="shared" si="7"/>
        <v>6379</v>
      </c>
      <c r="H64" s="53">
        <f t="shared" si="7"/>
        <v>4103598.3399171187</v>
      </c>
      <c r="I64" s="53">
        <f t="shared" si="7"/>
        <v>848251.09619086247</v>
      </c>
      <c r="J64" s="53">
        <f t="shared" si="7"/>
        <v>1164480.234356008</v>
      </c>
      <c r="K64" s="53">
        <f t="shared" si="7"/>
        <v>3787369.2017519735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102">
        <v>5278</v>
      </c>
      <c r="G68" s="78"/>
      <c r="H68" s="102">
        <v>285848</v>
      </c>
      <c r="I68" s="52">
        <f>+H68*F114</f>
        <v>152023.50713903527</v>
      </c>
      <c r="J68" s="102">
        <v>185555</v>
      </c>
      <c r="K68" s="53">
        <f>(H68+I68)-J68</f>
        <v>252316.50713903527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71"/>
      <c r="C70" s="67"/>
      <c r="D70" s="68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71"/>
      <c r="C71" s="67"/>
      <c r="D71" s="68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81"/>
      <c r="C72" s="82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8">SUM(F68:F72)</f>
        <v>5278</v>
      </c>
      <c r="G74" s="86">
        <f t="shared" si="8"/>
        <v>0</v>
      </c>
      <c r="H74" s="86">
        <f t="shared" si="8"/>
        <v>285848</v>
      </c>
      <c r="I74" s="87">
        <f t="shared" si="8"/>
        <v>152023.50713903527</v>
      </c>
      <c r="J74" s="103">
        <f t="shared" si="8"/>
        <v>185555</v>
      </c>
      <c r="K74" s="63">
        <f t="shared" si="8"/>
        <v>252316.50713903527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/>
      <c r="G77" s="50"/>
      <c r="H77" s="51">
        <v>735683</v>
      </c>
      <c r="I77" s="52">
        <v>0</v>
      </c>
      <c r="J77" s="51"/>
      <c r="K77" s="53">
        <f>(H77+I77)-J77</f>
        <v>735683</v>
      </c>
    </row>
    <row r="78" spans="1:11" ht="18" customHeight="1">
      <c r="A78" s="45" t="s">
        <v>313</v>
      </c>
      <c r="B78" s="49" t="s">
        <v>197</v>
      </c>
      <c r="F78" s="50"/>
      <c r="G78" s="50"/>
      <c r="H78" s="51"/>
      <c r="I78" s="52">
        <v>0</v>
      </c>
      <c r="J78" s="51"/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/>
      <c r="G79" s="50"/>
      <c r="H79" s="51">
        <v>136890</v>
      </c>
      <c r="I79" s="52">
        <v>0</v>
      </c>
      <c r="J79" s="51"/>
      <c r="K79" s="53">
        <f>(H79+I79)-J79</f>
        <v>136890</v>
      </c>
    </row>
    <row r="80" spans="1:11" ht="18" customHeight="1">
      <c r="A80" s="45" t="s">
        <v>315</v>
      </c>
      <c r="B80" s="49" t="s">
        <v>316</v>
      </c>
      <c r="F80" s="50"/>
      <c r="G80" s="50"/>
      <c r="H80" s="51"/>
      <c r="I80" s="52">
        <v>0</v>
      </c>
      <c r="J80" s="51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9">SUM(F77:F80)</f>
        <v>0</v>
      </c>
      <c r="G82" s="86">
        <f t="shared" si="9"/>
        <v>0</v>
      </c>
      <c r="H82" s="63">
        <f t="shared" si="9"/>
        <v>872573</v>
      </c>
      <c r="I82" s="63">
        <f t="shared" si="9"/>
        <v>0</v>
      </c>
      <c r="J82" s="63">
        <f t="shared" si="9"/>
        <v>0</v>
      </c>
      <c r="K82" s="63">
        <f t="shared" si="9"/>
        <v>872573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/>
      <c r="G86" s="50"/>
      <c r="H86" s="51"/>
      <c r="I86" s="52">
        <f t="shared" ref="I86:I96" si="10">H86*F$114</f>
        <v>0</v>
      </c>
      <c r="J86" s="51"/>
      <c r="K86" s="53">
        <f t="shared" ref="K86:K96" si="11">(H86+I86)-J86</f>
        <v>0</v>
      </c>
    </row>
    <row r="87" spans="1:11" ht="18" customHeight="1">
      <c r="A87" s="45" t="s">
        <v>320</v>
      </c>
      <c r="B87" s="49" t="s">
        <v>206</v>
      </c>
      <c r="F87" s="50"/>
      <c r="G87" s="50"/>
      <c r="H87" s="51"/>
      <c r="I87" s="52">
        <f t="shared" si="10"/>
        <v>0</v>
      </c>
      <c r="J87" s="51"/>
      <c r="K87" s="53">
        <f t="shared" si="11"/>
        <v>0</v>
      </c>
    </row>
    <row r="88" spans="1:11" ht="18" customHeight="1">
      <c r="A88" s="45" t="s">
        <v>321</v>
      </c>
      <c r="B88" s="49" t="s">
        <v>208</v>
      </c>
      <c r="F88" s="50"/>
      <c r="G88" s="50"/>
      <c r="H88" s="51">
        <v>30581</v>
      </c>
      <c r="I88" s="52">
        <f t="shared" si="10"/>
        <v>16263.996501003461</v>
      </c>
      <c r="J88" s="51">
        <v>40000</v>
      </c>
      <c r="K88" s="53">
        <f t="shared" si="11"/>
        <v>6844.9965010034648</v>
      </c>
    </row>
    <row r="89" spans="1:11" ht="18" customHeight="1">
      <c r="A89" s="45" t="s">
        <v>322</v>
      </c>
      <c r="B89" s="49" t="s">
        <v>210</v>
      </c>
      <c r="F89" s="50"/>
      <c r="G89" s="50"/>
      <c r="H89" s="51"/>
      <c r="I89" s="52">
        <f t="shared" si="10"/>
        <v>0</v>
      </c>
      <c r="J89" s="51"/>
      <c r="K89" s="53">
        <f t="shared" si="11"/>
        <v>0</v>
      </c>
    </row>
    <row r="90" spans="1:11" ht="18" customHeight="1">
      <c r="A90" s="45" t="s">
        <v>323</v>
      </c>
      <c r="B90" s="818" t="s">
        <v>212</v>
      </c>
      <c r="C90" s="819"/>
      <c r="F90" s="50"/>
      <c r="G90" s="50"/>
      <c r="H90" s="51"/>
      <c r="I90" s="52">
        <f t="shared" si="10"/>
        <v>0</v>
      </c>
      <c r="J90" s="51"/>
      <c r="K90" s="53">
        <f t="shared" si="11"/>
        <v>0</v>
      </c>
    </row>
    <row r="91" spans="1:11" ht="18" customHeight="1">
      <c r="A91" s="45" t="s">
        <v>324</v>
      </c>
      <c r="B91" s="49" t="s">
        <v>214</v>
      </c>
      <c r="F91" s="50"/>
      <c r="G91" s="50"/>
      <c r="H91" s="51"/>
      <c r="I91" s="52">
        <f t="shared" si="10"/>
        <v>0</v>
      </c>
      <c r="J91" s="51"/>
      <c r="K91" s="53">
        <f t="shared" si="11"/>
        <v>0</v>
      </c>
    </row>
    <row r="92" spans="1:11" ht="18" customHeight="1">
      <c r="A92" s="45" t="s">
        <v>325</v>
      </c>
      <c r="B92" s="49" t="s">
        <v>216</v>
      </c>
      <c r="F92" s="89"/>
      <c r="G92" s="89"/>
      <c r="H92" s="90"/>
      <c r="I92" s="52">
        <f t="shared" si="10"/>
        <v>0</v>
      </c>
      <c r="J92" s="90"/>
      <c r="K92" s="53">
        <f t="shared" si="11"/>
        <v>0</v>
      </c>
    </row>
    <row r="93" spans="1:11" ht="18" customHeight="1">
      <c r="A93" s="45" t="s">
        <v>326</v>
      </c>
      <c r="B93" s="49" t="s">
        <v>218</v>
      </c>
      <c r="F93" s="50"/>
      <c r="G93" s="50"/>
      <c r="H93" s="51"/>
      <c r="I93" s="52">
        <f t="shared" si="10"/>
        <v>0</v>
      </c>
      <c r="J93" s="51"/>
      <c r="K93" s="53">
        <f t="shared" si="11"/>
        <v>0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si="10"/>
        <v>0</v>
      </c>
      <c r="J94" s="51"/>
      <c r="K94" s="53">
        <f t="shared" si="11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10"/>
        <v>0</v>
      </c>
      <c r="J95" s="51"/>
      <c r="K95" s="53">
        <f t="shared" si="11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10"/>
        <v>0</v>
      </c>
      <c r="J96" s="51"/>
      <c r="K96" s="53">
        <f t="shared" si="11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2">SUM(F86:F96)</f>
        <v>0</v>
      </c>
      <c r="G98" s="59">
        <f t="shared" si="12"/>
        <v>0</v>
      </c>
      <c r="H98" s="59">
        <f t="shared" si="12"/>
        <v>30581</v>
      </c>
      <c r="I98" s="59">
        <f t="shared" si="12"/>
        <v>16263.996501003461</v>
      </c>
      <c r="J98" s="59">
        <f t="shared" si="12"/>
        <v>40000</v>
      </c>
      <c r="K98" s="59">
        <f t="shared" si="12"/>
        <v>6844.9965010034648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/>
      <c r="G102" s="50"/>
      <c r="H102" s="51"/>
      <c r="I102" s="52">
        <f>H102*F$114</f>
        <v>0</v>
      </c>
      <c r="J102" s="51"/>
      <c r="K102" s="53">
        <f>(H102+I102)-J102</f>
        <v>0</v>
      </c>
    </row>
    <row r="103" spans="1:11" ht="18" customHeight="1">
      <c r="A103" s="45" t="s">
        <v>333</v>
      </c>
      <c r="B103" s="818" t="s">
        <v>226</v>
      </c>
      <c r="C103" s="818"/>
      <c r="F103" s="50"/>
      <c r="G103" s="50"/>
      <c r="H103" s="51"/>
      <c r="I103" s="52">
        <f>H103*F$114</f>
        <v>0</v>
      </c>
      <c r="J103" s="51"/>
      <c r="K103" s="53">
        <f>(H103+I103)-J103</f>
        <v>0</v>
      </c>
    </row>
    <row r="104" spans="1:11" ht="18" customHeight="1">
      <c r="A104" s="45" t="s">
        <v>334</v>
      </c>
      <c r="B104" s="811"/>
      <c r="C104" s="812"/>
      <c r="D104" s="813"/>
      <c r="F104" s="50"/>
      <c r="G104" s="50"/>
      <c r="H104" s="51"/>
      <c r="I104" s="52">
        <f>H104*F$114</f>
        <v>0</v>
      </c>
      <c r="J104" s="51"/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3">SUM(F102:F106)</f>
        <v>0</v>
      </c>
      <c r="G108" s="59">
        <f t="shared" si="13"/>
        <v>0</v>
      </c>
      <c r="H108" s="53">
        <f t="shared" si="13"/>
        <v>0</v>
      </c>
      <c r="I108" s="53">
        <f t="shared" si="13"/>
        <v>0</v>
      </c>
      <c r="J108" s="53">
        <f t="shared" si="13"/>
        <v>0</v>
      </c>
      <c r="K108" s="53">
        <f t="shared" si="13"/>
        <v>0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22405394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0.53183337696620325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401017282.93000001</v>
      </c>
    </row>
    <row r="118" spans="1:6">
      <c r="A118" s="45" t="s">
        <v>343</v>
      </c>
      <c r="B118" s="40" t="s">
        <v>237</v>
      </c>
      <c r="F118" s="51">
        <v>12084878</v>
      </c>
    </row>
    <row r="119" spans="1:6">
      <c r="A119" s="45" t="s">
        <v>344</v>
      </c>
      <c r="B119" s="43" t="s">
        <v>238</v>
      </c>
      <c r="F119" s="63">
        <f>SUM(F117:F118)</f>
        <v>413102160.93000001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386454161.93000001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v>26647999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15656469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v>42304468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4">SUM(F131:F135)</f>
        <v>0</v>
      </c>
      <c r="G137" s="59">
        <f t="shared" si="14"/>
        <v>0</v>
      </c>
      <c r="H137" s="53">
        <f t="shared" si="14"/>
        <v>0</v>
      </c>
      <c r="I137" s="53">
        <f t="shared" si="14"/>
        <v>0</v>
      </c>
      <c r="J137" s="53">
        <f t="shared" si="14"/>
        <v>0</v>
      </c>
      <c r="K137" s="53">
        <f t="shared" si="14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5">F36</f>
        <v>10493.49</v>
      </c>
      <c r="G141" s="95">
        <f t="shared" si="15"/>
        <v>18168</v>
      </c>
      <c r="H141" s="95">
        <f t="shared" si="15"/>
        <v>552488.09499999997</v>
      </c>
      <c r="I141" s="95">
        <f t="shared" si="15"/>
        <v>293831.6092974745</v>
      </c>
      <c r="J141" s="95">
        <f t="shared" si="15"/>
        <v>8250.3500000000022</v>
      </c>
      <c r="K141" s="95">
        <f t="shared" si="15"/>
        <v>838069.35429747449</v>
      </c>
    </row>
    <row r="142" spans="1:11" ht="18" customHeight="1">
      <c r="A142" s="45" t="s">
        <v>286</v>
      </c>
      <c r="B142" s="43" t="s">
        <v>125</v>
      </c>
      <c r="F142" s="95">
        <f t="shared" ref="F142:K142" si="16">F49</f>
        <v>151839.99999999997</v>
      </c>
      <c r="G142" s="95">
        <f t="shared" si="16"/>
        <v>0</v>
      </c>
      <c r="H142" s="95">
        <f t="shared" si="16"/>
        <v>7145071.9065657947</v>
      </c>
      <c r="I142" s="95">
        <f t="shared" si="16"/>
        <v>0</v>
      </c>
      <c r="J142" s="95">
        <f t="shared" si="16"/>
        <v>0</v>
      </c>
      <c r="K142" s="95">
        <f t="shared" si="16"/>
        <v>7145071.9065657947</v>
      </c>
    </row>
    <row r="143" spans="1:11" ht="18" customHeight="1">
      <c r="A143" s="45" t="s">
        <v>305</v>
      </c>
      <c r="B143" s="43" t="s">
        <v>247</v>
      </c>
      <c r="F143" s="95">
        <f t="shared" ref="F143:K143" si="17">F64</f>
        <v>4804</v>
      </c>
      <c r="G143" s="95">
        <f t="shared" si="17"/>
        <v>6379</v>
      </c>
      <c r="H143" s="95">
        <f t="shared" si="17"/>
        <v>4103598.3399171187</v>
      </c>
      <c r="I143" s="95">
        <f t="shared" si="17"/>
        <v>848251.09619086247</v>
      </c>
      <c r="J143" s="95">
        <f t="shared" si="17"/>
        <v>1164480.234356008</v>
      </c>
      <c r="K143" s="95">
        <f t="shared" si="17"/>
        <v>3787369.2017519735</v>
      </c>
    </row>
    <row r="144" spans="1:11" ht="18" customHeight="1">
      <c r="A144" s="45" t="s">
        <v>311</v>
      </c>
      <c r="B144" s="43" t="s">
        <v>127</v>
      </c>
      <c r="F144" s="95">
        <f t="shared" ref="F144:K144" si="18">F74</f>
        <v>5278</v>
      </c>
      <c r="G144" s="95">
        <f t="shared" si="18"/>
        <v>0</v>
      </c>
      <c r="H144" s="95">
        <f t="shared" si="18"/>
        <v>285848</v>
      </c>
      <c r="I144" s="95">
        <f t="shared" si="18"/>
        <v>152023.50713903527</v>
      </c>
      <c r="J144" s="95">
        <f t="shared" si="18"/>
        <v>185555</v>
      </c>
      <c r="K144" s="95">
        <f t="shared" si="18"/>
        <v>252316.50713903527</v>
      </c>
    </row>
    <row r="145" spans="1:11" ht="18" customHeight="1">
      <c r="A145" s="45" t="s">
        <v>317</v>
      </c>
      <c r="B145" s="43" t="s">
        <v>248</v>
      </c>
      <c r="F145" s="95">
        <f t="shared" ref="F145:K145" si="19">F82</f>
        <v>0</v>
      </c>
      <c r="G145" s="95">
        <f t="shared" si="19"/>
        <v>0</v>
      </c>
      <c r="H145" s="95">
        <f t="shared" si="19"/>
        <v>872573</v>
      </c>
      <c r="I145" s="95">
        <f t="shared" si="19"/>
        <v>0</v>
      </c>
      <c r="J145" s="95">
        <f t="shared" si="19"/>
        <v>0</v>
      </c>
      <c r="K145" s="95">
        <f t="shared" si="19"/>
        <v>872573</v>
      </c>
    </row>
    <row r="146" spans="1:11" ht="18" customHeight="1">
      <c r="A146" s="45" t="s">
        <v>331</v>
      </c>
      <c r="B146" s="43" t="s">
        <v>249</v>
      </c>
      <c r="F146" s="95">
        <f t="shared" ref="F146:K146" si="20">F98</f>
        <v>0</v>
      </c>
      <c r="G146" s="95">
        <f t="shared" si="20"/>
        <v>0</v>
      </c>
      <c r="H146" s="95">
        <f t="shared" si="20"/>
        <v>30581</v>
      </c>
      <c r="I146" s="95">
        <f t="shared" si="20"/>
        <v>16263.996501003461</v>
      </c>
      <c r="J146" s="95">
        <f t="shared" si="20"/>
        <v>40000</v>
      </c>
      <c r="K146" s="95">
        <f t="shared" si="20"/>
        <v>6844.9965010034648</v>
      </c>
    </row>
    <row r="147" spans="1:11" ht="18" customHeight="1">
      <c r="A147" s="45" t="s">
        <v>338</v>
      </c>
      <c r="B147" s="43" t="s">
        <v>129</v>
      </c>
      <c r="F147" s="59">
        <f t="shared" ref="F147:K147" si="21">F108</f>
        <v>0</v>
      </c>
      <c r="G147" s="59">
        <f t="shared" si="21"/>
        <v>0</v>
      </c>
      <c r="H147" s="59">
        <f t="shared" si="21"/>
        <v>0</v>
      </c>
      <c r="I147" s="59">
        <f t="shared" si="21"/>
        <v>0</v>
      </c>
      <c r="J147" s="59">
        <f t="shared" si="21"/>
        <v>0</v>
      </c>
      <c r="K147" s="59">
        <f t="shared" si="21"/>
        <v>0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22405394</v>
      </c>
    </row>
    <row r="149" spans="1:11" ht="18" customHeight="1">
      <c r="A149" s="45" t="s">
        <v>358</v>
      </c>
      <c r="B149" s="43" t="s">
        <v>250</v>
      </c>
      <c r="F149" s="59">
        <f t="shared" ref="F149:K149" si="22">F137</f>
        <v>0</v>
      </c>
      <c r="G149" s="59">
        <f t="shared" si="22"/>
        <v>0</v>
      </c>
      <c r="H149" s="59">
        <f t="shared" si="22"/>
        <v>0</v>
      </c>
      <c r="I149" s="59">
        <f t="shared" si="22"/>
        <v>0</v>
      </c>
      <c r="J149" s="59">
        <f t="shared" si="22"/>
        <v>0</v>
      </c>
      <c r="K149" s="59">
        <f t="shared" si="22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10397856.960897399</v>
      </c>
      <c r="I150" s="59">
        <f>I18</f>
        <v>0</v>
      </c>
      <c r="J150" s="59">
        <f>J18</f>
        <v>8891467.7771041095</v>
      </c>
      <c r="K150" s="59">
        <f>K18</f>
        <v>1506389.1837932896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3">SUM(F141:F150)</f>
        <v>172415.48999999996</v>
      </c>
      <c r="G152" s="99">
        <f t="shared" si="23"/>
        <v>24547</v>
      </c>
      <c r="H152" s="99">
        <f t="shared" si="23"/>
        <v>23388017.302380312</v>
      </c>
      <c r="I152" s="99">
        <f t="shared" si="23"/>
        <v>1310370.2091283756</v>
      </c>
      <c r="J152" s="99">
        <f t="shared" si="23"/>
        <v>10289753.361460118</v>
      </c>
      <c r="K152" s="99">
        <f t="shared" si="23"/>
        <v>36814028.150048569</v>
      </c>
    </row>
    <row r="154" spans="1:11" ht="18" customHeight="1">
      <c r="A154" s="48" t="s">
        <v>361</v>
      </c>
      <c r="B154" s="43" t="s">
        <v>252</v>
      </c>
      <c r="F154" s="100">
        <f>K152/F121</f>
        <v>9.5261047173602037E-2</v>
      </c>
    </row>
    <row r="155" spans="1:11" ht="18" customHeight="1">
      <c r="A155" s="48" t="s">
        <v>362</v>
      </c>
      <c r="B155" s="43" t="s">
        <v>253</v>
      </c>
      <c r="F155" s="100">
        <f>K152/F127</f>
        <v>0.87021607623215047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5" workbookViewId="0">
      <selection activeCell="B43" sqref="B43"/>
    </sheetView>
  </sheetViews>
  <sheetFormatPr defaultRowHeight="12.75"/>
  <cols>
    <col min="1" max="1" width="8.28515625" style="135" customWidth="1"/>
    <col min="2" max="2" width="55.42578125" style="49" bestFit="1" customWidth="1"/>
    <col min="3" max="3" width="9.5703125" style="49" customWidth="1"/>
    <col min="4" max="4" width="9.140625" style="49"/>
    <col min="5" max="5" width="12.42578125" style="49" customWidth="1"/>
    <col min="6" max="6" width="18.5703125" style="49" customWidth="1"/>
    <col min="7" max="7" width="23.5703125" style="49" customWidth="1"/>
    <col min="8" max="8" width="17.140625" style="49" customWidth="1"/>
    <col min="9" max="9" width="21.140625" style="49" customWidth="1"/>
    <col min="10" max="10" width="19.85546875" style="49" customWidth="1"/>
    <col min="11" max="11" width="17.5703125" style="49" customWidth="1"/>
    <col min="12" max="16384" width="9.140625" style="49"/>
  </cols>
  <sheetData>
    <row r="1" spans="1:11" ht="18" customHeight="1">
      <c r="C1" s="346"/>
      <c r="D1" s="42"/>
      <c r="E1" s="346"/>
      <c r="F1" s="346"/>
      <c r="G1" s="346"/>
      <c r="H1" s="346"/>
      <c r="I1" s="346"/>
      <c r="J1" s="346"/>
      <c r="K1" s="346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26" t="s">
        <v>712</v>
      </c>
      <c r="D5" s="851"/>
      <c r="E5" s="851"/>
      <c r="F5" s="851"/>
      <c r="G5" s="852"/>
    </row>
    <row r="6" spans="1:11" ht="18" customHeight="1">
      <c r="B6" s="45" t="s">
        <v>136</v>
      </c>
      <c r="C6" s="829">
        <v>12</v>
      </c>
      <c r="D6" s="854"/>
      <c r="E6" s="854"/>
      <c r="F6" s="854"/>
      <c r="G6" s="855"/>
    </row>
    <row r="7" spans="1:11" ht="18" customHeight="1">
      <c r="B7" s="45" t="s">
        <v>137</v>
      </c>
      <c r="C7" s="878">
        <v>4685</v>
      </c>
      <c r="D7" s="857"/>
      <c r="E7" s="857"/>
      <c r="F7" s="857"/>
      <c r="G7" s="858"/>
    </row>
    <row r="9" spans="1:11" ht="18" customHeight="1">
      <c r="B9" s="45" t="s">
        <v>138</v>
      </c>
      <c r="C9" s="826" t="s">
        <v>713</v>
      </c>
      <c r="D9" s="851"/>
      <c r="E9" s="851"/>
      <c r="F9" s="851"/>
      <c r="G9" s="852"/>
    </row>
    <row r="10" spans="1:11" ht="18" customHeight="1">
      <c r="B10" s="45" t="s">
        <v>140</v>
      </c>
      <c r="C10" s="835" t="s">
        <v>714</v>
      </c>
      <c r="D10" s="860"/>
      <c r="E10" s="860"/>
      <c r="F10" s="860"/>
      <c r="G10" s="861"/>
    </row>
    <row r="11" spans="1:11" ht="18" customHeight="1">
      <c r="B11" s="45" t="s">
        <v>142</v>
      </c>
      <c r="C11" s="838" t="s">
        <v>715</v>
      </c>
      <c r="D11" s="874"/>
      <c r="E11" s="874"/>
      <c r="F11" s="874"/>
      <c r="G11" s="874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346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18101928</v>
      </c>
      <c r="I18" s="167">
        <v>0</v>
      </c>
      <c r="J18" s="347">
        <v>15479412</v>
      </c>
      <c r="K18" s="348">
        <f>(H18+I18)-J18</f>
        <v>2622516</v>
      </c>
    </row>
    <row r="19" spans="1:11" ht="45" customHeight="1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7">
        <f>77+258+1505+10+62+182+652+5+116+6+6+11</f>
        <v>2890</v>
      </c>
      <c r="G21" s="57">
        <v>4068</v>
      </c>
      <c r="H21" s="347">
        <v>159646</v>
      </c>
      <c r="I21" s="167">
        <f t="shared" ref="I21:I34" si="0">H21*F$114</f>
        <v>90646.998800000001</v>
      </c>
      <c r="J21" s="347"/>
      <c r="K21" s="348">
        <f t="shared" ref="K21:K34" si="1">(H21+I21)-J21</f>
        <v>250292.9988</v>
      </c>
    </row>
    <row r="22" spans="1:11" ht="18" customHeight="1">
      <c r="A22" s="45" t="s">
        <v>261</v>
      </c>
      <c r="B22" s="49" t="s">
        <v>157</v>
      </c>
      <c r="F22" s="57">
        <f>116+6+555+343+343</f>
        <v>1363</v>
      </c>
      <c r="G22" s="57">
        <v>4327</v>
      </c>
      <c r="H22" s="347">
        <v>43891</v>
      </c>
      <c r="I22" s="167">
        <f t="shared" si="0"/>
        <v>24921.309799999999</v>
      </c>
      <c r="J22" s="347"/>
      <c r="K22" s="348">
        <f t="shared" si="1"/>
        <v>68812.309800000003</v>
      </c>
    </row>
    <row r="23" spans="1:11" ht="18" customHeight="1">
      <c r="A23" s="45" t="s">
        <v>262</v>
      </c>
      <c r="B23" s="49" t="s">
        <v>158</v>
      </c>
      <c r="F23" s="57"/>
      <c r="G23" s="57"/>
      <c r="H23" s="347"/>
      <c r="I23" s="167">
        <f t="shared" si="0"/>
        <v>0</v>
      </c>
      <c r="J23" s="347"/>
      <c r="K23" s="348">
        <f t="shared" si="1"/>
        <v>0</v>
      </c>
    </row>
    <row r="24" spans="1:11" ht="18" customHeight="1">
      <c r="A24" s="45" t="s">
        <v>263</v>
      </c>
      <c r="B24" s="49" t="s">
        <v>159</v>
      </c>
      <c r="F24" s="57">
        <f>226</f>
        <v>226</v>
      </c>
      <c r="G24" s="57">
        <v>320</v>
      </c>
      <c r="H24" s="347">
        <f>12026+120062+31688</f>
        <v>163776</v>
      </c>
      <c r="I24" s="167">
        <f t="shared" si="0"/>
        <v>92992.012799999997</v>
      </c>
      <c r="J24" s="347"/>
      <c r="K24" s="348">
        <f t="shared" si="1"/>
        <v>256768.0128</v>
      </c>
    </row>
    <row r="25" spans="1:11" ht="18" customHeight="1">
      <c r="A25" s="45" t="s">
        <v>264</v>
      </c>
      <c r="B25" s="49" t="s">
        <v>160</v>
      </c>
      <c r="F25" s="57"/>
      <c r="G25" s="57"/>
      <c r="H25" s="347"/>
      <c r="I25" s="167">
        <f t="shared" si="0"/>
        <v>0</v>
      </c>
      <c r="J25" s="347"/>
      <c r="K25" s="348">
        <f t="shared" si="1"/>
        <v>0</v>
      </c>
    </row>
    <row r="26" spans="1:11" ht="18" customHeight="1">
      <c r="A26" s="45" t="s">
        <v>265</v>
      </c>
      <c r="B26" s="49" t="s">
        <v>161</v>
      </c>
      <c r="F26" s="57"/>
      <c r="G26" s="57"/>
      <c r="H26" s="347"/>
      <c r="I26" s="167">
        <f t="shared" si="0"/>
        <v>0</v>
      </c>
      <c r="J26" s="347"/>
      <c r="K26" s="348">
        <f t="shared" si="1"/>
        <v>0</v>
      </c>
    </row>
    <row r="27" spans="1:11" ht="18" customHeight="1">
      <c r="A27" s="45" t="s">
        <v>266</v>
      </c>
      <c r="B27" s="49" t="s">
        <v>162</v>
      </c>
      <c r="F27" s="57"/>
      <c r="G27" s="57"/>
      <c r="H27" s="347"/>
      <c r="I27" s="167">
        <f t="shared" si="0"/>
        <v>0</v>
      </c>
      <c r="J27" s="347"/>
      <c r="K27" s="348">
        <f t="shared" si="1"/>
        <v>0</v>
      </c>
    </row>
    <row r="28" spans="1:11" ht="18" customHeight="1">
      <c r="A28" s="45" t="s">
        <v>267</v>
      </c>
      <c r="B28" s="49" t="s">
        <v>163</v>
      </c>
      <c r="F28" s="57"/>
      <c r="G28" s="57"/>
      <c r="H28" s="347"/>
      <c r="I28" s="167">
        <f t="shared" si="0"/>
        <v>0</v>
      </c>
      <c r="J28" s="347"/>
      <c r="K28" s="348">
        <f t="shared" si="1"/>
        <v>0</v>
      </c>
    </row>
    <row r="29" spans="1:11" ht="18" customHeight="1">
      <c r="A29" s="45" t="s">
        <v>268</v>
      </c>
      <c r="B29" s="49" t="s">
        <v>165</v>
      </c>
      <c r="F29" s="57">
        <f>8320+58+2681+990+1923+43+2659+134+134+1321+39</f>
        <v>18302</v>
      </c>
      <c r="G29" s="57">
        <v>8267</v>
      </c>
      <c r="H29" s="347">
        <v>1840790</v>
      </c>
      <c r="I29" s="167">
        <f t="shared" si="0"/>
        <v>1045200.5619999999</v>
      </c>
      <c r="J29" s="347"/>
      <c r="K29" s="348">
        <f t="shared" si="1"/>
        <v>2885990.5619999999</v>
      </c>
    </row>
    <row r="30" spans="1:11" ht="18" customHeight="1">
      <c r="A30" s="45" t="s">
        <v>269</v>
      </c>
      <c r="B30" s="814"/>
      <c r="C30" s="815"/>
      <c r="D30" s="816"/>
      <c r="F30" s="57"/>
      <c r="G30" s="57"/>
      <c r="H30" s="347"/>
      <c r="I30" s="167">
        <f t="shared" si="0"/>
        <v>0</v>
      </c>
      <c r="J30" s="347"/>
      <c r="K30" s="348">
        <f t="shared" si="1"/>
        <v>0</v>
      </c>
    </row>
    <row r="31" spans="1:11" ht="18" customHeight="1">
      <c r="A31" s="45" t="s">
        <v>270</v>
      </c>
      <c r="B31" s="814"/>
      <c r="C31" s="815"/>
      <c r="D31" s="816"/>
      <c r="F31" s="57"/>
      <c r="G31" s="57"/>
      <c r="H31" s="347"/>
      <c r="I31" s="167">
        <f t="shared" si="0"/>
        <v>0</v>
      </c>
      <c r="J31" s="347"/>
      <c r="K31" s="348">
        <f t="shared" si="1"/>
        <v>0</v>
      </c>
    </row>
    <row r="32" spans="1:11" ht="18" customHeight="1">
      <c r="A32" s="45" t="s">
        <v>271</v>
      </c>
      <c r="B32" s="160"/>
      <c r="C32" s="161"/>
      <c r="D32" s="162"/>
      <c r="F32" s="57"/>
      <c r="G32" s="57" t="s">
        <v>272</v>
      </c>
      <c r="H32" s="347"/>
      <c r="I32" s="167">
        <f t="shared" si="0"/>
        <v>0</v>
      </c>
      <c r="J32" s="347"/>
      <c r="K32" s="348">
        <f t="shared" si="1"/>
        <v>0</v>
      </c>
    </row>
    <row r="33" spans="1:11" ht="18" customHeight="1">
      <c r="A33" s="45" t="s">
        <v>273</v>
      </c>
      <c r="B33" s="160"/>
      <c r="C33" s="161"/>
      <c r="D33" s="162"/>
      <c r="F33" s="57"/>
      <c r="G33" s="57" t="s">
        <v>272</v>
      </c>
      <c r="H33" s="347"/>
      <c r="I33" s="167">
        <f t="shared" si="0"/>
        <v>0</v>
      </c>
      <c r="J33" s="347"/>
      <c r="K33" s="348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7"/>
      <c r="G34" s="57" t="s">
        <v>272</v>
      </c>
      <c r="H34" s="347"/>
      <c r="I34" s="167">
        <f t="shared" si="0"/>
        <v>0</v>
      </c>
      <c r="J34" s="347"/>
      <c r="K34" s="348">
        <f t="shared" si="1"/>
        <v>0</v>
      </c>
    </row>
    <row r="35" spans="1:11" ht="18" customHeight="1">
      <c r="K35" s="349"/>
    </row>
    <row r="36" spans="1:11" ht="18" customHeight="1">
      <c r="A36" s="48" t="s">
        <v>275</v>
      </c>
      <c r="B36" s="43" t="s">
        <v>166</v>
      </c>
      <c r="E36" s="43" t="s">
        <v>276</v>
      </c>
      <c r="F36" s="350">
        <f t="shared" ref="F36:K36" si="2">SUM(F21:F34)</f>
        <v>22781</v>
      </c>
      <c r="G36" s="350">
        <f t="shared" si="2"/>
        <v>16982</v>
      </c>
      <c r="H36" s="350">
        <f t="shared" si="2"/>
        <v>2208103</v>
      </c>
      <c r="I36" s="348">
        <f t="shared" si="2"/>
        <v>1253760.8833999999</v>
      </c>
      <c r="J36" s="348">
        <f t="shared" si="2"/>
        <v>0</v>
      </c>
      <c r="K36" s="348">
        <f t="shared" si="2"/>
        <v>3461863.8833999997</v>
      </c>
    </row>
    <row r="37" spans="1:11" ht="18" customHeight="1" thickBot="1">
      <c r="B37" s="43"/>
      <c r="F37" s="351"/>
      <c r="G37" s="351"/>
      <c r="H37" s="352"/>
      <c r="I37" s="352"/>
      <c r="J37" s="352"/>
      <c r="K37" s="353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9" t="s">
        <v>170</v>
      </c>
      <c r="F40" s="57">
        <v>386586</v>
      </c>
      <c r="G40" s="57"/>
      <c r="H40" s="347">
        <v>13848022</v>
      </c>
      <c r="I40" s="167">
        <f t="shared" ref="I40:I47" si="3">H40*F$114</f>
        <v>7862906.8915999997</v>
      </c>
      <c r="J40" s="347"/>
      <c r="K40" s="348">
        <f t="shared" ref="K40:K47" si="4">(H40+I40)-J40</f>
        <v>21710928.891599998</v>
      </c>
    </row>
    <row r="41" spans="1:11" ht="18" customHeight="1">
      <c r="A41" s="45" t="s">
        <v>278</v>
      </c>
      <c r="B41" s="818" t="s">
        <v>172</v>
      </c>
      <c r="C41" s="818"/>
      <c r="F41" s="57">
        <v>10555</v>
      </c>
      <c r="G41" s="57"/>
      <c r="H41" s="347">
        <v>324249</v>
      </c>
      <c r="I41" s="167">
        <f t="shared" si="3"/>
        <v>184108.5822</v>
      </c>
      <c r="J41" s="347"/>
      <c r="K41" s="348">
        <f t="shared" si="4"/>
        <v>508357.5822</v>
      </c>
    </row>
    <row r="42" spans="1:11" ht="18" customHeight="1">
      <c r="A42" s="45" t="s">
        <v>279</v>
      </c>
      <c r="B42" s="49" t="s">
        <v>174</v>
      </c>
      <c r="F42" s="57">
        <f>37+2+2773+7562+384</f>
        <v>10758</v>
      </c>
      <c r="G42" s="57"/>
      <c r="H42" s="347">
        <f>345409+11520</f>
        <v>356929</v>
      </c>
      <c r="I42" s="167">
        <f t="shared" si="3"/>
        <v>202664.2862</v>
      </c>
      <c r="J42" s="347"/>
      <c r="K42" s="348">
        <f t="shared" si="4"/>
        <v>559593.28619999997</v>
      </c>
    </row>
    <row r="43" spans="1:11" ht="18" customHeight="1">
      <c r="A43" s="45" t="s">
        <v>280</v>
      </c>
      <c r="B43" s="49" t="s">
        <v>176</v>
      </c>
      <c r="F43" s="57"/>
      <c r="G43" s="57"/>
      <c r="H43" s="347"/>
      <c r="I43" s="167">
        <f t="shared" si="3"/>
        <v>0</v>
      </c>
      <c r="J43" s="347"/>
      <c r="K43" s="348">
        <f t="shared" si="4"/>
        <v>0</v>
      </c>
    </row>
    <row r="44" spans="1:11" ht="18" customHeight="1">
      <c r="A44" s="45" t="s">
        <v>281</v>
      </c>
      <c r="B44" s="814"/>
      <c r="C44" s="815"/>
      <c r="D44" s="816"/>
      <c r="F44" s="57"/>
      <c r="G44" s="57"/>
      <c r="H44" s="57"/>
      <c r="I44" s="167">
        <f t="shared" si="3"/>
        <v>0</v>
      </c>
      <c r="J44" s="57"/>
      <c r="K44" s="354">
        <f t="shared" si="4"/>
        <v>0</v>
      </c>
    </row>
    <row r="45" spans="1:11" ht="18" customHeight="1">
      <c r="A45" s="45" t="s">
        <v>283</v>
      </c>
      <c r="B45" s="814"/>
      <c r="C45" s="815"/>
      <c r="D45" s="816"/>
      <c r="F45" s="57"/>
      <c r="G45" s="57"/>
      <c r="H45" s="347"/>
      <c r="I45" s="167">
        <f t="shared" si="3"/>
        <v>0</v>
      </c>
      <c r="J45" s="347"/>
      <c r="K45" s="348">
        <f t="shared" si="4"/>
        <v>0</v>
      </c>
    </row>
    <row r="46" spans="1:11" ht="18" customHeight="1">
      <c r="A46" s="45" t="s">
        <v>284</v>
      </c>
      <c r="B46" s="814"/>
      <c r="C46" s="815"/>
      <c r="D46" s="816"/>
      <c r="F46" s="57"/>
      <c r="G46" s="57"/>
      <c r="H46" s="347"/>
      <c r="I46" s="167">
        <f t="shared" si="3"/>
        <v>0</v>
      </c>
      <c r="J46" s="347"/>
      <c r="K46" s="348">
        <f t="shared" si="4"/>
        <v>0</v>
      </c>
    </row>
    <row r="47" spans="1:11" ht="18" customHeight="1">
      <c r="A47" s="45" t="s">
        <v>285</v>
      </c>
      <c r="B47" s="814"/>
      <c r="C47" s="815"/>
      <c r="D47" s="816"/>
      <c r="F47" s="57"/>
      <c r="G47" s="57"/>
      <c r="H47" s="347"/>
      <c r="I47" s="167">
        <f t="shared" si="3"/>
        <v>0</v>
      </c>
      <c r="J47" s="347"/>
      <c r="K47" s="348">
        <f t="shared" si="4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355">
        <f t="shared" ref="F49:K49" si="5">SUM(F40:F47)</f>
        <v>407899</v>
      </c>
      <c r="G49" s="355">
        <f t="shared" si="5"/>
        <v>0</v>
      </c>
      <c r="H49" s="348">
        <f t="shared" si="5"/>
        <v>14529200</v>
      </c>
      <c r="I49" s="348">
        <f t="shared" si="5"/>
        <v>8249679.7599999998</v>
      </c>
      <c r="J49" s="348">
        <f t="shared" si="5"/>
        <v>0</v>
      </c>
      <c r="K49" s="348">
        <f t="shared" si="5"/>
        <v>22778879.759999998</v>
      </c>
    </row>
    <row r="50" spans="1:11" ht="18" customHeight="1" thickBot="1">
      <c r="G50" s="356"/>
      <c r="H50" s="356"/>
      <c r="I50" s="356"/>
      <c r="J50" s="356"/>
      <c r="K50" s="356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66"/>
    </row>
    <row r="53" spans="1:11" ht="18" customHeight="1">
      <c r="A53" s="45" t="s">
        <v>287</v>
      </c>
      <c r="B53" s="822" t="s">
        <v>716</v>
      </c>
      <c r="C53" s="867"/>
      <c r="D53" s="865"/>
      <c r="F53" s="57"/>
      <c r="G53" s="57"/>
      <c r="H53" s="347">
        <v>4883039</v>
      </c>
      <c r="I53" s="167">
        <f t="shared" ref="I53:I62" si="6">H53*F$114</f>
        <v>2772589.5441999999</v>
      </c>
      <c r="J53" s="347"/>
      <c r="K53" s="348">
        <f t="shared" ref="K53:K62" si="7">(H53+I53)-J53</f>
        <v>7655628.5441999994</v>
      </c>
    </row>
    <row r="54" spans="1:11" ht="18" customHeight="1">
      <c r="A54" s="45" t="s">
        <v>289</v>
      </c>
      <c r="B54" s="164" t="s">
        <v>717</v>
      </c>
      <c r="C54" s="262"/>
      <c r="D54" s="263"/>
      <c r="F54" s="57"/>
      <c r="G54" s="57"/>
      <c r="H54" s="347">
        <f>16964+288043</f>
        <v>305007</v>
      </c>
      <c r="I54" s="167">
        <f t="shared" si="6"/>
        <v>173182.97459999999</v>
      </c>
      <c r="J54" s="347"/>
      <c r="K54" s="348">
        <f t="shared" si="7"/>
        <v>478189.97459999996</v>
      </c>
    </row>
    <row r="55" spans="1:11" ht="18" customHeight="1">
      <c r="A55" s="45" t="s">
        <v>291</v>
      </c>
      <c r="B55" s="817" t="s">
        <v>718</v>
      </c>
      <c r="C55" s="864"/>
      <c r="D55" s="865"/>
      <c r="F55" s="57"/>
      <c r="G55" s="57"/>
      <c r="H55" s="347">
        <v>291000</v>
      </c>
      <c r="I55" s="167">
        <f t="shared" si="6"/>
        <v>165229.79999999999</v>
      </c>
      <c r="J55" s="347"/>
      <c r="K55" s="348">
        <f t="shared" si="7"/>
        <v>456229.8</v>
      </c>
    </row>
    <row r="56" spans="1:11" ht="18" customHeight="1">
      <c r="A56" s="45" t="s">
        <v>293</v>
      </c>
      <c r="B56" s="817" t="s">
        <v>719</v>
      </c>
      <c r="C56" s="864"/>
      <c r="D56" s="865"/>
      <c r="F56" s="57"/>
      <c r="G56" s="57"/>
      <c r="H56" s="347">
        <v>489390</v>
      </c>
      <c r="I56" s="167">
        <f t="shared" si="6"/>
        <v>277875.64199999999</v>
      </c>
      <c r="J56" s="347"/>
      <c r="K56" s="348">
        <f t="shared" si="7"/>
        <v>767265.64199999999</v>
      </c>
    </row>
    <row r="57" spans="1:11" ht="18" customHeight="1">
      <c r="A57" s="45" t="s">
        <v>295</v>
      </c>
      <c r="B57" s="817" t="s">
        <v>720</v>
      </c>
      <c r="C57" s="864"/>
      <c r="D57" s="865"/>
      <c r="F57" s="57"/>
      <c r="G57" s="57"/>
      <c r="H57" s="347">
        <v>375000</v>
      </c>
      <c r="I57" s="167">
        <f t="shared" si="6"/>
        <v>212925</v>
      </c>
      <c r="J57" s="347"/>
      <c r="K57" s="348">
        <f t="shared" si="7"/>
        <v>587925</v>
      </c>
    </row>
    <row r="58" spans="1:11" ht="18" customHeight="1">
      <c r="A58" s="45" t="s">
        <v>298</v>
      </c>
      <c r="B58" s="817" t="s">
        <v>721</v>
      </c>
      <c r="C58" s="864"/>
      <c r="D58" s="865"/>
      <c r="F58" s="57"/>
      <c r="G58" s="57"/>
      <c r="H58" s="347">
        <v>1689459</v>
      </c>
      <c r="I58" s="167">
        <f t="shared" si="6"/>
        <v>959274.82019999996</v>
      </c>
      <c r="J58" s="347"/>
      <c r="K58" s="348">
        <f t="shared" si="7"/>
        <v>2648733.8202</v>
      </c>
    </row>
    <row r="59" spans="1:11" ht="18" customHeight="1">
      <c r="A59" s="45" t="s">
        <v>300</v>
      </c>
      <c r="B59" s="164" t="s">
        <v>182</v>
      </c>
      <c r="C59" s="262"/>
      <c r="D59" s="263"/>
      <c r="F59" s="57">
        <f>6880+3928+5780+24479</f>
        <v>41067</v>
      </c>
      <c r="G59" s="57">
        <v>23148</v>
      </c>
      <c r="H59" s="347">
        <v>3669845</v>
      </c>
      <c r="I59" s="167">
        <f t="shared" si="6"/>
        <v>2083737.9909999999</v>
      </c>
      <c r="J59" s="347"/>
      <c r="K59" s="348">
        <f t="shared" si="7"/>
        <v>5753582.9910000004</v>
      </c>
    </row>
    <row r="60" spans="1:11" ht="18" customHeight="1">
      <c r="A60" s="45" t="s">
        <v>302</v>
      </c>
      <c r="B60" s="164"/>
      <c r="C60" s="262"/>
      <c r="D60" s="263"/>
      <c r="F60" s="57"/>
      <c r="G60" s="57"/>
      <c r="H60" s="347"/>
      <c r="I60" s="167">
        <f t="shared" si="6"/>
        <v>0</v>
      </c>
      <c r="J60" s="347"/>
      <c r="K60" s="348">
        <f t="shared" si="7"/>
        <v>0</v>
      </c>
    </row>
    <row r="61" spans="1:11" ht="18" customHeight="1">
      <c r="A61" s="45" t="s">
        <v>303</v>
      </c>
      <c r="B61" s="164"/>
      <c r="C61" s="262"/>
      <c r="D61" s="263"/>
      <c r="F61" s="57"/>
      <c r="G61" s="57"/>
      <c r="H61" s="347"/>
      <c r="I61" s="167">
        <f t="shared" si="6"/>
        <v>0</v>
      </c>
      <c r="J61" s="347"/>
      <c r="K61" s="348">
        <f t="shared" si="7"/>
        <v>0</v>
      </c>
    </row>
    <row r="62" spans="1:11" ht="18" customHeight="1">
      <c r="A62" s="45" t="s">
        <v>304</v>
      </c>
      <c r="B62" s="817"/>
      <c r="C62" s="864"/>
      <c r="D62" s="865"/>
      <c r="F62" s="57"/>
      <c r="G62" s="57"/>
      <c r="H62" s="347"/>
      <c r="I62" s="167">
        <f t="shared" si="6"/>
        <v>0</v>
      </c>
      <c r="J62" s="347"/>
      <c r="K62" s="348">
        <f t="shared" si="7"/>
        <v>0</v>
      </c>
    </row>
    <row r="63" spans="1:11" ht="18" customHeight="1">
      <c r="A63" s="45"/>
      <c r="I63" s="357"/>
    </row>
    <row r="64" spans="1:11" ht="18" customHeight="1">
      <c r="A64" s="45" t="s">
        <v>305</v>
      </c>
      <c r="B64" s="43" t="s">
        <v>184</v>
      </c>
      <c r="E64" s="43" t="s">
        <v>276</v>
      </c>
      <c r="F64" s="350">
        <f t="shared" ref="F64:K64" si="8">SUM(F53:F62)</f>
        <v>41067</v>
      </c>
      <c r="G64" s="350">
        <f t="shared" si="8"/>
        <v>23148</v>
      </c>
      <c r="H64" s="348">
        <f t="shared" si="8"/>
        <v>11702740</v>
      </c>
      <c r="I64" s="348">
        <f t="shared" si="8"/>
        <v>6644815.7719999999</v>
      </c>
      <c r="J64" s="348">
        <f t="shared" si="8"/>
        <v>0</v>
      </c>
      <c r="K64" s="348">
        <f t="shared" si="8"/>
        <v>18347555.772</v>
      </c>
    </row>
    <row r="65" spans="1:11" ht="18" customHeight="1">
      <c r="F65" s="358"/>
      <c r="G65" s="358"/>
      <c r="H65" s="358"/>
      <c r="I65" s="358"/>
      <c r="J65" s="358"/>
      <c r="K65" s="358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359"/>
      <c r="G67" s="359"/>
      <c r="H67" s="359"/>
      <c r="I67" s="360"/>
      <c r="J67" s="359"/>
      <c r="K67" s="361"/>
    </row>
    <row r="68" spans="1:11" ht="18" customHeight="1">
      <c r="A68" s="45" t="s">
        <v>306</v>
      </c>
      <c r="B68" s="49" t="s">
        <v>188</v>
      </c>
      <c r="F68" s="362">
        <v>6240</v>
      </c>
      <c r="G68" s="362"/>
      <c r="H68" s="363">
        <f>300000+323142</f>
        <v>623142</v>
      </c>
      <c r="I68" s="167">
        <f t="shared" ref="I68:I72" si="9">H68*F$114</f>
        <v>353820.02759999997</v>
      </c>
      <c r="J68" s="362"/>
      <c r="K68" s="348">
        <f>(H68+I68)-J68</f>
        <v>976962.02759999991</v>
      </c>
    </row>
    <row r="69" spans="1:11" ht="18" customHeight="1">
      <c r="A69" s="45" t="s">
        <v>307</v>
      </c>
      <c r="B69" s="49" t="s">
        <v>190</v>
      </c>
      <c r="F69" s="362"/>
      <c r="G69" s="362"/>
      <c r="H69" s="362"/>
      <c r="I69" s="167">
        <f t="shared" si="9"/>
        <v>0</v>
      </c>
      <c r="J69" s="362"/>
      <c r="K69" s="348">
        <f>(H69+I69)-J69</f>
        <v>0</v>
      </c>
    </row>
    <row r="70" spans="1:11" ht="18" customHeight="1">
      <c r="A70" s="45" t="s">
        <v>308</v>
      </c>
      <c r="B70" s="164" t="s">
        <v>428</v>
      </c>
      <c r="C70" s="262"/>
      <c r="D70" s="263"/>
      <c r="E70" s="43"/>
      <c r="F70" s="364">
        <v>4721</v>
      </c>
      <c r="G70" s="364"/>
      <c r="H70" s="363">
        <v>131003</v>
      </c>
      <c r="I70" s="167">
        <f t="shared" si="9"/>
        <v>74383.503400000001</v>
      </c>
      <c r="J70" s="363"/>
      <c r="K70" s="348">
        <f>(H70+I70)-J70</f>
        <v>205386.50339999999</v>
      </c>
    </row>
    <row r="71" spans="1:11" ht="18" customHeight="1">
      <c r="A71" s="45" t="s">
        <v>309</v>
      </c>
      <c r="B71" s="164"/>
      <c r="C71" s="262"/>
      <c r="D71" s="263"/>
      <c r="E71" s="43"/>
      <c r="F71" s="364"/>
      <c r="G71" s="364"/>
      <c r="H71" s="363"/>
      <c r="I71" s="167">
        <f t="shared" si="9"/>
        <v>0</v>
      </c>
      <c r="J71" s="363"/>
      <c r="K71" s="348">
        <f>(H71+I71)-J71</f>
        <v>0</v>
      </c>
    </row>
    <row r="72" spans="1:11" ht="18" customHeight="1">
      <c r="A72" s="45" t="s">
        <v>310</v>
      </c>
      <c r="B72" s="163"/>
      <c r="C72" s="264"/>
      <c r="D72" s="365"/>
      <c r="E72" s="43"/>
      <c r="F72" s="57"/>
      <c r="G72" s="57"/>
      <c r="H72" s="347"/>
      <c r="I72" s="167">
        <f t="shared" si="9"/>
        <v>0</v>
      </c>
      <c r="J72" s="347"/>
      <c r="K72" s="348">
        <f>(H72+I72)-J72</f>
        <v>0</v>
      </c>
    </row>
    <row r="73" spans="1:11" ht="18" customHeight="1">
      <c r="A73" s="45"/>
      <c r="E73" s="43"/>
      <c r="F73" s="366"/>
      <c r="G73" s="366"/>
      <c r="H73" s="367"/>
      <c r="I73" s="360"/>
      <c r="J73" s="367"/>
      <c r="K73" s="361"/>
    </row>
    <row r="74" spans="1:11" ht="18" customHeight="1">
      <c r="A74" s="48" t="s">
        <v>311</v>
      </c>
      <c r="B74" s="43" t="s">
        <v>191</v>
      </c>
      <c r="E74" s="43" t="s">
        <v>276</v>
      </c>
      <c r="F74" s="368">
        <f t="shared" ref="F74:K74" si="10">SUM(F68:F72)</f>
        <v>10961</v>
      </c>
      <c r="G74" s="368">
        <f t="shared" si="10"/>
        <v>0</v>
      </c>
      <c r="H74" s="369">
        <f t="shared" si="10"/>
        <v>754145</v>
      </c>
      <c r="I74" s="370">
        <f t="shared" si="10"/>
        <v>428203.53099999996</v>
      </c>
      <c r="J74" s="368">
        <f t="shared" si="10"/>
        <v>0</v>
      </c>
      <c r="K74" s="354">
        <f t="shared" si="10"/>
        <v>1182348.531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7"/>
      <c r="G77" s="57"/>
      <c r="H77" s="347">
        <f>289561</f>
        <v>289561</v>
      </c>
      <c r="I77" s="167">
        <v>0</v>
      </c>
      <c r="J77" s="347"/>
      <c r="K77" s="348">
        <f>(H77+I77)-J77</f>
        <v>289561</v>
      </c>
    </row>
    <row r="78" spans="1:11" ht="18" customHeight="1">
      <c r="A78" s="45" t="s">
        <v>313</v>
      </c>
      <c r="B78" s="49" t="s">
        <v>197</v>
      </c>
      <c r="F78" s="57"/>
      <c r="G78" s="57"/>
      <c r="H78" s="347">
        <v>15412</v>
      </c>
      <c r="I78" s="167">
        <v>0</v>
      </c>
      <c r="J78" s="347"/>
      <c r="K78" s="348">
        <f>(H78+I78)-J78</f>
        <v>15412</v>
      </c>
    </row>
    <row r="79" spans="1:11" ht="18" customHeight="1">
      <c r="A79" s="45" t="s">
        <v>314</v>
      </c>
      <c r="B79" s="49" t="s">
        <v>199</v>
      </c>
      <c r="F79" s="57">
        <f>572+70</f>
        <v>642</v>
      </c>
      <c r="G79" s="57">
        <v>380</v>
      </c>
      <c r="H79" s="347">
        <v>350278</v>
      </c>
      <c r="I79" s="167">
        <v>0</v>
      </c>
      <c r="J79" s="347"/>
      <c r="K79" s="348">
        <f>(H79+I79)-J79</f>
        <v>350278</v>
      </c>
    </row>
    <row r="80" spans="1:11" ht="18" customHeight="1">
      <c r="A80" s="45" t="s">
        <v>315</v>
      </c>
      <c r="B80" s="49" t="s">
        <v>316</v>
      </c>
      <c r="F80" s="57"/>
      <c r="G80" s="57"/>
      <c r="H80" s="347"/>
      <c r="I80" s="167">
        <v>0</v>
      </c>
      <c r="J80" s="347"/>
      <c r="K80" s="348">
        <f>(H80+I80)-J80</f>
        <v>0</v>
      </c>
    </row>
    <row r="81" spans="1:11" ht="18" customHeight="1">
      <c r="A81" s="45"/>
      <c r="K81" s="371"/>
    </row>
    <row r="82" spans="1:11" ht="18" customHeight="1">
      <c r="A82" s="45" t="s">
        <v>317</v>
      </c>
      <c r="B82" s="43" t="s">
        <v>318</v>
      </c>
      <c r="E82" s="43" t="s">
        <v>276</v>
      </c>
      <c r="F82" s="368">
        <f t="shared" ref="F82:K82" si="11">SUM(F77:F80)</f>
        <v>642</v>
      </c>
      <c r="G82" s="368">
        <f t="shared" si="11"/>
        <v>380</v>
      </c>
      <c r="H82" s="354">
        <f t="shared" si="11"/>
        <v>655251</v>
      </c>
      <c r="I82" s="354">
        <f t="shared" si="11"/>
        <v>0</v>
      </c>
      <c r="J82" s="354">
        <f t="shared" si="11"/>
        <v>0</v>
      </c>
      <c r="K82" s="354">
        <f t="shared" si="11"/>
        <v>655251</v>
      </c>
    </row>
    <row r="83" spans="1:11" ht="18" customHeight="1" thickBot="1">
      <c r="A83" s="45"/>
      <c r="F83" s="356"/>
      <c r="G83" s="356"/>
      <c r="H83" s="356"/>
      <c r="I83" s="356"/>
      <c r="J83" s="356"/>
      <c r="K83" s="356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7"/>
      <c r="G86" s="57"/>
      <c r="H86" s="347"/>
      <c r="I86" s="167">
        <f t="shared" ref="I86:I96" si="12">H86*F$114</f>
        <v>0</v>
      </c>
      <c r="J86" s="347"/>
      <c r="K86" s="348">
        <f t="shared" ref="K86:K96" si="13">(H86+I86)-J86</f>
        <v>0</v>
      </c>
    </row>
    <row r="87" spans="1:11" ht="18" customHeight="1">
      <c r="A87" s="45" t="s">
        <v>320</v>
      </c>
      <c r="B87" s="49" t="s">
        <v>206</v>
      </c>
      <c r="F87" s="57"/>
      <c r="G87" s="57"/>
      <c r="H87" s="347"/>
      <c r="I87" s="167">
        <f t="shared" si="12"/>
        <v>0</v>
      </c>
      <c r="J87" s="347"/>
      <c r="K87" s="348">
        <f t="shared" si="13"/>
        <v>0</v>
      </c>
    </row>
    <row r="88" spans="1:11" ht="18" customHeight="1">
      <c r="A88" s="45" t="s">
        <v>321</v>
      </c>
      <c r="B88" s="49" t="s">
        <v>208</v>
      </c>
      <c r="F88" s="57"/>
      <c r="G88" s="57"/>
      <c r="H88" s="347"/>
      <c r="I88" s="167">
        <f t="shared" si="12"/>
        <v>0</v>
      </c>
      <c r="J88" s="347"/>
      <c r="K88" s="348">
        <f t="shared" si="13"/>
        <v>0</v>
      </c>
    </row>
    <row r="89" spans="1:11" ht="18" customHeight="1">
      <c r="A89" s="45" t="s">
        <v>322</v>
      </c>
      <c r="B89" s="49" t="s">
        <v>210</v>
      </c>
      <c r="F89" s="57"/>
      <c r="G89" s="57"/>
      <c r="H89" s="347"/>
      <c r="I89" s="167">
        <f t="shared" si="12"/>
        <v>0</v>
      </c>
      <c r="J89" s="347"/>
      <c r="K89" s="348">
        <f t="shared" si="13"/>
        <v>0</v>
      </c>
    </row>
    <row r="90" spans="1:11" ht="18" customHeight="1">
      <c r="A90" s="45" t="s">
        <v>323</v>
      </c>
      <c r="B90" s="818" t="s">
        <v>212</v>
      </c>
      <c r="C90" s="818"/>
      <c r="F90" s="57"/>
      <c r="G90" s="57"/>
      <c r="H90" s="347"/>
      <c r="I90" s="167">
        <f t="shared" si="12"/>
        <v>0</v>
      </c>
      <c r="J90" s="347"/>
      <c r="K90" s="348">
        <f t="shared" si="13"/>
        <v>0</v>
      </c>
    </row>
    <row r="91" spans="1:11" ht="18" customHeight="1">
      <c r="A91" s="45" t="s">
        <v>324</v>
      </c>
      <c r="B91" s="49" t="s">
        <v>214</v>
      </c>
      <c r="F91" s="57">
        <f>8+58+410+11</f>
        <v>487</v>
      </c>
      <c r="G91" s="57">
        <v>111</v>
      </c>
      <c r="H91" s="347">
        <f>10327</f>
        <v>10327</v>
      </c>
      <c r="I91" s="167">
        <f t="shared" si="12"/>
        <v>5863.6705999999995</v>
      </c>
      <c r="J91" s="347"/>
      <c r="K91" s="348">
        <f t="shared" si="13"/>
        <v>16190.670599999999</v>
      </c>
    </row>
    <row r="92" spans="1:11" ht="18" customHeight="1">
      <c r="A92" s="45" t="s">
        <v>325</v>
      </c>
      <c r="B92" s="49" t="s">
        <v>216</v>
      </c>
      <c r="F92" s="372"/>
      <c r="G92" s="372"/>
      <c r="H92" s="373"/>
      <c r="I92" s="167">
        <f t="shared" si="12"/>
        <v>0</v>
      </c>
      <c r="J92" s="373"/>
      <c r="K92" s="348">
        <f t="shared" si="13"/>
        <v>0</v>
      </c>
    </row>
    <row r="93" spans="1:11" ht="18" customHeight="1">
      <c r="A93" s="45" t="s">
        <v>326</v>
      </c>
      <c r="B93" s="49" t="s">
        <v>218</v>
      </c>
      <c r="F93" s="57">
        <v>3098</v>
      </c>
      <c r="G93" s="57">
        <v>2524</v>
      </c>
      <c r="H93" s="347">
        <v>104432</v>
      </c>
      <c r="I93" s="167">
        <f t="shared" si="12"/>
        <v>59296.489599999994</v>
      </c>
      <c r="J93" s="347"/>
      <c r="K93" s="348">
        <f t="shared" si="13"/>
        <v>163728.4896</v>
      </c>
    </row>
    <row r="94" spans="1:11" ht="18" customHeight="1">
      <c r="A94" s="45" t="s">
        <v>327</v>
      </c>
      <c r="B94" s="817"/>
      <c r="C94" s="864"/>
      <c r="D94" s="865"/>
      <c r="F94" s="57"/>
      <c r="G94" s="57"/>
      <c r="H94" s="347"/>
      <c r="I94" s="167">
        <f t="shared" si="12"/>
        <v>0</v>
      </c>
      <c r="J94" s="347"/>
      <c r="K94" s="348">
        <f t="shared" si="13"/>
        <v>0</v>
      </c>
    </row>
    <row r="95" spans="1:11" ht="18" customHeight="1">
      <c r="A95" s="45" t="s">
        <v>329</v>
      </c>
      <c r="B95" s="817"/>
      <c r="C95" s="864"/>
      <c r="D95" s="865"/>
      <c r="F95" s="57"/>
      <c r="G95" s="57"/>
      <c r="H95" s="347"/>
      <c r="I95" s="167">
        <f t="shared" si="12"/>
        <v>0</v>
      </c>
      <c r="J95" s="347"/>
      <c r="K95" s="348">
        <f t="shared" si="13"/>
        <v>0</v>
      </c>
    </row>
    <row r="96" spans="1:11" ht="18" customHeight="1">
      <c r="A96" s="45" t="s">
        <v>330</v>
      </c>
      <c r="B96" s="817"/>
      <c r="C96" s="864"/>
      <c r="D96" s="865"/>
      <c r="F96" s="57"/>
      <c r="G96" s="57"/>
      <c r="H96" s="347"/>
      <c r="I96" s="167">
        <f t="shared" si="12"/>
        <v>0</v>
      </c>
      <c r="J96" s="347"/>
      <c r="K96" s="348">
        <f t="shared" si="13"/>
        <v>0</v>
      </c>
    </row>
    <row r="97" spans="1:11" ht="18" customHeight="1">
      <c r="A97" s="45"/>
    </row>
    <row r="98" spans="1:11" ht="18" customHeight="1">
      <c r="A98" s="48" t="s">
        <v>331</v>
      </c>
      <c r="B98" s="43" t="s">
        <v>220</v>
      </c>
      <c r="E98" s="43" t="s">
        <v>276</v>
      </c>
      <c r="F98" s="350">
        <f t="shared" ref="F98:K98" si="14">SUM(F86:F96)</f>
        <v>3585</v>
      </c>
      <c r="G98" s="350">
        <f t="shared" si="14"/>
        <v>2635</v>
      </c>
      <c r="H98" s="350">
        <f t="shared" si="14"/>
        <v>114759</v>
      </c>
      <c r="I98" s="350">
        <f t="shared" si="14"/>
        <v>65160.160199999991</v>
      </c>
      <c r="J98" s="350">
        <f t="shared" si="14"/>
        <v>0</v>
      </c>
      <c r="K98" s="350">
        <f t="shared" si="14"/>
        <v>179919.16020000001</v>
      </c>
    </row>
    <row r="99" spans="1:11" ht="18" customHeight="1" thickBot="1">
      <c r="B99" s="43"/>
      <c r="F99" s="356"/>
      <c r="G99" s="356"/>
      <c r="H99" s="356"/>
      <c r="I99" s="356"/>
      <c r="J99" s="356"/>
      <c r="K99" s="356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7">
        <v>6354</v>
      </c>
      <c r="G102" s="57"/>
      <c r="H102" s="347">
        <v>225492</v>
      </c>
      <c r="I102" s="167">
        <f>H102*F$114</f>
        <v>128034.35759999999</v>
      </c>
      <c r="J102" s="347"/>
      <c r="K102" s="348">
        <f>(H102+I102)-J102</f>
        <v>353526.35759999999</v>
      </c>
    </row>
    <row r="103" spans="1:11" ht="18" customHeight="1">
      <c r="A103" s="45" t="s">
        <v>333</v>
      </c>
      <c r="B103" s="818" t="s">
        <v>226</v>
      </c>
      <c r="C103" s="818"/>
      <c r="F103" s="57"/>
      <c r="G103" s="57"/>
      <c r="H103" s="347"/>
      <c r="I103" s="167">
        <f>H103*F$114</f>
        <v>0</v>
      </c>
      <c r="J103" s="347"/>
      <c r="K103" s="348">
        <f>(H103+I103)-J103</f>
        <v>0</v>
      </c>
    </row>
    <row r="104" spans="1:11" ht="18" customHeight="1">
      <c r="A104" s="45" t="s">
        <v>334</v>
      </c>
      <c r="B104" s="817"/>
      <c r="C104" s="864"/>
      <c r="D104" s="865"/>
      <c r="F104" s="57"/>
      <c r="G104" s="57"/>
      <c r="H104" s="347"/>
      <c r="I104" s="167">
        <f>H104*F$114</f>
        <v>0</v>
      </c>
      <c r="J104" s="347"/>
      <c r="K104" s="348">
        <f>(H104+I104)-J104</f>
        <v>0</v>
      </c>
    </row>
    <row r="105" spans="1:11" ht="18" customHeight="1">
      <c r="A105" s="45" t="s">
        <v>336</v>
      </c>
      <c r="B105" s="817"/>
      <c r="C105" s="864"/>
      <c r="D105" s="865"/>
      <c r="F105" s="57"/>
      <c r="G105" s="57"/>
      <c r="H105" s="347"/>
      <c r="I105" s="167">
        <f>H105*F$114</f>
        <v>0</v>
      </c>
      <c r="J105" s="347"/>
      <c r="K105" s="348">
        <f>(H105+I105)-J105</f>
        <v>0</v>
      </c>
    </row>
    <row r="106" spans="1:11" ht="18" customHeight="1">
      <c r="A106" s="45" t="s">
        <v>337</v>
      </c>
      <c r="B106" s="817"/>
      <c r="C106" s="864"/>
      <c r="D106" s="865"/>
      <c r="F106" s="57"/>
      <c r="G106" s="57"/>
      <c r="H106" s="347"/>
      <c r="I106" s="167">
        <f>H106*F$114</f>
        <v>0</v>
      </c>
      <c r="J106" s="347"/>
      <c r="K106" s="348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350">
        <f t="shared" ref="F108:K108" si="15">SUM(F102:F106)</f>
        <v>6354</v>
      </c>
      <c r="G108" s="350">
        <f t="shared" si="15"/>
        <v>0</v>
      </c>
      <c r="H108" s="348">
        <f t="shared" si="15"/>
        <v>225492</v>
      </c>
      <c r="I108" s="348">
        <f t="shared" si="15"/>
        <v>128034.35759999999</v>
      </c>
      <c r="J108" s="348">
        <f t="shared" si="15"/>
        <v>0</v>
      </c>
      <c r="K108" s="348">
        <f t="shared" si="15"/>
        <v>353526.35759999999</v>
      </c>
    </row>
    <row r="109" spans="1:11" ht="18" customHeight="1" thickBot="1">
      <c r="A109" s="374"/>
      <c r="B109" s="92"/>
      <c r="C109" s="375"/>
      <c r="D109" s="375"/>
      <c r="E109" s="375"/>
      <c r="F109" s="356"/>
      <c r="G109" s="356"/>
      <c r="H109" s="356"/>
      <c r="I109" s="356"/>
      <c r="J109" s="356"/>
      <c r="K109" s="356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347">
        <v>11038200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376">
        <v>0.56779999999999997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347">
        <v>644969000</v>
      </c>
    </row>
    <row r="118" spans="1:6">
      <c r="A118" s="45" t="s">
        <v>343</v>
      </c>
      <c r="B118" s="49" t="s">
        <v>237</v>
      </c>
      <c r="F118" s="347">
        <f>41297000+3226000</f>
        <v>44523000</v>
      </c>
    </row>
    <row r="119" spans="1:6">
      <c r="A119" s="45" t="s">
        <v>344</v>
      </c>
      <c r="B119" s="43" t="s">
        <v>238</v>
      </c>
      <c r="F119" s="354">
        <f>SUM(F117:F118)</f>
        <v>689492000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347">
        <v>674192000</v>
      </c>
    </row>
    <row r="122" spans="1:6">
      <c r="A122" s="45"/>
    </row>
    <row r="123" spans="1:6">
      <c r="A123" s="45" t="s">
        <v>347</v>
      </c>
      <c r="B123" s="43" t="s">
        <v>348</v>
      </c>
      <c r="F123" s="347">
        <f>F119-F121</f>
        <v>15300000</v>
      </c>
    </row>
    <row r="124" spans="1:6">
      <c r="A124" s="45"/>
    </row>
    <row r="125" spans="1:6">
      <c r="A125" s="45" t="s">
        <v>349</v>
      </c>
      <c r="B125" s="43" t="s">
        <v>350</v>
      </c>
      <c r="F125" s="347">
        <v>18967000</v>
      </c>
    </row>
    <row r="126" spans="1:6">
      <c r="A126" s="45"/>
    </row>
    <row r="127" spans="1:6">
      <c r="A127" s="45" t="s">
        <v>351</v>
      </c>
      <c r="B127" s="43" t="s">
        <v>352</v>
      </c>
      <c r="F127" s="347">
        <f>F123+F125</f>
        <v>34267000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9" t="s">
        <v>242</v>
      </c>
      <c r="F131" s="57"/>
      <c r="G131" s="57"/>
      <c r="H131" s="347"/>
      <c r="I131" s="167">
        <v>0</v>
      </c>
      <c r="J131" s="347"/>
      <c r="K131" s="348">
        <f>(H131+I131)-J131</f>
        <v>0</v>
      </c>
    </row>
    <row r="132" spans="1:11" ht="18" customHeight="1">
      <c r="A132" s="45" t="s">
        <v>354</v>
      </c>
      <c r="B132" s="49" t="s">
        <v>128</v>
      </c>
      <c r="F132" s="57"/>
      <c r="G132" s="57"/>
      <c r="H132" s="347"/>
      <c r="I132" s="167">
        <v>0</v>
      </c>
      <c r="J132" s="347"/>
      <c r="K132" s="348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7"/>
      <c r="G133" s="57"/>
      <c r="H133" s="347"/>
      <c r="I133" s="167">
        <v>0</v>
      </c>
      <c r="J133" s="347"/>
      <c r="K133" s="348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7"/>
      <c r="G134" s="57"/>
      <c r="H134" s="347"/>
      <c r="I134" s="167">
        <v>0</v>
      </c>
      <c r="J134" s="347"/>
      <c r="K134" s="348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7"/>
      <c r="G135" s="57"/>
      <c r="H135" s="347"/>
      <c r="I135" s="167">
        <v>0</v>
      </c>
      <c r="J135" s="347"/>
      <c r="K135" s="348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350">
        <f t="shared" ref="F137:K137" si="16">SUM(F131:F135)</f>
        <v>0</v>
      </c>
      <c r="G137" s="350">
        <f t="shared" si="16"/>
        <v>0</v>
      </c>
      <c r="H137" s="348">
        <f t="shared" si="16"/>
        <v>0</v>
      </c>
      <c r="I137" s="348">
        <f t="shared" si="16"/>
        <v>0</v>
      </c>
      <c r="J137" s="348">
        <f t="shared" si="16"/>
        <v>0</v>
      </c>
      <c r="K137" s="348">
        <f t="shared" si="16"/>
        <v>0</v>
      </c>
    </row>
    <row r="138" spans="1:11" ht="18" customHeight="1">
      <c r="A138" s="49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377">
        <f t="shared" ref="F141:K141" si="17">F36</f>
        <v>22781</v>
      </c>
      <c r="G141" s="377">
        <f t="shared" si="17"/>
        <v>16982</v>
      </c>
      <c r="H141" s="377">
        <f t="shared" si="17"/>
        <v>2208103</v>
      </c>
      <c r="I141" s="377">
        <f t="shared" si="17"/>
        <v>1253760.8833999999</v>
      </c>
      <c r="J141" s="377">
        <f t="shared" si="17"/>
        <v>0</v>
      </c>
      <c r="K141" s="377">
        <f t="shared" si="17"/>
        <v>3461863.8833999997</v>
      </c>
    </row>
    <row r="142" spans="1:11" ht="18" customHeight="1">
      <c r="A142" s="45" t="s">
        <v>286</v>
      </c>
      <c r="B142" s="43" t="s">
        <v>125</v>
      </c>
      <c r="F142" s="377">
        <f t="shared" ref="F142:K142" si="18">F49</f>
        <v>407899</v>
      </c>
      <c r="G142" s="377">
        <f t="shared" si="18"/>
        <v>0</v>
      </c>
      <c r="H142" s="377">
        <f t="shared" si="18"/>
        <v>14529200</v>
      </c>
      <c r="I142" s="377">
        <f t="shared" si="18"/>
        <v>8249679.7599999998</v>
      </c>
      <c r="J142" s="377">
        <f t="shared" si="18"/>
        <v>0</v>
      </c>
      <c r="K142" s="377">
        <f t="shared" si="18"/>
        <v>22778879.759999998</v>
      </c>
    </row>
    <row r="143" spans="1:11" ht="18" customHeight="1">
      <c r="A143" s="45" t="s">
        <v>305</v>
      </c>
      <c r="B143" s="43" t="s">
        <v>247</v>
      </c>
      <c r="F143" s="377">
        <f t="shared" ref="F143:K143" si="19">F64</f>
        <v>41067</v>
      </c>
      <c r="G143" s="377">
        <f t="shared" si="19"/>
        <v>23148</v>
      </c>
      <c r="H143" s="377">
        <f t="shared" si="19"/>
        <v>11702740</v>
      </c>
      <c r="I143" s="377">
        <f t="shared" si="19"/>
        <v>6644815.7719999999</v>
      </c>
      <c r="J143" s="377">
        <f t="shared" si="19"/>
        <v>0</v>
      </c>
      <c r="K143" s="377">
        <f t="shared" si="19"/>
        <v>18347555.772</v>
      </c>
    </row>
    <row r="144" spans="1:11" ht="18" customHeight="1">
      <c r="A144" s="45" t="s">
        <v>311</v>
      </c>
      <c r="B144" s="43" t="s">
        <v>127</v>
      </c>
      <c r="F144" s="377">
        <f t="shared" ref="F144:K144" si="20">F74</f>
        <v>10961</v>
      </c>
      <c r="G144" s="377">
        <f t="shared" si="20"/>
        <v>0</v>
      </c>
      <c r="H144" s="377">
        <f t="shared" si="20"/>
        <v>754145</v>
      </c>
      <c r="I144" s="377">
        <f t="shared" si="20"/>
        <v>428203.53099999996</v>
      </c>
      <c r="J144" s="377">
        <f t="shared" si="20"/>
        <v>0</v>
      </c>
      <c r="K144" s="377">
        <f t="shared" si="20"/>
        <v>1182348.531</v>
      </c>
    </row>
    <row r="145" spans="1:11" ht="18" customHeight="1">
      <c r="A145" s="45" t="s">
        <v>317</v>
      </c>
      <c r="B145" s="43" t="s">
        <v>248</v>
      </c>
      <c r="F145" s="377">
        <f t="shared" ref="F145:K145" si="21">F82</f>
        <v>642</v>
      </c>
      <c r="G145" s="377">
        <f t="shared" si="21"/>
        <v>380</v>
      </c>
      <c r="H145" s="377">
        <f t="shared" si="21"/>
        <v>655251</v>
      </c>
      <c r="I145" s="377">
        <f t="shared" si="21"/>
        <v>0</v>
      </c>
      <c r="J145" s="377">
        <f t="shared" si="21"/>
        <v>0</v>
      </c>
      <c r="K145" s="377">
        <f t="shared" si="21"/>
        <v>655251</v>
      </c>
    </row>
    <row r="146" spans="1:11" ht="18" customHeight="1">
      <c r="A146" s="45" t="s">
        <v>331</v>
      </c>
      <c r="B146" s="43" t="s">
        <v>249</v>
      </c>
      <c r="F146" s="377">
        <f t="shared" ref="F146:K146" si="22">F98</f>
        <v>3585</v>
      </c>
      <c r="G146" s="377">
        <f t="shared" si="22"/>
        <v>2635</v>
      </c>
      <c r="H146" s="377">
        <f t="shared" si="22"/>
        <v>114759</v>
      </c>
      <c r="I146" s="377">
        <f t="shared" si="22"/>
        <v>65160.160199999991</v>
      </c>
      <c r="J146" s="377">
        <f t="shared" si="22"/>
        <v>0</v>
      </c>
      <c r="K146" s="377">
        <f t="shared" si="22"/>
        <v>179919.16020000001</v>
      </c>
    </row>
    <row r="147" spans="1:11" ht="18" customHeight="1">
      <c r="A147" s="45" t="s">
        <v>338</v>
      </c>
      <c r="B147" s="43" t="s">
        <v>129</v>
      </c>
      <c r="F147" s="350">
        <f t="shared" ref="F147:K147" si="23">F108</f>
        <v>6354</v>
      </c>
      <c r="G147" s="350">
        <f t="shared" si="23"/>
        <v>0</v>
      </c>
      <c r="H147" s="350">
        <f t="shared" si="23"/>
        <v>225492</v>
      </c>
      <c r="I147" s="350">
        <f t="shared" si="23"/>
        <v>128034.35759999999</v>
      </c>
      <c r="J147" s="350">
        <f t="shared" si="23"/>
        <v>0</v>
      </c>
      <c r="K147" s="350">
        <f t="shared" si="23"/>
        <v>353526.35759999999</v>
      </c>
    </row>
    <row r="148" spans="1:11" ht="18" customHeight="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11038200</v>
      </c>
    </row>
    <row r="149" spans="1:11" ht="18" customHeight="1">
      <c r="A149" s="45" t="s">
        <v>358</v>
      </c>
      <c r="B149" s="43" t="s">
        <v>250</v>
      </c>
      <c r="F149" s="350">
        <f t="shared" ref="F149:K149" si="24">F137</f>
        <v>0</v>
      </c>
      <c r="G149" s="350">
        <f t="shared" si="24"/>
        <v>0</v>
      </c>
      <c r="H149" s="350">
        <f t="shared" si="24"/>
        <v>0</v>
      </c>
      <c r="I149" s="350">
        <f t="shared" si="24"/>
        <v>0</v>
      </c>
      <c r="J149" s="350">
        <f t="shared" si="24"/>
        <v>0</v>
      </c>
      <c r="K149" s="350">
        <f t="shared" si="24"/>
        <v>0</v>
      </c>
    </row>
    <row r="150" spans="1:11" ht="18" customHeight="1">
      <c r="A150" s="45" t="s">
        <v>259</v>
      </c>
      <c r="B150" s="43" t="s">
        <v>153</v>
      </c>
      <c r="F150" s="378" t="s">
        <v>122</v>
      </c>
      <c r="G150" s="378" t="s">
        <v>122</v>
      </c>
      <c r="H150" s="350">
        <f>H18</f>
        <v>18101928</v>
      </c>
      <c r="I150" s="350">
        <f>I18</f>
        <v>0</v>
      </c>
      <c r="J150" s="350">
        <f>J18</f>
        <v>15479412</v>
      </c>
      <c r="K150" s="350">
        <f>K18</f>
        <v>2622516</v>
      </c>
    </row>
    <row r="151" spans="1:11" ht="18" customHeight="1">
      <c r="B151" s="43"/>
      <c r="F151" s="358"/>
      <c r="G151" s="358"/>
      <c r="H151" s="358"/>
      <c r="I151" s="358"/>
      <c r="J151" s="358"/>
      <c r="K151" s="358"/>
    </row>
    <row r="152" spans="1:11" ht="18" customHeight="1">
      <c r="A152" s="48" t="s">
        <v>360</v>
      </c>
      <c r="B152" s="43" t="s">
        <v>245</v>
      </c>
      <c r="F152" s="381">
        <f t="shared" ref="F152:K152" si="25">SUM(F141:F150)</f>
        <v>493289</v>
      </c>
      <c r="G152" s="381">
        <f t="shared" si="25"/>
        <v>43145</v>
      </c>
      <c r="H152" s="381">
        <f t="shared" si="25"/>
        <v>48291618</v>
      </c>
      <c r="I152" s="381">
        <f t="shared" si="25"/>
        <v>16769654.464199999</v>
      </c>
      <c r="J152" s="381">
        <f t="shared" si="25"/>
        <v>15479412</v>
      </c>
      <c r="K152" s="381">
        <f t="shared" si="25"/>
        <v>60620060.464200005</v>
      </c>
    </row>
    <row r="153" spans="1:11" ht="18" customHeight="1">
      <c r="H153" s="382"/>
    </row>
    <row r="154" spans="1:11" ht="18" customHeight="1">
      <c r="A154" s="48" t="s">
        <v>361</v>
      </c>
      <c r="B154" s="43" t="s">
        <v>252</v>
      </c>
      <c r="F154" s="383">
        <f>K152/F121</f>
        <v>8.9915128723271717E-2</v>
      </c>
      <c r="H154" s="382"/>
    </row>
    <row r="155" spans="1:11" ht="18" customHeight="1">
      <c r="A155" s="48" t="s">
        <v>362</v>
      </c>
      <c r="B155" s="43" t="s">
        <v>253</v>
      </c>
      <c r="F155" s="383">
        <f>K152/F127</f>
        <v>1.7690507037149446</v>
      </c>
      <c r="G155" s="43"/>
    </row>
    <row r="156" spans="1:11" ht="18" customHeight="1">
      <c r="G156" s="43"/>
    </row>
  </sheetData>
  <mergeCells count="34"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8:D58"/>
    <mergeCell ref="B62:D62"/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</mergeCells>
  <hyperlinks>
    <hyperlink ref="C11" r:id="rId1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RowHeight="12.75"/>
  <cols>
    <col min="1" max="1" width="8.28515625" style="135" customWidth="1"/>
    <col min="2" max="2" width="55.42578125" style="49" bestFit="1" customWidth="1"/>
    <col min="3" max="3" width="9.5703125" style="49" customWidth="1"/>
    <col min="4" max="4" width="9.140625" style="49"/>
    <col min="5" max="5" width="12.42578125" style="49" customWidth="1"/>
    <col min="6" max="6" width="18.5703125" style="49" customWidth="1"/>
    <col min="7" max="7" width="23.5703125" style="49" customWidth="1"/>
    <col min="8" max="8" width="17.140625" style="49" customWidth="1"/>
    <col min="9" max="9" width="21.140625" style="49" customWidth="1"/>
    <col min="10" max="10" width="19.85546875" style="49" customWidth="1"/>
    <col min="11" max="11" width="17.5703125" style="49" customWidth="1"/>
    <col min="12" max="16384" width="9.14062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75">
      <c r="D2" s="873" t="s">
        <v>133</v>
      </c>
      <c r="E2" s="873"/>
      <c r="F2" s="873"/>
      <c r="G2" s="873"/>
      <c r="H2" s="873"/>
      <c r="I2" s="384"/>
      <c r="J2" s="384"/>
      <c r="K2" s="384"/>
    </row>
    <row r="3" spans="1:11" ht="15">
      <c r="B3" s="43" t="s">
        <v>134</v>
      </c>
      <c r="F3" s="44"/>
      <c r="H3" s="384"/>
      <c r="I3" s="384"/>
      <c r="J3" s="384"/>
      <c r="K3" s="384"/>
    </row>
    <row r="5" spans="1:11">
      <c r="B5" s="45" t="s">
        <v>135</v>
      </c>
      <c r="C5" s="826" t="s">
        <v>465</v>
      </c>
      <c r="D5" s="851"/>
      <c r="E5" s="851"/>
      <c r="F5" s="851"/>
      <c r="G5" s="852"/>
      <c r="H5" s="384"/>
      <c r="I5" s="384"/>
      <c r="J5" s="384"/>
      <c r="K5" s="384"/>
    </row>
    <row r="6" spans="1:11">
      <c r="B6" s="45" t="s">
        <v>136</v>
      </c>
      <c r="C6" s="829">
        <v>13</v>
      </c>
      <c r="D6" s="854"/>
      <c r="E6" s="854"/>
      <c r="F6" s="854"/>
      <c r="G6" s="855"/>
      <c r="H6" s="384"/>
      <c r="I6" s="384"/>
      <c r="J6" s="384"/>
      <c r="K6" s="384"/>
    </row>
    <row r="7" spans="1:11">
      <c r="B7" s="45" t="s">
        <v>137</v>
      </c>
      <c r="C7" s="878">
        <v>772</v>
      </c>
      <c r="D7" s="857"/>
      <c r="E7" s="857"/>
      <c r="F7" s="857"/>
      <c r="G7" s="858"/>
      <c r="H7" s="384"/>
      <c r="I7" s="384"/>
      <c r="J7" s="384"/>
      <c r="K7" s="384"/>
    </row>
    <row r="9" spans="1:11">
      <c r="B9" s="45" t="s">
        <v>138</v>
      </c>
      <c r="C9" s="826" t="s">
        <v>466</v>
      </c>
      <c r="D9" s="851"/>
      <c r="E9" s="851"/>
      <c r="F9" s="851"/>
      <c r="G9" s="852"/>
      <c r="H9" s="384"/>
      <c r="I9" s="384"/>
      <c r="J9" s="384"/>
      <c r="K9" s="384"/>
    </row>
    <row r="10" spans="1:11">
      <c r="B10" s="45" t="s">
        <v>140</v>
      </c>
      <c r="C10" s="835" t="s">
        <v>467</v>
      </c>
      <c r="D10" s="860"/>
      <c r="E10" s="860"/>
      <c r="F10" s="860"/>
      <c r="G10" s="861"/>
      <c r="H10" s="384"/>
      <c r="I10" s="384"/>
      <c r="J10" s="384"/>
      <c r="K10" s="384"/>
    </row>
    <row r="11" spans="1:11">
      <c r="B11" s="45" t="s">
        <v>142</v>
      </c>
      <c r="C11" s="838" t="s">
        <v>468</v>
      </c>
      <c r="D11" s="874"/>
      <c r="E11" s="874"/>
      <c r="F11" s="874"/>
      <c r="G11" s="874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5.5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362" t="s">
        <v>122</v>
      </c>
      <c r="G18" s="362" t="s">
        <v>122</v>
      </c>
      <c r="H18" s="466">
        <v>2634559</v>
      </c>
      <c r="I18" s="467">
        <v>0</v>
      </c>
      <c r="J18" s="466">
        <v>2252877</v>
      </c>
      <c r="K18" s="468">
        <v>381682</v>
      </c>
    </row>
    <row r="19" spans="1:11" ht="25.5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1768</v>
      </c>
      <c r="G21" s="57">
        <v>1905</v>
      </c>
      <c r="H21" s="347">
        <v>48765</v>
      </c>
      <c r="I21" s="167">
        <v>523.74</v>
      </c>
      <c r="J21" s="347">
        <v>0</v>
      </c>
      <c r="K21" s="348">
        <v>49288.74</v>
      </c>
    </row>
    <row r="22" spans="1:11">
      <c r="A22" s="45" t="s">
        <v>261</v>
      </c>
      <c r="B22" s="49" t="s">
        <v>157</v>
      </c>
      <c r="F22" s="57">
        <v>0</v>
      </c>
      <c r="G22" s="57">
        <v>0</v>
      </c>
      <c r="H22" s="347">
        <v>0</v>
      </c>
      <c r="I22" s="167">
        <v>0</v>
      </c>
      <c r="J22" s="347">
        <v>0</v>
      </c>
      <c r="K22" s="348">
        <v>0</v>
      </c>
    </row>
    <row r="23" spans="1:11">
      <c r="A23" s="45" t="s">
        <v>262</v>
      </c>
      <c r="B23" s="49" t="s">
        <v>158</v>
      </c>
      <c r="F23" s="57">
        <v>0</v>
      </c>
      <c r="G23" s="57">
        <v>0</v>
      </c>
      <c r="H23" s="347">
        <v>0</v>
      </c>
      <c r="I23" s="167">
        <v>0</v>
      </c>
      <c r="J23" s="347">
        <v>0</v>
      </c>
      <c r="K23" s="348">
        <v>0</v>
      </c>
    </row>
    <row r="24" spans="1:11">
      <c r="A24" s="45" t="s">
        <v>263</v>
      </c>
      <c r="B24" s="49" t="s">
        <v>159</v>
      </c>
      <c r="F24" s="57">
        <v>234062</v>
      </c>
      <c r="G24" s="57">
        <v>288468</v>
      </c>
      <c r="H24" s="347">
        <v>11064258</v>
      </c>
      <c r="I24" s="167">
        <v>118830.13</v>
      </c>
      <c r="J24" s="347">
        <v>5072853</v>
      </c>
      <c r="K24" s="348">
        <v>6110235.1299999999</v>
      </c>
    </row>
    <row r="25" spans="1:11">
      <c r="A25" s="45" t="s">
        <v>264</v>
      </c>
      <c r="B25" s="49" t="s">
        <v>160</v>
      </c>
      <c r="F25" s="57">
        <v>0</v>
      </c>
      <c r="G25" s="57">
        <v>0</v>
      </c>
      <c r="H25" s="347">
        <v>0</v>
      </c>
      <c r="I25" s="167">
        <v>0</v>
      </c>
      <c r="J25" s="347">
        <v>0</v>
      </c>
      <c r="K25" s="348">
        <v>0</v>
      </c>
    </row>
    <row r="26" spans="1:11">
      <c r="A26" s="45" t="s">
        <v>265</v>
      </c>
      <c r="B26" s="49" t="s">
        <v>161</v>
      </c>
      <c r="F26" s="57">
        <v>0</v>
      </c>
      <c r="G26" s="57">
        <v>0</v>
      </c>
      <c r="H26" s="347">
        <v>0</v>
      </c>
      <c r="I26" s="167">
        <v>0</v>
      </c>
      <c r="J26" s="347">
        <v>0</v>
      </c>
      <c r="K26" s="348">
        <v>0</v>
      </c>
    </row>
    <row r="27" spans="1:11">
      <c r="A27" s="45" t="s">
        <v>266</v>
      </c>
      <c r="B27" s="49" t="s">
        <v>162</v>
      </c>
      <c r="F27" s="57">
        <v>0</v>
      </c>
      <c r="G27" s="57">
        <v>0</v>
      </c>
      <c r="H27" s="347">
        <v>0</v>
      </c>
      <c r="I27" s="167">
        <v>0</v>
      </c>
      <c r="J27" s="347">
        <v>0</v>
      </c>
      <c r="K27" s="348">
        <v>0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320</v>
      </c>
      <c r="G29" s="57">
        <v>10962</v>
      </c>
      <c r="H29" s="347">
        <v>31581</v>
      </c>
      <c r="I29" s="167">
        <v>339.18</v>
      </c>
      <c r="J29" s="347">
        <v>0</v>
      </c>
      <c r="K29" s="348">
        <v>31920.18</v>
      </c>
    </row>
    <row r="30" spans="1:11">
      <c r="A30" s="45" t="s">
        <v>269</v>
      </c>
      <c r="B30" s="814"/>
      <c r="C30" s="815"/>
      <c r="D30" s="816"/>
      <c r="F30" s="57"/>
      <c r="G30" s="57"/>
      <c r="H30" s="347"/>
      <c r="I30" s="167"/>
      <c r="J30" s="347"/>
      <c r="K30" s="348"/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332"/>
      <c r="C32" s="333"/>
      <c r="D32" s="334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332"/>
      <c r="C33" s="333"/>
      <c r="D33" s="334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v>236150</v>
      </c>
      <c r="G36" s="350">
        <v>301335</v>
      </c>
      <c r="H36" s="348">
        <v>11144604</v>
      </c>
      <c r="I36" s="348">
        <v>119693.05</v>
      </c>
      <c r="J36" s="348">
        <v>5072853</v>
      </c>
      <c r="K36" s="348">
        <v>6191444.0499999998</v>
      </c>
    </row>
    <row r="37" spans="1:11" ht="13.5" thickBot="1">
      <c r="B37" s="43"/>
      <c r="F37" s="351"/>
      <c r="G37" s="351"/>
      <c r="H37" s="352"/>
      <c r="I37" s="352"/>
      <c r="J37" s="352"/>
      <c r="K37" s="353"/>
    </row>
    <row r="38" spans="1:11">
      <c r="F38" s="47"/>
      <c r="G38" s="47"/>
      <c r="H38" s="113"/>
      <c r="I38" s="113"/>
      <c r="J38" s="113"/>
      <c r="K38" s="113"/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0</v>
      </c>
      <c r="G40" s="57">
        <v>0</v>
      </c>
      <c r="H40" s="347">
        <v>0</v>
      </c>
      <c r="I40" s="167">
        <v>0</v>
      </c>
      <c r="J40" s="347">
        <v>0</v>
      </c>
      <c r="K40" s="348">
        <v>0</v>
      </c>
    </row>
    <row r="41" spans="1:11">
      <c r="A41" s="45" t="s">
        <v>278</v>
      </c>
      <c r="B41" s="818" t="s">
        <v>172</v>
      </c>
      <c r="C41" s="818"/>
      <c r="F41" s="57">
        <v>0</v>
      </c>
      <c r="G41" s="57">
        <v>0</v>
      </c>
      <c r="H41" s="347">
        <v>0</v>
      </c>
      <c r="I41" s="167">
        <v>0</v>
      </c>
      <c r="J41" s="347">
        <v>0</v>
      </c>
      <c r="K41" s="348">
        <v>0</v>
      </c>
    </row>
    <row r="42" spans="1:11">
      <c r="A42" s="45" t="s">
        <v>279</v>
      </c>
      <c r="B42" s="49" t="s">
        <v>174</v>
      </c>
      <c r="F42" s="57">
        <v>2372</v>
      </c>
      <c r="G42" s="57">
        <v>2372</v>
      </c>
      <c r="H42" s="347">
        <v>160002</v>
      </c>
      <c r="I42" s="167">
        <v>0</v>
      </c>
      <c r="J42" s="347">
        <v>0</v>
      </c>
      <c r="K42" s="348">
        <v>160002</v>
      </c>
    </row>
    <row r="43" spans="1:11">
      <c r="A43" s="45" t="s">
        <v>280</v>
      </c>
      <c r="B43" s="49" t="s">
        <v>176</v>
      </c>
      <c r="F43" s="57">
        <v>0</v>
      </c>
      <c r="G43" s="57">
        <v>0</v>
      </c>
      <c r="H43" s="347">
        <v>0</v>
      </c>
      <c r="I43" s="167">
        <v>0</v>
      </c>
      <c r="J43" s="347">
        <v>0</v>
      </c>
      <c r="K43" s="348">
        <v>0</v>
      </c>
    </row>
    <row r="44" spans="1:11">
      <c r="A44" s="45" t="s">
        <v>281</v>
      </c>
      <c r="B44" s="814"/>
      <c r="C44" s="815"/>
      <c r="D44" s="816"/>
      <c r="F44" s="57"/>
      <c r="G44" s="57"/>
      <c r="H44" s="347"/>
      <c r="I44" s="167"/>
      <c r="J44" s="347"/>
      <c r="K44" s="354"/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v>2372</v>
      </c>
      <c r="G49" s="355">
        <v>2372</v>
      </c>
      <c r="H49" s="348">
        <v>160002</v>
      </c>
      <c r="I49" s="348">
        <v>0</v>
      </c>
      <c r="J49" s="348">
        <v>0</v>
      </c>
      <c r="K49" s="348">
        <v>160002</v>
      </c>
    </row>
    <row r="50" spans="1:11" ht="13.5" thickBot="1">
      <c r="G50" s="356"/>
      <c r="H50" s="352"/>
      <c r="I50" s="352"/>
      <c r="J50" s="352"/>
      <c r="K50" s="352"/>
    </row>
    <row r="51" spans="1:11">
      <c r="F51" s="47"/>
      <c r="G51" s="47"/>
      <c r="H51" s="113"/>
      <c r="I51" s="113"/>
      <c r="J51" s="113"/>
      <c r="K51" s="113"/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22" t="s">
        <v>469</v>
      </c>
      <c r="C53" s="867"/>
      <c r="D53" s="865"/>
      <c r="F53" s="57">
        <v>13312</v>
      </c>
      <c r="G53" s="57">
        <v>27795</v>
      </c>
      <c r="H53" s="347">
        <v>344896</v>
      </c>
      <c r="I53" s="167">
        <v>0</v>
      </c>
      <c r="J53" s="347">
        <v>0</v>
      </c>
      <c r="K53" s="348">
        <v>344896</v>
      </c>
    </row>
    <row r="54" spans="1:11">
      <c r="A54" s="45" t="s">
        <v>289</v>
      </c>
      <c r="B54" s="335"/>
      <c r="C54" s="337"/>
      <c r="D54" s="338"/>
      <c r="F54" s="57"/>
      <c r="G54" s="57"/>
      <c r="H54" s="347"/>
      <c r="I54" s="167"/>
      <c r="J54" s="347"/>
      <c r="K54" s="348"/>
    </row>
    <row r="55" spans="1:11">
      <c r="A55" s="45" t="s">
        <v>291</v>
      </c>
      <c r="B55" s="817"/>
      <c r="C55" s="864"/>
      <c r="D55" s="865"/>
      <c r="F55" s="57"/>
      <c r="G55" s="57"/>
      <c r="H55" s="347"/>
      <c r="I55" s="167"/>
      <c r="J55" s="347"/>
      <c r="K55" s="348"/>
    </row>
    <row r="56" spans="1:11">
      <c r="A56" s="45" t="s">
        <v>293</v>
      </c>
      <c r="B56" s="817"/>
      <c r="C56" s="864"/>
      <c r="D56" s="865"/>
      <c r="F56" s="57"/>
      <c r="G56" s="57"/>
      <c r="H56" s="347"/>
      <c r="I56" s="167"/>
      <c r="J56" s="347"/>
      <c r="K56" s="348"/>
    </row>
    <row r="57" spans="1:11">
      <c r="A57" s="45" t="s">
        <v>295</v>
      </c>
      <c r="B57" s="817"/>
      <c r="C57" s="864"/>
      <c r="D57" s="865"/>
      <c r="F57" s="70"/>
      <c r="G57" s="57"/>
      <c r="H57" s="347"/>
      <c r="I57" s="167"/>
      <c r="J57" s="347"/>
      <c r="K57" s="348"/>
    </row>
    <row r="58" spans="1:11">
      <c r="A58" s="45" t="s">
        <v>298</v>
      </c>
      <c r="B58" s="335"/>
      <c r="C58" s="337"/>
      <c r="D58" s="338"/>
      <c r="F58" s="70"/>
      <c r="G58" s="70"/>
      <c r="H58" s="347"/>
      <c r="I58" s="167"/>
      <c r="J58" s="347"/>
      <c r="K58" s="348"/>
    </row>
    <row r="59" spans="1:11">
      <c r="A59" s="45" t="s">
        <v>300</v>
      </c>
      <c r="B59" s="817"/>
      <c r="C59" s="864"/>
      <c r="D59" s="865"/>
      <c r="F59" s="70"/>
      <c r="G59" s="70"/>
      <c r="H59" s="347"/>
      <c r="I59" s="167"/>
      <c r="J59" s="347"/>
      <c r="K59" s="348"/>
    </row>
    <row r="60" spans="1:11">
      <c r="A60" s="45" t="s">
        <v>302</v>
      </c>
      <c r="B60" s="335"/>
      <c r="C60" s="337"/>
      <c r="D60" s="338"/>
      <c r="F60" s="57"/>
      <c r="G60" s="57"/>
      <c r="H60" s="347"/>
      <c r="I60" s="167"/>
      <c r="J60" s="347"/>
      <c r="K60" s="348"/>
    </row>
    <row r="61" spans="1:11">
      <c r="A61" s="45" t="s">
        <v>303</v>
      </c>
      <c r="B61" s="335"/>
      <c r="C61" s="337"/>
      <c r="D61" s="338"/>
      <c r="F61" s="57"/>
      <c r="G61" s="57"/>
      <c r="H61" s="347"/>
      <c r="I61" s="167"/>
      <c r="J61" s="347"/>
      <c r="K61" s="348"/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/>
      <c r="J62" s="347"/>
      <c r="K62" s="348"/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v>13312</v>
      </c>
      <c r="G64" s="350">
        <v>27795</v>
      </c>
      <c r="H64" s="348">
        <v>344896</v>
      </c>
      <c r="I64" s="348">
        <v>0</v>
      </c>
      <c r="J64" s="348">
        <v>0</v>
      </c>
      <c r="K64" s="348">
        <v>344896</v>
      </c>
    </row>
    <row r="65" spans="1:11">
      <c r="F65" s="358"/>
      <c r="G65" s="358"/>
      <c r="H65" s="394"/>
      <c r="I65" s="394"/>
      <c r="J65" s="394"/>
      <c r="K65" s="394"/>
    </row>
    <row r="66" spans="1:11">
      <c r="F66" s="47"/>
      <c r="G66" s="47"/>
      <c r="H66" s="113"/>
      <c r="I66" s="113"/>
      <c r="J66" s="113"/>
      <c r="K66" s="113"/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0</v>
      </c>
      <c r="G68" s="362">
        <v>0</v>
      </c>
      <c r="H68" s="347">
        <v>0</v>
      </c>
      <c r="I68" s="167">
        <v>0</v>
      </c>
      <c r="J68" s="347">
        <v>0</v>
      </c>
      <c r="K68" s="348">
        <v>0</v>
      </c>
    </row>
    <row r="69" spans="1:11">
      <c r="A69" s="45" t="s">
        <v>307</v>
      </c>
      <c r="B69" s="49" t="s">
        <v>190</v>
      </c>
      <c r="F69" s="362">
        <v>0</v>
      </c>
      <c r="G69" s="362">
        <v>0</v>
      </c>
      <c r="H69" s="347">
        <v>0</v>
      </c>
      <c r="I69" s="167">
        <v>0</v>
      </c>
      <c r="J69" s="347">
        <v>0</v>
      </c>
      <c r="K69" s="348">
        <v>0</v>
      </c>
    </row>
    <row r="70" spans="1:11">
      <c r="A70" s="45" t="s">
        <v>308</v>
      </c>
      <c r="B70" s="335"/>
      <c r="C70" s="337"/>
      <c r="D70" s="338"/>
      <c r="E70" s="43"/>
      <c r="F70" s="364"/>
      <c r="G70" s="364"/>
      <c r="H70" s="363"/>
      <c r="I70" s="167"/>
      <c r="J70" s="363"/>
      <c r="K70" s="348"/>
    </row>
    <row r="71" spans="1:11">
      <c r="A71" s="45" t="s">
        <v>309</v>
      </c>
      <c r="B71" s="335"/>
      <c r="C71" s="337"/>
      <c r="D71" s="338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336"/>
      <c r="C72" s="339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v>0</v>
      </c>
      <c r="G74" s="368">
        <v>0</v>
      </c>
      <c r="H74" s="354">
        <v>0</v>
      </c>
      <c r="I74" s="370">
        <v>0</v>
      </c>
      <c r="J74" s="354">
        <v>0</v>
      </c>
      <c r="K74" s="354">
        <v>0</v>
      </c>
    </row>
    <row r="75" spans="1:11">
      <c r="F75" s="47"/>
      <c r="G75" s="47"/>
      <c r="H75" s="113"/>
      <c r="I75" s="113"/>
      <c r="J75" s="113"/>
      <c r="K75" s="113"/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0</v>
      </c>
      <c r="G77" s="57">
        <v>0</v>
      </c>
      <c r="H77" s="347">
        <v>0</v>
      </c>
      <c r="I77" s="167">
        <v>0</v>
      </c>
      <c r="J77" s="347">
        <v>0</v>
      </c>
      <c r="K77" s="348">
        <v>0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57">
        <v>0</v>
      </c>
      <c r="G79" s="57">
        <v>0</v>
      </c>
      <c r="H79" s="347">
        <v>0</v>
      </c>
      <c r="I79" s="167">
        <v>0</v>
      </c>
      <c r="J79" s="347">
        <v>0</v>
      </c>
      <c r="K79" s="348">
        <v>0</v>
      </c>
    </row>
    <row r="80" spans="1:11">
      <c r="A80" s="45" t="s">
        <v>315</v>
      </c>
      <c r="B80" s="49" t="s">
        <v>316</v>
      </c>
      <c r="F80" s="57">
        <v>0</v>
      </c>
      <c r="G80" s="57">
        <v>0</v>
      </c>
      <c r="H80" s="347">
        <v>0</v>
      </c>
      <c r="I80" s="167">
        <v>0</v>
      </c>
      <c r="J80" s="347">
        <v>0</v>
      </c>
      <c r="K80" s="348">
        <v>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v>0</v>
      </c>
      <c r="G82" s="455">
        <v>0</v>
      </c>
      <c r="H82" s="354">
        <v>0</v>
      </c>
      <c r="I82" s="354">
        <v>0</v>
      </c>
      <c r="J82" s="354">
        <v>0</v>
      </c>
      <c r="K82" s="354">
        <v>0</v>
      </c>
    </row>
    <row r="83" spans="1:11" ht="13.5" thickBot="1">
      <c r="A83" s="45"/>
      <c r="F83" s="356"/>
      <c r="G83" s="356"/>
      <c r="H83" s="352"/>
      <c r="I83" s="352"/>
      <c r="J83" s="352"/>
      <c r="K83" s="352"/>
    </row>
    <row r="84" spans="1:11">
      <c r="F84" s="47"/>
      <c r="G84" s="47"/>
      <c r="H84" s="113"/>
      <c r="I84" s="113"/>
      <c r="J84" s="113"/>
      <c r="K84" s="113"/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8856</v>
      </c>
      <c r="G86" s="57">
        <v>10886</v>
      </c>
      <c r="H86" s="347">
        <v>2970409</v>
      </c>
      <c r="I86" s="167">
        <v>31902.19</v>
      </c>
      <c r="J86" s="347">
        <v>2690749</v>
      </c>
      <c r="K86" s="348">
        <v>311562.19</v>
      </c>
    </row>
    <row r="87" spans="1:11">
      <c r="A87" s="45" t="s">
        <v>320</v>
      </c>
      <c r="B87" s="49" t="s">
        <v>206</v>
      </c>
      <c r="F87" s="57">
        <v>0</v>
      </c>
      <c r="G87" s="57">
        <v>0</v>
      </c>
      <c r="H87" s="347">
        <v>0</v>
      </c>
      <c r="I87" s="167">
        <v>0</v>
      </c>
      <c r="J87" s="347">
        <v>0</v>
      </c>
      <c r="K87" s="348">
        <v>0</v>
      </c>
    </row>
    <row r="88" spans="1:11">
      <c r="A88" s="45" t="s">
        <v>321</v>
      </c>
      <c r="B88" s="49" t="s">
        <v>208</v>
      </c>
      <c r="F88" s="57">
        <v>0</v>
      </c>
      <c r="G88" s="57">
        <v>0</v>
      </c>
      <c r="H88" s="347">
        <v>0</v>
      </c>
      <c r="I88" s="167">
        <v>0</v>
      </c>
      <c r="J88" s="347">
        <v>0</v>
      </c>
      <c r="K88" s="348">
        <v>0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v>0</v>
      </c>
      <c r="J89" s="347">
        <v>0</v>
      </c>
      <c r="K89" s="348">
        <v>0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0</v>
      </c>
      <c r="G91" s="57">
        <v>0</v>
      </c>
      <c r="H91" s="347">
        <v>0</v>
      </c>
      <c r="I91" s="167">
        <v>0</v>
      </c>
      <c r="J91" s="347">
        <v>0</v>
      </c>
      <c r="K91" s="348">
        <v>0</v>
      </c>
    </row>
    <row r="92" spans="1:11">
      <c r="A92" s="45" t="s">
        <v>325</v>
      </c>
      <c r="B92" s="49" t="s">
        <v>216</v>
      </c>
      <c r="F92" s="372">
        <v>0</v>
      </c>
      <c r="G92" s="372">
        <v>0</v>
      </c>
      <c r="H92" s="373">
        <v>0</v>
      </c>
      <c r="I92" s="167">
        <v>0</v>
      </c>
      <c r="J92" s="373">
        <v>0</v>
      </c>
      <c r="K92" s="348">
        <v>0</v>
      </c>
    </row>
    <row r="93" spans="1:11">
      <c r="A93" s="45" t="s">
        <v>326</v>
      </c>
      <c r="B93" s="49" t="s">
        <v>218</v>
      </c>
      <c r="F93" s="57">
        <v>0</v>
      </c>
      <c r="G93" s="57">
        <v>0</v>
      </c>
      <c r="H93" s="347">
        <v>0</v>
      </c>
      <c r="I93" s="167">
        <v>0</v>
      </c>
      <c r="J93" s="347">
        <v>0</v>
      </c>
      <c r="K93" s="348">
        <v>0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v>8856</v>
      </c>
      <c r="G98" s="350">
        <v>10886</v>
      </c>
      <c r="H98" s="348">
        <v>2970409</v>
      </c>
      <c r="I98" s="348">
        <v>31902.19</v>
      </c>
      <c r="J98" s="348">
        <v>2690749</v>
      </c>
      <c r="K98" s="348">
        <v>311562.19</v>
      </c>
    </row>
    <row r="99" spans="1:11" ht="13.5" thickBot="1">
      <c r="B99" s="43"/>
      <c r="F99" s="356"/>
      <c r="G99" s="356"/>
      <c r="H99" s="352"/>
      <c r="I99" s="352"/>
      <c r="J99" s="352"/>
      <c r="K99" s="352"/>
    </row>
    <row r="100" spans="1:11">
      <c r="F100" s="47"/>
      <c r="G100" s="47"/>
      <c r="H100" s="113"/>
      <c r="I100" s="113"/>
      <c r="J100" s="113"/>
      <c r="K100" s="113"/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9344</v>
      </c>
      <c r="G102" s="57">
        <v>0</v>
      </c>
      <c r="H102" s="347">
        <v>828023</v>
      </c>
      <c r="I102" s="167">
        <v>8892.9699999999993</v>
      </c>
      <c r="J102" s="347">
        <v>0</v>
      </c>
      <c r="K102" s="348">
        <v>836915.97</v>
      </c>
    </row>
    <row r="103" spans="1:11">
      <c r="A103" s="45" t="s">
        <v>333</v>
      </c>
      <c r="B103" s="818" t="s">
        <v>226</v>
      </c>
      <c r="C103" s="818"/>
      <c r="F103" s="57">
        <v>0</v>
      </c>
      <c r="G103" s="57">
        <v>0</v>
      </c>
      <c r="H103" s="347">
        <v>0</v>
      </c>
      <c r="I103" s="167">
        <v>0</v>
      </c>
      <c r="J103" s="347">
        <v>0</v>
      </c>
      <c r="K103" s="348">
        <v>0</v>
      </c>
    </row>
    <row r="104" spans="1:11">
      <c r="A104" s="45" t="s">
        <v>334</v>
      </c>
      <c r="B104" s="817"/>
      <c r="C104" s="864"/>
      <c r="D104" s="865"/>
      <c r="F104" s="57"/>
      <c r="G104" s="57"/>
      <c r="H104" s="347"/>
      <c r="I104" s="167"/>
      <c r="J104" s="347"/>
      <c r="K104" s="348"/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/>
      <c r="J105" s="347"/>
      <c r="K105" s="348"/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v>9344</v>
      </c>
      <c r="G108" s="350">
        <v>0</v>
      </c>
      <c r="H108" s="348">
        <v>828023</v>
      </c>
      <c r="I108" s="348">
        <v>8892.9699999999993</v>
      </c>
      <c r="J108" s="348">
        <v>0</v>
      </c>
      <c r="K108" s="348">
        <v>836915.97</v>
      </c>
    </row>
    <row r="109" spans="1:11" ht="13.5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13885743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1.07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110340499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3164698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v>113505197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123096854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-11020004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1392306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-9627699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>
      <c r="F129" s="47"/>
      <c r="G129" s="47"/>
      <c r="H129" s="113"/>
      <c r="I129" s="113"/>
      <c r="J129" s="113"/>
      <c r="K129" s="113"/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2912</v>
      </c>
      <c r="G131" s="57">
        <v>640</v>
      </c>
      <c r="H131" s="347">
        <v>106739</v>
      </c>
      <c r="I131" s="167">
        <v>0</v>
      </c>
      <c r="J131" s="347">
        <v>0</v>
      </c>
      <c r="K131" s="348">
        <v>106739</v>
      </c>
    </row>
    <row r="132" spans="1:11">
      <c r="A132" s="45" t="s">
        <v>354</v>
      </c>
      <c r="B132" s="49" t="s">
        <v>128</v>
      </c>
      <c r="F132" s="57">
        <v>44746</v>
      </c>
      <c r="G132" s="57">
        <v>11340</v>
      </c>
      <c r="H132" s="347">
        <v>1290842</v>
      </c>
      <c r="I132" s="167">
        <v>0</v>
      </c>
      <c r="J132" s="347">
        <v>0</v>
      </c>
      <c r="K132" s="348">
        <v>1290842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v>47658</v>
      </c>
      <c r="G137" s="350">
        <v>11980</v>
      </c>
      <c r="H137" s="348">
        <v>1397581</v>
      </c>
      <c r="I137" s="348">
        <v>0</v>
      </c>
      <c r="J137" s="348">
        <v>0</v>
      </c>
      <c r="K137" s="348">
        <v>1397581</v>
      </c>
    </row>
    <row r="138" spans="1:11">
      <c r="A138" s="49"/>
      <c r="H138" s="384"/>
      <c r="I138" s="384"/>
      <c r="J138" s="384"/>
      <c r="K138" s="384"/>
    </row>
    <row r="139" spans="1:11">
      <c r="F139" s="47"/>
      <c r="G139" s="47"/>
      <c r="H139" s="113"/>
      <c r="I139" s="113"/>
      <c r="J139" s="113"/>
      <c r="K139" s="113"/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v>236150</v>
      </c>
      <c r="G141" s="377">
        <v>301335</v>
      </c>
      <c r="H141" s="380">
        <v>11144604</v>
      </c>
      <c r="I141" s="380">
        <v>119693.05</v>
      </c>
      <c r="J141" s="380">
        <v>5072853</v>
      </c>
      <c r="K141" s="380">
        <v>6191444.0499999998</v>
      </c>
    </row>
    <row r="142" spans="1:11">
      <c r="A142" s="45" t="s">
        <v>286</v>
      </c>
      <c r="B142" s="43" t="s">
        <v>125</v>
      </c>
      <c r="F142" s="456">
        <v>2372</v>
      </c>
      <c r="G142" s="456">
        <v>2372</v>
      </c>
      <c r="H142" s="380">
        <v>160002</v>
      </c>
      <c r="I142" s="380">
        <v>0</v>
      </c>
      <c r="J142" s="380">
        <v>0</v>
      </c>
      <c r="K142" s="380">
        <v>160002</v>
      </c>
    </row>
    <row r="143" spans="1:11">
      <c r="A143" s="45" t="s">
        <v>305</v>
      </c>
      <c r="B143" s="43" t="s">
        <v>247</v>
      </c>
      <c r="F143" s="377">
        <v>13312</v>
      </c>
      <c r="G143" s="377">
        <v>27795</v>
      </c>
      <c r="H143" s="380">
        <v>344896</v>
      </c>
      <c r="I143" s="380">
        <v>0</v>
      </c>
      <c r="J143" s="380">
        <v>0</v>
      </c>
      <c r="K143" s="380">
        <v>344896</v>
      </c>
    </row>
    <row r="144" spans="1:11">
      <c r="A144" s="45" t="s">
        <v>311</v>
      </c>
      <c r="B144" s="43" t="s">
        <v>127</v>
      </c>
      <c r="F144" s="377">
        <v>0</v>
      </c>
      <c r="G144" s="377">
        <v>0</v>
      </c>
      <c r="H144" s="380">
        <v>0</v>
      </c>
      <c r="I144" s="380">
        <v>0</v>
      </c>
      <c r="J144" s="380">
        <v>0</v>
      </c>
      <c r="K144" s="380">
        <v>0</v>
      </c>
    </row>
    <row r="145" spans="1:11">
      <c r="A145" s="45" t="s">
        <v>317</v>
      </c>
      <c r="B145" s="43" t="s">
        <v>248</v>
      </c>
      <c r="F145" s="377">
        <v>0</v>
      </c>
      <c r="G145" s="377">
        <v>0</v>
      </c>
      <c r="H145" s="380">
        <v>0</v>
      </c>
      <c r="I145" s="380">
        <v>0</v>
      </c>
      <c r="J145" s="380">
        <v>0</v>
      </c>
      <c r="K145" s="380">
        <v>0</v>
      </c>
    </row>
    <row r="146" spans="1:11">
      <c r="A146" s="45" t="s">
        <v>331</v>
      </c>
      <c r="B146" s="43" t="s">
        <v>249</v>
      </c>
      <c r="F146" s="377">
        <v>8856</v>
      </c>
      <c r="G146" s="377">
        <v>10886</v>
      </c>
      <c r="H146" s="380">
        <v>2970409</v>
      </c>
      <c r="I146" s="380">
        <v>31902.19</v>
      </c>
      <c r="J146" s="380">
        <v>2690749</v>
      </c>
      <c r="K146" s="380">
        <v>311562.19</v>
      </c>
    </row>
    <row r="147" spans="1:11">
      <c r="A147" s="45" t="s">
        <v>338</v>
      </c>
      <c r="B147" s="43" t="s">
        <v>129</v>
      </c>
      <c r="F147" s="350">
        <v>9344</v>
      </c>
      <c r="G147" s="350">
        <v>0</v>
      </c>
      <c r="H147" s="348">
        <v>828023</v>
      </c>
      <c r="I147" s="348">
        <v>8892.9699999999993</v>
      </c>
      <c r="J147" s="348">
        <v>0</v>
      </c>
      <c r="K147" s="348">
        <v>836915.97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v>13885743</v>
      </c>
    </row>
    <row r="149" spans="1:11">
      <c r="A149" s="45" t="s">
        <v>358</v>
      </c>
      <c r="B149" s="43" t="s">
        <v>250</v>
      </c>
      <c r="F149" s="350">
        <v>47658</v>
      </c>
      <c r="G149" s="350">
        <v>11980</v>
      </c>
      <c r="H149" s="348">
        <v>1397581</v>
      </c>
      <c r="I149" s="348">
        <v>0</v>
      </c>
      <c r="J149" s="348">
        <v>0</v>
      </c>
      <c r="K149" s="348">
        <v>1397581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v>2634559</v>
      </c>
      <c r="I150" s="348">
        <v>0</v>
      </c>
      <c r="J150" s="348">
        <v>2252877</v>
      </c>
      <c r="K150" s="348">
        <v>381682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v>317692</v>
      </c>
      <c r="G152" s="381">
        <v>354368</v>
      </c>
      <c r="H152" s="457">
        <v>19480074</v>
      </c>
      <c r="I152" s="457">
        <v>160488.21</v>
      </c>
      <c r="J152" s="457">
        <v>10016479</v>
      </c>
      <c r="K152" s="457">
        <v>23509826.210000001</v>
      </c>
    </row>
    <row r="154" spans="1:11">
      <c r="A154" s="48" t="s">
        <v>361</v>
      </c>
      <c r="B154" s="43" t="s">
        <v>252</v>
      </c>
      <c r="F154" s="459">
        <f>K152/F121</f>
        <v>0.19098640985577098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-2.4418946011918323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C11:G11"/>
    <mergeCell ref="D2:H2"/>
    <mergeCell ref="C5:G5"/>
    <mergeCell ref="C6:G6"/>
    <mergeCell ref="C7:G7"/>
    <mergeCell ref="C9:G9"/>
    <mergeCell ref="C10:G10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90:C90"/>
    <mergeCell ref="B94:D94"/>
    <mergeCell ref="B95:D95"/>
    <mergeCell ref="B96:D96"/>
    <mergeCell ref="B134:D134"/>
    <mergeCell ref="B135:D135"/>
    <mergeCell ref="B103:C103"/>
    <mergeCell ref="B104:D104"/>
    <mergeCell ref="B105:D105"/>
    <mergeCell ref="B106:D106"/>
    <mergeCell ref="B133:D13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RowHeight="12.75"/>
  <cols>
    <col min="1" max="1" width="8.28515625" style="135" customWidth="1"/>
    <col min="2" max="2" width="55.42578125" style="49" bestFit="1" customWidth="1"/>
    <col min="3" max="3" width="9.5703125" style="49" customWidth="1"/>
    <col min="4" max="4" width="9.140625" style="49"/>
    <col min="5" max="5" width="12.42578125" style="49" customWidth="1"/>
    <col min="6" max="6" width="18.5703125" style="382" customWidth="1"/>
    <col min="7" max="7" width="23.5703125" style="49" customWidth="1"/>
    <col min="8" max="8" width="17.140625" style="49" customWidth="1"/>
    <col min="9" max="9" width="21.140625" style="49" customWidth="1"/>
    <col min="10" max="10" width="19.85546875" style="49" customWidth="1"/>
    <col min="11" max="11" width="17.5703125" style="49" customWidth="1"/>
    <col min="12" max="16384" width="9.140625" style="49"/>
  </cols>
  <sheetData>
    <row r="1" spans="1:11">
      <c r="C1" s="346"/>
      <c r="D1" s="42"/>
      <c r="E1" s="346"/>
      <c r="F1" s="469"/>
      <c r="G1" s="346"/>
      <c r="H1" s="454"/>
      <c r="I1" s="454"/>
      <c r="J1" s="454"/>
      <c r="K1" s="454"/>
    </row>
    <row r="2" spans="1:11" ht="15.75">
      <c r="D2" s="873" t="s">
        <v>133</v>
      </c>
      <c r="E2" s="873"/>
      <c r="F2" s="873"/>
      <c r="G2" s="873"/>
      <c r="H2" s="873"/>
      <c r="I2" s="384"/>
      <c r="J2" s="384"/>
      <c r="K2" s="384"/>
    </row>
    <row r="3" spans="1:11" ht="15">
      <c r="B3" s="43" t="s">
        <v>134</v>
      </c>
      <c r="F3" s="470"/>
      <c r="H3" s="384"/>
      <c r="I3" s="384"/>
      <c r="J3" s="384"/>
      <c r="K3" s="384"/>
    </row>
    <row r="5" spans="1:11" ht="15">
      <c r="B5" s="45" t="s">
        <v>135</v>
      </c>
      <c r="C5" s="946" t="s">
        <v>812</v>
      </c>
      <c r="D5" s="946"/>
      <c r="E5" s="946"/>
      <c r="F5" s="946"/>
      <c r="G5" s="946"/>
      <c r="H5" s="384"/>
      <c r="I5" s="384"/>
      <c r="J5" s="384"/>
      <c r="K5" s="384"/>
    </row>
    <row r="6" spans="1:11" ht="15">
      <c r="B6" s="45" t="s">
        <v>136</v>
      </c>
      <c r="C6" s="946">
        <v>15</v>
      </c>
      <c r="D6" s="946"/>
      <c r="E6" s="946"/>
      <c r="F6" s="946"/>
      <c r="G6" s="946"/>
      <c r="H6" s="384"/>
      <c r="I6" s="384"/>
      <c r="J6" s="384"/>
      <c r="K6" s="384"/>
    </row>
    <row r="7" spans="1:11" ht="15">
      <c r="B7" s="45" t="s">
        <v>137</v>
      </c>
      <c r="C7" s="946">
        <v>3577</v>
      </c>
      <c r="D7" s="946"/>
      <c r="E7" s="946"/>
      <c r="F7" s="946"/>
      <c r="G7" s="946"/>
      <c r="H7" s="384"/>
      <c r="I7" s="384"/>
      <c r="J7" s="384"/>
      <c r="K7" s="384"/>
    </row>
    <row r="8" spans="1:11" ht="15">
      <c r="C8" s="471"/>
      <c r="D8" s="471"/>
      <c r="E8" s="471"/>
      <c r="F8" s="472"/>
      <c r="G8" s="471"/>
    </row>
    <row r="9" spans="1:11" ht="15">
      <c r="B9" s="45" t="s">
        <v>138</v>
      </c>
      <c r="C9" s="946" t="s">
        <v>139</v>
      </c>
      <c r="D9" s="946"/>
      <c r="E9" s="946"/>
      <c r="F9" s="946"/>
      <c r="G9" s="946"/>
      <c r="H9" s="384"/>
      <c r="I9" s="384"/>
      <c r="J9" s="384"/>
      <c r="K9" s="384"/>
    </row>
    <row r="10" spans="1:11" ht="15">
      <c r="B10" s="45" t="s">
        <v>140</v>
      </c>
      <c r="C10" s="946" t="s">
        <v>141</v>
      </c>
      <c r="D10" s="946"/>
      <c r="E10" s="946"/>
      <c r="F10" s="946"/>
      <c r="G10" s="946"/>
      <c r="H10" s="384"/>
      <c r="I10" s="384"/>
      <c r="J10" s="384"/>
      <c r="K10" s="384"/>
    </row>
    <row r="11" spans="1:11" ht="15">
      <c r="B11" s="45" t="s">
        <v>142</v>
      </c>
      <c r="C11" s="946" t="s">
        <v>143</v>
      </c>
      <c r="D11" s="946"/>
      <c r="E11" s="946"/>
      <c r="F11" s="946"/>
      <c r="G11" s="946"/>
      <c r="H11" s="384"/>
      <c r="I11" s="384"/>
      <c r="J11" s="384"/>
      <c r="K11" s="384"/>
    </row>
    <row r="12" spans="1:11">
      <c r="B12" s="45"/>
      <c r="C12" s="45"/>
      <c r="D12" s="45"/>
      <c r="E12" s="45"/>
      <c r="F12" s="473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5.5">
      <c r="A16" s="42" t="s">
        <v>144</v>
      </c>
      <c r="B16" s="346"/>
      <c r="C16" s="346"/>
      <c r="D16" s="346"/>
      <c r="E16" s="346"/>
      <c r="F16" s="474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12255560</v>
      </c>
      <c r="I18" s="167">
        <v>0</v>
      </c>
      <c r="J18" s="347">
        <v>10480036</v>
      </c>
      <c r="K18" s="348">
        <v>1775524</v>
      </c>
    </row>
    <row r="19" spans="1:11" ht="25.5">
      <c r="A19" s="42" t="s">
        <v>154</v>
      </c>
      <c r="B19" s="346"/>
      <c r="C19" s="346"/>
      <c r="D19" s="346"/>
      <c r="E19" s="346"/>
      <c r="F19" s="474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5631.3</v>
      </c>
      <c r="G21" s="57">
        <v>9926</v>
      </c>
      <c r="H21" s="347">
        <v>302889</v>
      </c>
      <c r="I21" s="167">
        <v>142623</v>
      </c>
      <c r="J21" s="347">
        <v>390</v>
      </c>
      <c r="K21" s="348">
        <v>445122</v>
      </c>
    </row>
    <row r="22" spans="1:11">
      <c r="A22" s="45" t="s">
        <v>261</v>
      </c>
      <c r="B22" s="49" t="s">
        <v>157</v>
      </c>
      <c r="F22" s="57">
        <v>296</v>
      </c>
      <c r="G22" s="57">
        <v>737</v>
      </c>
      <c r="H22" s="347">
        <v>24963</v>
      </c>
      <c r="I22" s="167">
        <v>15140</v>
      </c>
      <c r="J22" s="347">
        <v>0</v>
      </c>
      <c r="K22" s="348">
        <v>40103</v>
      </c>
    </row>
    <row r="23" spans="1:11">
      <c r="A23" s="45" t="s">
        <v>262</v>
      </c>
      <c r="B23" s="49" t="s">
        <v>158</v>
      </c>
      <c r="F23" s="57">
        <v>0</v>
      </c>
      <c r="G23" s="57">
        <v>0</v>
      </c>
      <c r="H23" s="347">
        <v>0</v>
      </c>
      <c r="I23" s="167">
        <v>0</v>
      </c>
      <c r="J23" s="347">
        <v>0</v>
      </c>
      <c r="K23" s="348">
        <v>0</v>
      </c>
    </row>
    <row r="24" spans="1:11">
      <c r="A24" s="45" t="s">
        <v>263</v>
      </c>
      <c r="B24" s="49" t="s">
        <v>159</v>
      </c>
      <c r="F24" s="57">
        <v>7063</v>
      </c>
      <c r="G24" s="57">
        <v>0</v>
      </c>
      <c r="H24" s="347">
        <v>459485</v>
      </c>
      <c r="I24" s="167">
        <v>0</v>
      </c>
      <c r="J24" s="347">
        <v>64912</v>
      </c>
      <c r="K24" s="348">
        <v>394573</v>
      </c>
    </row>
    <row r="25" spans="1:11">
      <c r="A25" s="45" t="s">
        <v>264</v>
      </c>
      <c r="B25" s="49" t="s">
        <v>160</v>
      </c>
      <c r="F25" s="57">
        <v>0</v>
      </c>
      <c r="G25" s="57">
        <v>0</v>
      </c>
      <c r="H25" s="347">
        <v>0</v>
      </c>
      <c r="I25" s="167">
        <v>0</v>
      </c>
      <c r="J25" s="347">
        <v>0</v>
      </c>
      <c r="K25" s="348">
        <v>0</v>
      </c>
    </row>
    <row r="26" spans="1:11">
      <c r="A26" s="45" t="s">
        <v>265</v>
      </c>
      <c r="B26" s="49" t="s">
        <v>161</v>
      </c>
      <c r="F26" s="57">
        <v>0</v>
      </c>
      <c r="G26" s="57">
        <v>0</v>
      </c>
      <c r="H26" s="347">
        <v>21800</v>
      </c>
      <c r="I26" s="167">
        <v>0</v>
      </c>
      <c r="J26" s="347">
        <v>0</v>
      </c>
      <c r="K26" s="348">
        <v>21800</v>
      </c>
    </row>
    <row r="27" spans="1:11">
      <c r="A27" s="45" t="s">
        <v>266</v>
      </c>
      <c r="B27" s="49" t="s">
        <v>162</v>
      </c>
      <c r="F27" s="57">
        <v>0</v>
      </c>
      <c r="G27" s="57">
        <v>0</v>
      </c>
      <c r="H27" s="347">
        <v>0</v>
      </c>
      <c r="I27" s="167">
        <v>0</v>
      </c>
      <c r="J27" s="347">
        <v>0</v>
      </c>
      <c r="K27" s="348">
        <v>0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89</v>
      </c>
      <c r="G29" s="57">
        <v>277</v>
      </c>
      <c r="H29" s="347">
        <v>153907</v>
      </c>
      <c r="I29" s="167">
        <v>3265</v>
      </c>
      <c r="J29" s="347">
        <v>0</v>
      </c>
      <c r="K29" s="348">
        <v>157172</v>
      </c>
    </row>
    <row r="30" spans="1:11">
      <c r="A30" s="45" t="s">
        <v>269</v>
      </c>
      <c r="B30" s="814"/>
      <c r="C30" s="815"/>
      <c r="D30" s="816"/>
      <c r="F30" s="57"/>
      <c r="G30" s="57"/>
      <c r="H30" s="347"/>
      <c r="I30" s="167"/>
      <c r="J30" s="347"/>
      <c r="K30" s="348"/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332"/>
      <c r="C32" s="333"/>
      <c r="D32" s="334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332"/>
      <c r="C33" s="333"/>
      <c r="D33" s="334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13079.3</v>
      </c>
      <c r="G36" s="350">
        <f t="shared" si="0"/>
        <v>10940</v>
      </c>
      <c r="H36" s="348">
        <f t="shared" si="0"/>
        <v>963044</v>
      </c>
      <c r="I36" s="348">
        <f t="shared" si="0"/>
        <v>161028</v>
      </c>
      <c r="J36" s="348">
        <f t="shared" si="0"/>
        <v>65302</v>
      </c>
      <c r="K36" s="348">
        <f t="shared" si="0"/>
        <v>1058770</v>
      </c>
    </row>
    <row r="37" spans="1:11" ht="13.5" thickBot="1">
      <c r="B37" s="43"/>
      <c r="F37" s="351"/>
      <c r="G37" s="351"/>
      <c r="H37" s="352"/>
      <c r="I37" s="352"/>
      <c r="J37" s="352"/>
      <c r="K37" s="353"/>
    </row>
    <row r="38" spans="1:11" ht="25.5">
      <c r="F38" s="474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163839</v>
      </c>
      <c r="G40" s="57">
        <v>0</v>
      </c>
      <c r="H40" s="347">
        <v>7769952</v>
      </c>
      <c r="I40" s="167">
        <v>4725130</v>
      </c>
      <c r="J40" s="347">
        <v>0</v>
      </c>
      <c r="K40" s="348">
        <v>12495082</v>
      </c>
    </row>
    <row r="41" spans="1:11">
      <c r="A41" s="45" t="s">
        <v>278</v>
      </c>
      <c r="B41" s="818" t="s">
        <v>172</v>
      </c>
      <c r="C41" s="818"/>
      <c r="F41" s="57">
        <v>418</v>
      </c>
      <c r="G41" s="57">
        <v>235</v>
      </c>
      <c r="H41" s="347">
        <v>1722796</v>
      </c>
      <c r="I41" s="167">
        <v>1042528</v>
      </c>
      <c r="J41" s="347">
        <v>0</v>
      </c>
      <c r="K41" s="348">
        <v>2765324</v>
      </c>
    </row>
    <row r="42" spans="1:11">
      <c r="A42" s="45" t="s">
        <v>279</v>
      </c>
      <c r="B42" s="49" t="s">
        <v>174</v>
      </c>
      <c r="F42" s="57">
        <v>3464</v>
      </c>
      <c r="G42" s="57">
        <v>32</v>
      </c>
      <c r="H42" s="347">
        <v>135426</v>
      </c>
      <c r="I42" s="167">
        <v>59289</v>
      </c>
      <c r="J42" s="347">
        <v>0</v>
      </c>
      <c r="K42" s="348">
        <v>194715</v>
      </c>
    </row>
    <row r="43" spans="1:11">
      <c r="A43" s="45" t="s">
        <v>280</v>
      </c>
      <c r="B43" s="49" t="s">
        <v>176</v>
      </c>
      <c r="F43" s="57">
        <v>0</v>
      </c>
      <c r="G43" s="57">
        <v>0</v>
      </c>
      <c r="H43" s="347">
        <v>0</v>
      </c>
      <c r="I43" s="167">
        <v>0</v>
      </c>
      <c r="J43" s="347">
        <v>0</v>
      </c>
      <c r="K43" s="348">
        <v>0</v>
      </c>
    </row>
    <row r="44" spans="1:11">
      <c r="A44" s="45" t="s">
        <v>281</v>
      </c>
      <c r="B44" s="814"/>
      <c r="C44" s="815"/>
      <c r="D44" s="816"/>
      <c r="F44" s="57"/>
      <c r="G44" s="57"/>
      <c r="H44" s="347"/>
      <c r="I44" s="167"/>
      <c r="J44" s="347"/>
      <c r="K44" s="354"/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0">
        <f t="shared" ref="F49:K49" si="1">SUM(F40:F47)</f>
        <v>167721</v>
      </c>
      <c r="G49" s="355">
        <f t="shared" si="1"/>
        <v>267</v>
      </c>
      <c r="H49" s="348">
        <f t="shared" si="1"/>
        <v>9628174</v>
      </c>
      <c r="I49" s="348">
        <f t="shared" si="1"/>
        <v>5826947</v>
      </c>
      <c r="J49" s="348">
        <f t="shared" si="1"/>
        <v>0</v>
      </c>
      <c r="K49" s="348">
        <f t="shared" si="1"/>
        <v>15455121</v>
      </c>
    </row>
    <row r="50" spans="1:11" ht="13.5" thickBot="1">
      <c r="G50" s="356"/>
      <c r="H50" s="352"/>
      <c r="I50" s="352"/>
      <c r="J50" s="352"/>
      <c r="K50" s="352"/>
    </row>
    <row r="51" spans="1:11" ht="25.5">
      <c r="F51" s="474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17" t="s">
        <v>180</v>
      </c>
      <c r="C53" s="864" t="s">
        <v>180</v>
      </c>
      <c r="D53" s="865" t="s">
        <v>180</v>
      </c>
      <c r="F53" s="57">
        <v>0</v>
      </c>
      <c r="G53" s="57">
        <v>0</v>
      </c>
      <c r="H53" s="347">
        <v>210968</v>
      </c>
      <c r="I53" s="167">
        <v>0</v>
      </c>
      <c r="J53" s="347">
        <v>12882</v>
      </c>
      <c r="K53" s="348">
        <v>198086</v>
      </c>
    </row>
    <row r="54" spans="1:11">
      <c r="A54" s="45" t="s">
        <v>289</v>
      </c>
      <c r="B54" s="817" t="s">
        <v>181</v>
      </c>
      <c r="C54" s="864"/>
      <c r="D54" s="865"/>
      <c r="F54" s="57">
        <v>0</v>
      </c>
      <c r="G54" s="57">
        <v>0</v>
      </c>
      <c r="H54" s="347">
        <v>5300269</v>
      </c>
      <c r="I54" s="167">
        <v>0</v>
      </c>
      <c r="J54" s="347">
        <v>3918771</v>
      </c>
      <c r="K54" s="348">
        <v>1381498</v>
      </c>
    </row>
    <row r="55" spans="1:11">
      <c r="A55" s="45" t="s">
        <v>291</v>
      </c>
      <c r="B55" s="817" t="s">
        <v>182</v>
      </c>
      <c r="C55" s="864" t="s">
        <v>182</v>
      </c>
      <c r="D55" s="865" t="s">
        <v>182</v>
      </c>
      <c r="F55" s="57">
        <v>0</v>
      </c>
      <c r="G55" s="57">
        <v>0</v>
      </c>
      <c r="H55" s="347">
        <v>1016735</v>
      </c>
      <c r="I55" s="167">
        <v>5053305</v>
      </c>
      <c r="J55" s="347">
        <v>4580514</v>
      </c>
      <c r="K55" s="348">
        <v>1489526</v>
      </c>
    </row>
    <row r="56" spans="1:11">
      <c r="A56" s="45" t="s">
        <v>293</v>
      </c>
      <c r="B56" s="817" t="s">
        <v>183</v>
      </c>
      <c r="C56" s="864" t="s">
        <v>183</v>
      </c>
      <c r="D56" s="865" t="s">
        <v>183</v>
      </c>
      <c r="F56" s="57">
        <v>0</v>
      </c>
      <c r="G56" s="57">
        <v>0</v>
      </c>
      <c r="H56" s="347">
        <v>11130481</v>
      </c>
      <c r="I56" s="167">
        <v>0</v>
      </c>
      <c r="J56" s="347">
        <v>10682204</v>
      </c>
      <c r="K56" s="348">
        <v>448277</v>
      </c>
    </row>
    <row r="57" spans="1:11">
      <c r="A57" s="45" t="s">
        <v>295</v>
      </c>
      <c r="B57" s="817"/>
      <c r="C57" s="864"/>
      <c r="D57" s="865"/>
      <c r="F57" s="70"/>
      <c r="G57" s="57"/>
      <c r="H57" s="347"/>
      <c r="I57" s="167"/>
      <c r="J57" s="347"/>
      <c r="K57" s="348"/>
    </row>
    <row r="58" spans="1:11">
      <c r="A58" s="45" t="s">
        <v>298</v>
      </c>
      <c r="B58" s="335"/>
      <c r="C58" s="337"/>
      <c r="D58" s="338"/>
      <c r="F58" s="70"/>
      <c r="G58" s="70"/>
      <c r="H58" s="347"/>
      <c r="I58" s="167"/>
      <c r="J58" s="347"/>
      <c r="K58" s="348"/>
    </row>
    <row r="59" spans="1:11">
      <c r="A59" s="45" t="s">
        <v>300</v>
      </c>
      <c r="B59" s="817"/>
      <c r="C59" s="864"/>
      <c r="D59" s="865"/>
      <c r="F59" s="70"/>
      <c r="G59" s="70"/>
      <c r="H59" s="347"/>
      <c r="I59" s="167"/>
      <c r="J59" s="347"/>
      <c r="K59" s="348"/>
    </row>
    <row r="60" spans="1:11">
      <c r="A60" s="45" t="s">
        <v>302</v>
      </c>
      <c r="B60" s="335"/>
      <c r="C60" s="337"/>
      <c r="D60" s="338"/>
      <c r="F60" s="57"/>
      <c r="G60" s="57"/>
      <c r="H60" s="347"/>
      <c r="I60" s="167"/>
      <c r="J60" s="347"/>
      <c r="K60" s="348"/>
    </row>
    <row r="61" spans="1:11">
      <c r="A61" s="45" t="s">
        <v>303</v>
      </c>
      <c r="B61" s="335"/>
      <c r="C61" s="337"/>
      <c r="D61" s="338"/>
      <c r="F61" s="57"/>
      <c r="G61" s="57"/>
      <c r="H61" s="347"/>
      <c r="I61" s="167"/>
      <c r="J61" s="347"/>
      <c r="K61" s="348"/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/>
      <c r="J62" s="347"/>
      <c r="K62" s="348"/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SUM(F53:F62)</f>
        <v>0</v>
      </c>
      <c r="G64" s="350">
        <f t="shared" si="2"/>
        <v>0</v>
      </c>
      <c r="H64" s="348">
        <f t="shared" si="2"/>
        <v>17658453</v>
      </c>
      <c r="I64" s="348">
        <f t="shared" si="2"/>
        <v>5053305</v>
      </c>
      <c r="J64" s="348">
        <f t="shared" si="2"/>
        <v>19194371</v>
      </c>
      <c r="K64" s="348">
        <f t="shared" si="2"/>
        <v>3517387</v>
      </c>
    </row>
    <row r="65" spans="1:11">
      <c r="F65" s="475"/>
      <c r="G65" s="358"/>
      <c r="H65" s="394"/>
      <c r="I65" s="394"/>
      <c r="J65" s="394"/>
      <c r="K65" s="394"/>
    </row>
    <row r="66" spans="1:11" ht="25.5">
      <c r="F66" s="474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476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57">
        <v>174</v>
      </c>
      <c r="G68" s="362">
        <v>0</v>
      </c>
      <c r="H68" s="347">
        <v>14192</v>
      </c>
      <c r="I68" s="167">
        <v>8657</v>
      </c>
      <c r="J68" s="347">
        <v>0</v>
      </c>
      <c r="K68" s="348">
        <v>22849</v>
      </c>
    </row>
    <row r="69" spans="1:11">
      <c r="A69" s="45" t="s">
        <v>307</v>
      </c>
      <c r="B69" s="49" t="s">
        <v>190</v>
      </c>
      <c r="F69" s="57">
        <v>0</v>
      </c>
      <c r="G69" s="362">
        <v>0</v>
      </c>
      <c r="H69" s="347">
        <v>0</v>
      </c>
      <c r="I69" s="167">
        <v>0</v>
      </c>
      <c r="J69" s="347">
        <v>0</v>
      </c>
      <c r="K69" s="348">
        <v>0</v>
      </c>
    </row>
    <row r="70" spans="1:11">
      <c r="A70" s="45" t="s">
        <v>308</v>
      </c>
      <c r="B70" s="335"/>
      <c r="C70" s="337"/>
      <c r="D70" s="338"/>
      <c r="E70" s="43"/>
      <c r="F70" s="364"/>
      <c r="G70" s="364"/>
      <c r="H70" s="363"/>
      <c r="I70" s="167"/>
      <c r="J70" s="363"/>
      <c r="K70" s="348"/>
    </row>
    <row r="71" spans="1:11">
      <c r="A71" s="45" t="s">
        <v>309</v>
      </c>
      <c r="B71" s="335"/>
      <c r="C71" s="337"/>
      <c r="D71" s="338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336"/>
      <c r="C72" s="339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455">
        <f t="shared" ref="F74:K74" si="3">SUM(F68:F72)</f>
        <v>174</v>
      </c>
      <c r="G74" s="368">
        <f t="shared" si="3"/>
        <v>0</v>
      </c>
      <c r="H74" s="354">
        <f t="shared" si="3"/>
        <v>14192</v>
      </c>
      <c r="I74" s="370">
        <f t="shared" si="3"/>
        <v>8657</v>
      </c>
      <c r="J74" s="354">
        <f t="shared" si="3"/>
        <v>0</v>
      </c>
      <c r="K74" s="354">
        <f t="shared" si="3"/>
        <v>22849</v>
      </c>
    </row>
    <row r="75" spans="1:11" ht="25.5">
      <c r="F75" s="474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8</v>
      </c>
      <c r="G77" s="57">
        <v>0</v>
      </c>
      <c r="H77" s="347">
        <v>143482</v>
      </c>
      <c r="I77" s="167">
        <v>0</v>
      </c>
      <c r="J77" s="347">
        <v>0</v>
      </c>
      <c r="K77" s="348">
        <v>143482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388">
        <v>268.5</v>
      </c>
      <c r="G79" s="57">
        <v>109</v>
      </c>
      <c r="H79" s="347">
        <v>26387</v>
      </c>
      <c r="I79" s="167">
        <v>15269</v>
      </c>
      <c r="J79" s="347">
        <v>600</v>
      </c>
      <c r="K79" s="348">
        <v>41056</v>
      </c>
    </row>
    <row r="80" spans="1:11">
      <c r="A80" s="45" t="s">
        <v>315</v>
      </c>
      <c r="B80" s="49" t="s">
        <v>316</v>
      </c>
      <c r="F80" s="57">
        <v>0</v>
      </c>
      <c r="G80" s="57">
        <v>0</v>
      </c>
      <c r="H80" s="347">
        <v>0</v>
      </c>
      <c r="I80" s="167">
        <v>0</v>
      </c>
      <c r="J80" s="347">
        <v>0</v>
      </c>
      <c r="K80" s="348">
        <v>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77">
        <f t="shared" ref="F82:K82" si="4">SUM(F77:F80)</f>
        <v>276.5</v>
      </c>
      <c r="G82" s="455">
        <f t="shared" si="4"/>
        <v>109</v>
      </c>
      <c r="H82" s="354">
        <f t="shared" si="4"/>
        <v>169869</v>
      </c>
      <c r="I82" s="354">
        <f t="shared" si="4"/>
        <v>15269</v>
      </c>
      <c r="J82" s="354">
        <f t="shared" si="4"/>
        <v>600</v>
      </c>
      <c r="K82" s="354">
        <f t="shared" si="4"/>
        <v>184538</v>
      </c>
    </row>
    <row r="83" spans="1:11" ht="13.5" thickBot="1">
      <c r="A83" s="45"/>
      <c r="F83" s="351"/>
      <c r="G83" s="356"/>
      <c r="H83" s="352"/>
      <c r="I83" s="352"/>
      <c r="J83" s="352"/>
      <c r="K83" s="352"/>
    </row>
    <row r="84" spans="1:11" ht="25.5">
      <c r="F84" s="474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0</v>
      </c>
      <c r="G87" s="57">
        <v>0</v>
      </c>
      <c r="H87" s="347">
        <v>0</v>
      </c>
      <c r="I87" s="167">
        <v>0</v>
      </c>
      <c r="J87" s="347">
        <v>0</v>
      </c>
      <c r="K87" s="348">
        <v>0</v>
      </c>
    </row>
    <row r="88" spans="1:11">
      <c r="A88" s="45" t="s">
        <v>321</v>
      </c>
      <c r="B88" s="49" t="s">
        <v>208</v>
      </c>
      <c r="F88" s="57">
        <v>120</v>
      </c>
      <c r="G88" s="57">
        <v>100</v>
      </c>
      <c r="H88" s="347">
        <v>49934</v>
      </c>
      <c r="I88" s="167">
        <v>2262</v>
      </c>
      <c r="J88" s="347">
        <v>0</v>
      </c>
      <c r="K88" s="348">
        <v>52196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v>0</v>
      </c>
      <c r="J89" s="347">
        <v>0</v>
      </c>
      <c r="K89" s="348">
        <v>0</v>
      </c>
    </row>
    <row r="90" spans="1:11">
      <c r="A90" s="45" t="s">
        <v>323</v>
      </c>
      <c r="B90" s="818" t="s">
        <v>212</v>
      </c>
      <c r="C90" s="818"/>
      <c r="F90" s="57">
        <v>43</v>
      </c>
      <c r="G90" s="57">
        <v>120</v>
      </c>
      <c r="H90" s="347">
        <v>2965</v>
      </c>
      <c r="I90" s="167">
        <v>1459</v>
      </c>
      <c r="J90" s="347">
        <v>0</v>
      </c>
      <c r="K90" s="348">
        <v>4424</v>
      </c>
    </row>
    <row r="91" spans="1:11">
      <c r="A91" s="45" t="s">
        <v>324</v>
      </c>
      <c r="B91" s="49" t="s">
        <v>214</v>
      </c>
      <c r="F91" s="57">
        <v>48</v>
      </c>
      <c r="G91" s="57">
        <v>125</v>
      </c>
      <c r="H91" s="347">
        <v>0</v>
      </c>
      <c r="I91" s="167">
        <v>0</v>
      </c>
      <c r="J91" s="347">
        <v>0</v>
      </c>
      <c r="K91" s="348">
        <v>0</v>
      </c>
    </row>
    <row r="92" spans="1:11">
      <c r="A92" s="45" t="s">
        <v>325</v>
      </c>
      <c r="B92" s="49" t="s">
        <v>216</v>
      </c>
      <c r="F92" s="372">
        <v>3</v>
      </c>
      <c r="G92" s="372">
        <v>16</v>
      </c>
      <c r="H92" s="373">
        <v>29486</v>
      </c>
      <c r="I92" s="167">
        <v>0</v>
      </c>
      <c r="J92" s="373">
        <v>0</v>
      </c>
      <c r="K92" s="348">
        <v>29486</v>
      </c>
    </row>
    <row r="93" spans="1:11">
      <c r="A93" s="45" t="s">
        <v>326</v>
      </c>
      <c r="B93" s="49" t="s">
        <v>218</v>
      </c>
      <c r="F93" s="57">
        <v>8</v>
      </c>
      <c r="G93" s="57">
        <v>0</v>
      </c>
      <c r="H93" s="347">
        <v>49495</v>
      </c>
      <c r="I93" s="167">
        <v>0</v>
      </c>
      <c r="J93" s="347">
        <v>0</v>
      </c>
      <c r="K93" s="348">
        <v>49495</v>
      </c>
    </row>
    <row r="94" spans="1:11">
      <c r="A94" s="45" t="s">
        <v>327</v>
      </c>
      <c r="B94" s="817" t="s">
        <v>181</v>
      </c>
      <c r="C94" s="864"/>
      <c r="D94" s="865"/>
      <c r="F94" s="57">
        <v>0</v>
      </c>
      <c r="G94" s="57">
        <v>0</v>
      </c>
      <c r="H94" s="347">
        <v>0</v>
      </c>
      <c r="I94" s="167">
        <v>0</v>
      </c>
      <c r="J94" s="347">
        <v>0</v>
      </c>
      <c r="K94" s="348">
        <v>0</v>
      </c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222</v>
      </c>
      <c r="G98" s="350">
        <f t="shared" si="5"/>
        <v>361</v>
      </c>
      <c r="H98" s="348">
        <f t="shared" si="5"/>
        <v>131880</v>
      </c>
      <c r="I98" s="348">
        <f t="shared" si="5"/>
        <v>3721</v>
      </c>
      <c r="J98" s="348">
        <f t="shared" si="5"/>
        <v>0</v>
      </c>
      <c r="K98" s="348">
        <f t="shared" si="5"/>
        <v>135601</v>
      </c>
    </row>
    <row r="99" spans="1:11" ht="13.5" thickBot="1">
      <c r="B99" s="43"/>
      <c r="F99" s="351"/>
      <c r="G99" s="356"/>
      <c r="H99" s="352"/>
      <c r="I99" s="352"/>
      <c r="J99" s="352"/>
      <c r="K99" s="352"/>
    </row>
    <row r="100" spans="1:11" ht="25.5">
      <c r="F100" s="474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4252</v>
      </c>
      <c r="G102" s="57">
        <v>0</v>
      </c>
      <c r="H102" s="347">
        <v>259387</v>
      </c>
      <c r="I102" s="167">
        <v>132313</v>
      </c>
      <c r="J102" s="347">
        <v>0</v>
      </c>
      <c r="K102" s="348">
        <v>391700</v>
      </c>
    </row>
    <row r="103" spans="1:11">
      <c r="A103" s="45" t="s">
        <v>333</v>
      </c>
      <c r="B103" s="818" t="s">
        <v>226</v>
      </c>
      <c r="C103" s="818"/>
      <c r="F103" s="57">
        <v>63</v>
      </c>
      <c r="G103" s="57">
        <v>0</v>
      </c>
      <c r="H103" s="347">
        <v>37181</v>
      </c>
      <c r="I103" s="167">
        <v>2141</v>
      </c>
      <c r="J103" s="347">
        <v>0</v>
      </c>
      <c r="K103" s="348">
        <v>39322</v>
      </c>
    </row>
    <row r="104" spans="1:11">
      <c r="A104" s="45" t="s">
        <v>334</v>
      </c>
      <c r="B104" s="817" t="s">
        <v>228</v>
      </c>
      <c r="C104" s="864"/>
      <c r="D104" s="865"/>
      <c r="F104" s="57">
        <v>0</v>
      </c>
      <c r="G104" s="57">
        <v>0</v>
      </c>
      <c r="H104" s="347">
        <v>39202</v>
      </c>
      <c r="I104" s="167">
        <v>0</v>
      </c>
      <c r="J104" s="347">
        <v>0</v>
      </c>
      <c r="K104" s="348">
        <v>39202</v>
      </c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/>
      <c r="J105" s="347"/>
      <c r="K105" s="348"/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4315</v>
      </c>
      <c r="G108" s="350">
        <f t="shared" si="6"/>
        <v>0</v>
      </c>
      <c r="H108" s="348">
        <f t="shared" si="6"/>
        <v>335770</v>
      </c>
      <c r="I108" s="348">
        <f t="shared" si="6"/>
        <v>134454</v>
      </c>
      <c r="J108" s="348">
        <f t="shared" si="6"/>
        <v>0</v>
      </c>
      <c r="K108" s="348">
        <f t="shared" si="6"/>
        <v>470224</v>
      </c>
    </row>
    <row r="109" spans="1:11" ht="13.5" thickBot="1">
      <c r="A109" s="374"/>
      <c r="B109" s="92"/>
      <c r="C109" s="375"/>
      <c r="D109" s="375"/>
      <c r="E109" s="375"/>
      <c r="F109" s="351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57">
        <v>14943857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478">
        <v>0.61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466">
        <v>440292883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466">
        <v>10126107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479">
        <v>450418990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 ht="15">
      <c r="A121" s="45" t="s">
        <v>345</v>
      </c>
      <c r="B121" s="43" t="s">
        <v>346</v>
      </c>
      <c r="F121" s="480">
        <v>450358826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 ht="15">
      <c r="A123" s="45" t="s">
        <v>347</v>
      </c>
      <c r="B123" s="43" t="s">
        <v>348</v>
      </c>
      <c r="F123" s="480">
        <v>60164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 ht="15">
      <c r="A125" s="45" t="s">
        <v>349</v>
      </c>
      <c r="B125" s="43" t="s">
        <v>350</v>
      </c>
      <c r="F125" s="480">
        <v>365370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 ht="15">
      <c r="A127" s="45" t="s">
        <v>351</v>
      </c>
      <c r="B127" s="43" t="s">
        <v>352</v>
      </c>
      <c r="F127" s="480">
        <v>425534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5.5">
      <c r="F129" s="474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  <c r="H138" s="384"/>
      <c r="I138" s="384"/>
      <c r="J138" s="384"/>
      <c r="K138" s="384"/>
    </row>
    <row r="139" spans="1:11" ht="25.5">
      <c r="F139" s="474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8">F36</f>
        <v>13079.3</v>
      </c>
      <c r="G141" s="377">
        <f t="shared" si="8"/>
        <v>10940</v>
      </c>
      <c r="H141" s="380">
        <f t="shared" si="8"/>
        <v>963044</v>
      </c>
      <c r="I141" s="380">
        <f t="shared" si="8"/>
        <v>161028</v>
      </c>
      <c r="J141" s="380">
        <f t="shared" si="8"/>
        <v>65302</v>
      </c>
      <c r="K141" s="380">
        <f t="shared" si="8"/>
        <v>1058770</v>
      </c>
    </row>
    <row r="142" spans="1:11">
      <c r="A142" s="45" t="s">
        <v>286</v>
      </c>
      <c r="B142" s="43" t="s">
        <v>125</v>
      </c>
      <c r="F142" s="377">
        <f t="shared" ref="F142:K142" si="9">F49</f>
        <v>167721</v>
      </c>
      <c r="G142" s="456">
        <f t="shared" si="9"/>
        <v>267</v>
      </c>
      <c r="H142" s="380">
        <f t="shared" si="9"/>
        <v>9628174</v>
      </c>
      <c r="I142" s="380">
        <f t="shared" si="9"/>
        <v>5826947</v>
      </c>
      <c r="J142" s="380">
        <f t="shared" si="9"/>
        <v>0</v>
      </c>
      <c r="K142" s="380">
        <f t="shared" si="9"/>
        <v>15455121</v>
      </c>
    </row>
    <row r="143" spans="1:11">
      <c r="A143" s="45" t="s">
        <v>305</v>
      </c>
      <c r="B143" s="43" t="s">
        <v>247</v>
      </c>
      <c r="F143" s="377">
        <f t="shared" ref="F143:K143" si="10">F64</f>
        <v>0</v>
      </c>
      <c r="G143" s="377">
        <f t="shared" si="10"/>
        <v>0</v>
      </c>
      <c r="H143" s="380">
        <f t="shared" si="10"/>
        <v>17658453</v>
      </c>
      <c r="I143" s="380">
        <f t="shared" si="10"/>
        <v>5053305</v>
      </c>
      <c r="J143" s="380">
        <f t="shared" si="10"/>
        <v>19194371</v>
      </c>
      <c r="K143" s="380">
        <f t="shared" si="10"/>
        <v>3517387</v>
      </c>
    </row>
    <row r="144" spans="1:11">
      <c r="A144" s="45" t="s">
        <v>311</v>
      </c>
      <c r="B144" s="43" t="s">
        <v>127</v>
      </c>
      <c r="F144" s="377">
        <f t="shared" ref="F144:K144" si="11">F74</f>
        <v>174</v>
      </c>
      <c r="G144" s="377">
        <f t="shared" si="11"/>
        <v>0</v>
      </c>
      <c r="H144" s="380">
        <f t="shared" si="11"/>
        <v>14192</v>
      </c>
      <c r="I144" s="380">
        <f t="shared" si="11"/>
        <v>8657</v>
      </c>
      <c r="J144" s="380">
        <f t="shared" si="11"/>
        <v>0</v>
      </c>
      <c r="K144" s="380">
        <f t="shared" si="11"/>
        <v>22849</v>
      </c>
    </row>
    <row r="145" spans="1:11">
      <c r="A145" s="45" t="s">
        <v>317</v>
      </c>
      <c r="B145" s="43" t="s">
        <v>248</v>
      </c>
      <c r="F145" s="377">
        <f t="shared" ref="F145:K145" si="12">F82</f>
        <v>276.5</v>
      </c>
      <c r="G145" s="377">
        <f t="shared" si="12"/>
        <v>109</v>
      </c>
      <c r="H145" s="380">
        <f t="shared" si="12"/>
        <v>169869</v>
      </c>
      <c r="I145" s="380">
        <f t="shared" si="12"/>
        <v>15269</v>
      </c>
      <c r="J145" s="380">
        <f t="shared" si="12"/>
        <v>600</v>
      </c>
      <c r="K145" s="380">
        <f t="shared" si="12"/>
        <v>184538</v>
      </c>
    </row>
    <row r="146" spans="1:11">
      <c r="A146" s="45" t="s">
        <v>331</v>
      </c>
      <c r="B146" s="43" t="s">
        <v>249</v>
      </c>
      <c r="F146" s="377">
        <f t="shared" ref="F146:K146" si="13">F98</f>
        <v>222</v>
      </c>
      <c r="G146" s="377">
        <f t="shared" si="13"/>
        <v>361</v>
      </c>
      <c r="H146" s="380">
        <f t="shared" si="13"/>
        <v>131880</v>
      </c>
      <c r="I146" s="380">
        <f t="shared" si="13"/>
        <v>3721</v>
      </c>
      <c r="J146" s="380">
        <f t="shared" si="13"/>
        <v>0</v>
      </c>
      <c r="K146" s="380">
        <f t="shared" si="13"/>
        <v>135601</v>
      </c>
    </row>
    <row r="147" spans="1:11">
      <c r="A147" s="45" t="s">
        <v>338</v>
      </c>
      <c r="B147" s="43" t="s">
        <v>129</v>
      </c>
      <c r="F147" s="350">
        <f t="shared" ref="F147:K147" si="14">F108</f>
        <v>4315</v>
      </c>
      <c r="G147" s="350">
        <f t="shared" si="14"/>
        <v>0</v>
      </c>
      <c r="H147" s="348">
        <f t="shared" si="14"/>
        <v>335770</v>
      </c>
      <c r="I147" s="348">
        <f t="shared" si="14"/>
        <v>134454</v>
      </c>
      <c r="J147" s="348">
        <f t="shared" si="14"/>
        <v>0</v>
      </c>
      <c r="K147" s="348">
        <f t="shared" si="14"/>
        <v>470224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14943857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12255560</v>
      </c>
      <c r="I150" s="348">
        <f>I18</f>
        <v>0</v>
      </c>
      <c r="J150" s="348">
        <f>J18</f>
        <v>10480036</v>
      </c>
      <c r="K150" s="348">
        <f>K18</f>
        <v>1775524</v>
      </c>
    </row>
    <row r="151" spans="1:11">
      <c r="B151" s="43"/>
      <c r="F151" s="475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185787.8</v>
      </c>
      <c r="G152" s="381">
        <f t="shared" si="16"/>
        <v>11677</v>
      </c>
      <c r="H152" s="457">
        <f t="shared" si="16"/>
        <v>41156942</v>
      </c>
      <c r="I152" s="457">
        <f t="shared" si="16"/>
        <v>11203381</v>
      </c>
      <c r="J152" s="457">
        <f t="shared" si="16"/>
        <v>29740309</v>
      </c>
      <c r="K152" s="457">
        <f t="shared" si="16"/>
        <v>37563871</v>
      </c>
    </row>
    <row r="154" spans="1:11">
      <c r="A154" s="48" t="s">
        <v>361</v>
      </c>
      <c r="B154" s="43" t="s">
        <v>252</v>
      </c>
      <c r="F154" s="458">
        <f>K152/F121</f>
        <v>8.3408759485486358E-2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8">
        <f>K152/F127</f>
        <v>88.274664304144906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5">
    <mergeCell ref="C11:G11"/>
    <mergeCell ref="D2:H2"/>
    <mergeCell ref="C5:G5"/>
    <mergeCell ref="C6:G6"/>
    <mergeCell ref="C7:G7"/>
    <mergeCell ref="C9:G9"/>
    <mergeCell ref="C10:G10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B53:D53"/>
    <mergeCell ref="B54:D54"/>
    <mergeCell ref="B55:D55"/>
    <mergeCell ref="B56:D56"/>
    <mergeCell ref="B57:D57"/>
    <mergeCell ref="B59:D59"/>
    <mergeCell ref="B62:D62"/>
    <mergeCell ref="B90:C90"/>
    <mergeCell ref="B94:D94"/>
    <mergeCell ref="B95:D95"/>
    <mergeCell ref="B133:D133"/>
    <mergeCell ref="B134:D134"/>
    <mergeCell ref="B135:D135"/>
    <mergeCell ref="B96:D96"/>
    <mergeCell ref="B103:C103"/>
    <mergeCell ref="B104:D104"/>
    <mergeCell ref="B105:D105"/>
    <mergeCell ref="B106:D10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"/>
  <sheetViews>
    <sheetView topLeftCell="C134" workbookViewId="0">
      <selection activeCell="B43" sqref="B43"/>
    </sheetView>
  </sheetViews>
  <sheetFormatPr defaultRowHeight="12.75"/>
  <cols>
    <col min="1" max="1" width="8.28515625" style="135" customWidth="1"/>
    <col min="2" max="2" width="55.42578125" style="49" bestFit="1" customWidth="1"/>
    <col min="3" max="3" width="9.5703125" style="49" customWidth="1"/>
    <col min="4" max="4" width="9.140625" style="49"/>
    <col min="5" max="5" width="12.42578125" style="49" customWidth="1"/>
    <col min="6" max="6" width="18.5703125" style="49" customWidth="1"/>
    <col min="7" max="7" width="23.5703125" style="49" customWidth="1"/>
    <col min="8" max="8" width="17.140625" style="49" customWidth="1"/>
    <col min="9" max="9" width="21.140625" style="49" customWidth="1"/>
    <col min="10" max="10" width="19.85546875" style="49" customWidth="1"/>
    <col min="11" max="11" width="17.5703125" style="49" customWidth="1"/>
    <col min="12" max="12" width="9.140625" style="49"/>
    <col min="13" max="13" width="12.7109375" style="49" bestFit="1" customWidth="1"/>
    <col min="14" max="16384" width="9.140625" style="49"/>
  </cols>
  <sheetData>
    <row r="1" spans="1:11" ht="18" customHeight="1">
      <c r="C1" s="346"/>
      <c r="D1" s="42"/>
      <c r="E1" s="346"/>
      <c r="F1" s="346"/>
      <c r="G1" s="346"/>
      <c r="H1" s="346"/>
      <c r="I1" s="346"/>
      <c r="J1" s="346"/>
      <c r="K1" s="346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26" t="s">
        <v>750</v>
      </c>
      <c r="D5" s="851"/>
      <c r="E5" s="851"/>
      <c r="F5" s="851"/>
      <c r="G5" s="852"/>
    </row>
    <row r="6" spans="1:11" ht="18" customHeight="1">
      <c r="B6" s="45" t="s">
        <v>136</v>
      </c>
      <c r="C6" s="829" t="s">
        <v>751</v>
      </c>
      <c r="D6" s="854"/>
      <c r="E6" s="854"/>
      <c r="F6" s="854"/>
      <c r="G6" s="855"/>
    </row>
    <row r="7" spans="1:11" ht="18" customHeight="1">
      <c r="B7" s="45" t="s">
        <v>137</v>
      </c>
      <c r="C7" s="913" t="s">
        <v>752</v>
      </c>
      <c r="D7" s="857"/>
      <c r="E7" s="857"/>
      <c r="F7" s="857"/>
      <c r="G7" s="858"/>
    </row>
    <row r="9" spans="1:11" ht="18" customHeight="1">
      <c r="B9" s="45" t="s">
        <v>138</v>
      </c>
      <c r="C9" s="826" t="s">
        <v>753</v>
      </c>
      <c r="D9" s="851"/>
      <c r="E9" s="851"/>
      <c r="F9" s="851"/>
      <c r="G9" s="852"/>
    </row>
    <row r="10" spans="1:11" ht="18" customHeight="1">
      <c r="B10" s="45" t="s">
        <v>140</v>
      </c>
      <c r="C10" s="835" t="s">
        <v>754</v>
      </c>
      <c r="D10" s="860"/>
      <c r="E10" s="860"/>
      <c r="F10" s="860"/>
      <c r="G10" s="861"/>
    </row>
    <row r="11" spans="1:11" ht="18" customHeight="1">
      <c r="B11" s="45" t="s">
        <v>142</v>
      </c>
      <c r="C11" s="835" t="s">
        <v>755</v>
      </c>
      <c r="D11" s="860"/>
      <c r="E11" s="860"/>
      <c r="F11" s="860"/>
      <c r="G11" s="861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346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3" ht="18" customHeight="1">
      <c r="A17" s="48" t="s">
        <v>151</v>
      </c>
      <c r="B17" s="43" t="s">
        <v>152</v>
      </c>
    </row>
    <row r="18" spans="1:13" ht="18" customHeight="1">
      <c r="A18" s="45" t="s">
        <v>259</v>
      </c>
      <c r="B18" s="49" t="s">
        <v>153</v>
      </c>
      <c r="F18" s="57">
        <f>+[9]Sheet1!$J$115</f>
        <v>0</v>
      </c>
      <c r="G18" s="57">
        <f>+[9]Sheet1!$K$115</f>
        <v>0</v>
      </c>
      <c r="H18" s="347">
        <f>+[9]Sheet1!$L$115</f>
        <v>6807379.78317028</v>
      </c>
      <c r="I18" s="167">
        <v>0</v>
      </c>
      <c r="J18" s="347">
        <f>-[9]Sheet1!$N$115</f>
        <v>5821160.8619151805</v>
      </c>
      <c r="K18" s="348">
        <f>(H18+I18)-J18</f>
        <v>986218.92125509959</v>
      </c>
    </row>
    <row r="19" spans="1:13" ht="45" customHeight="1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3" ht="18" customHeight="1">
      <c r="A20" s="48" t="s">
        <v>260</v>
      </c>
      <c r="B20" s="43" t="s">
        <v>155</v>
      </c>
    </row>
    <row r="21" spans="1:13" ht="18" customHeight="1">
      <c r="A21" s="45" t="s">
        <v>164</v>
      </c>
      <c r="B21" s="49" t="s">
        <v>156</v>
      </c>
      <c r="F21" s="57">
        <f>+[9]Sheet1!$J$116</f>
        <v>18328.094999999998</v>
      </c>
      <c r="G21" s="57">
        <f>[9]Sheet1!$K$116</f>
        <v>22304</v>
      </c>
      <c r="H21" s="347">
        <f>[9]Sheet1!$L$116</f>
        <v>767000.90639999998</v>
      </c>
      <c r="I21" s="167">
        <f>+[9]Sheet1!$M$116</f>
        <v>355168.1521780272</v>
      </c>
      <c r="J21" s="347">
        <v>121101.092</v>
      </c>
      <c r="K21" s="348">
        <f t="shared" ref="K21:K34" si="0">(H21+I21)-J21</f>
        <v>1001067.9665780272</v>
      </c>
      <c r="L21" s="9">
        <f t="shared" ref="L21:L72" si="1">+H21+I21-J21</f>
        <v>1001067.9665780272</v>
      </c>
      <c r="M21" s="9">
        <f t="shared" ref="M21:M72" si="2">+K21-L21</f>
        <v>0</v>
      </c>
    </row>
    <row r="22" spans="1:13" ht="18" customHeight="1">
      <c r="A22" s="45" t="s">
        <v>261</v>
      </c>
      <c r="B22" s="49" t="s">
        <v>157</v>
      </c>
      <c r="F22" s="57">
        <f>+[9]Sheet1!$J$117</f>
        <v>953.16</v>
      </c>
      <c r="G22" s="57">
        <f>+[9]Sheet1!$K$117</f>
        <v>1003</v>
      </c>
      <c r="H22" s="347">
        <f>+[9]Sheet1!$L$117</f>
        <v>31304.242400000003</v>
      </c>
      <c r="I22" s="167">
        <f>+[9]Sheet1!$M$117</f>
        <v>17900.388143589651</v>
      </c>
      <c r="J22" s="347">
        <v>4716.0649999999996</v>
      </c>
      <c r="K22" s="348">
        <f t="shared" si="0"/>
        <v>44488.565543589648</v>
      </c>
      <c r="L22" s="9">
        <f t="shared" si="1"/>
        <v>44488.565543589648</v>
      </c>
      <c r="M22" s="9">
        <f t="shared" si="2"/>
        <v>0</v>
      </c>
    </row>
    <row r="23" spans="1:13" ht="18" customHeight="1">
      <c r="A23" s="45" t="s">
        <v>262</v>
      </c>
      <c r="B23" s="49" t="s">
        <v>158</v>
      </c>
      <c r="F23" s="57">
        <f>+[9]Sheet1!$J$118</f>
        <v>0</v>
      </c>
      <c r="G23" s="57">
        <f>+[9]Sheet1!$K$118</f>
        <v>0</v>
      </c>
      <c r="H23" s="347">
        <f>+[9]Sheet1!$L$118</f>
        <v>0</v>
      </c>
      <c r="I23" s="167">
        <f>+[9]Sheet1!$M$118</f>
        <v>0</v>
      </c>
      <c r="J23" s="347">
        <v>0</v>
      </c>
      <c r="K23" s="348">
        <f t="shared" si="0"/>
        <v>0</v>
      </c>
      <c r="L23" s="9">
        <f t="shared" si="1"/>
        <v>0</v>
      </c>
      <c r="M23" s="9">
        <f t="shared" si="2"/>
        <v>0</v>
      </c>
    </row>
    <row r="24" spans="1:13" ht="18" customHeight="1">
      <c r="A24" s="45" t="s">
        <v>263</v>
      </c>
      <c r="B24" s="49" t="s">
        <v>159</v>
      </c>
      <c r="F24" s="57">
        <f>+[9]Sheet1!$J$119</f>
        <v>285.5</v>
      </c>
      <c r="G24" s="57">
        <f>+[9]Sheet1!$K$119</f>
        <v>1380.5</v>
      </c>
      <c r="H24" s="347">
        <f>+[9]Sheet1!$L$119</f>
        <v>1242</v>
      </c>
      <c r="I24" s="167">
        <f>+[9]Sheet1!$M$119</f>
        <v>710.20029139367853</v>
      </c>
      <c r="J24" s="347">
        <v>0</v>
      </c>
      <c r="K24" s="348">
        <f t="shared" si="0"/>
        <v>1952.2002913936785</v>
      </c>
      <c r="L24" s="9">
        <f t="shared" si="1"/>
        <v>1952.2002913936785</v>
      </c>
      <c r="M24" s="9">
        <f t="shared" si="2"/>
        <v>0</v>
      </c>
    </row>
    <row r="25" spans="1:13" ht="18" customHeight="1">
      <c r="A25" s="45" t="s">
        <v>264</v>
      </c>
      <c r="B25" s="49" t="s">
        <v>160</v>
      </c>
      <c r="F25" s="57">
        <f>+[9]Sheet1!$J$120</f>
        <v>6384.5600000000013</v>
      </c>
      <c r="G25" s="57">
        <f>+[9]Sheet1!$K$120</f>
        <v>6441.3825840000009</v>
      </c>
      <c r="H25" s="347">
        <f>+[9]Sheet1!$L$120</f>
        <v>231636.37255</v>
      </c>
      <c r="I25" s="167">
        <f>+[9]Sheet1!$M$120</f>
        <v>132454.2828360585</v>
      </c>
      <c r="J25" s="347">
        <v>57449.277999999998</v>
      </c>
      <c r="K25" s="348">
        <f t="shared" si="0"/>
        <v>306641.37738605851</v>
      </c>
      <c r="L25" s="9">
        <f t="shared" si="1"/>
        <v>306641.37738605851</v>
      </c>
      <c r="M25" s="9">
        <f t="shared" si="2"/>
        <v>0</v>
      </c>
    </row>
    <row r="26" spans="1:13" ht="18" customHeight="1">
      <c r="A26" s="45" t="s">
        <v>265</v>
      </c>
      <c r="B26" s="49" t="s">
        <v>161</v>
      </c>
      <c r="F26" s="57">
        <f>+[9]Sheet1!$J$121</f>
        <v>0</v>
      </c>
      <c r="G26" s="57">
        <f>+[9]Sheet1!$K$121</f>
        <v>0</v>
      </c>
      <c r="H26" s="347">
        <f>+[9]Sheet1!$L$121</f>
        <v>0</v>
      </c>
      <c r="I26" s="167">
        <f>+[9]Sheet1!$M$121</f>
        <v>0</v>
      </c>
      <c r="J26" s="347">
        <v>0</v>
      </c>
      <c r="K26" s="348">
        <f t="shared" si="0"/>
        <v>0</v>
      </c>
      <c r="L26" s="9">
        <f t="shared" si="1"/>
        <v>0</v>
      </c>
      <c r="M26" s="9">
        <f t="shared" si="2"/>
        <v>0</v>
      </c>
    </row>
    <row r="27" spans="1:13" ht="18" customHeight="1">
      <c r="A27" s="45" t="s">
        <v>266</v>
      </c>
      <c r="B27" s="49" t="s">
        <v>162</v>
      </c>
      <c r="F27" s="57">
        <f>+[9]Sheet1!$J$122</f>
        <v>0</v>
      </c>
      <c r="G27" s="57">
        <f>+[9]Sheet1!$K$122</f>
        <v>0</v>
      </c>
      <c r="H27" s="347">
        <f>+[9]Sheet1!$L$122</f>
        <v>0</v>
      </c>
      <c r="I27" s="167">
        <f>+[9]Sheet1!$M$122</f>
        <v>0</v>
      </c>
      <c r="J27" s="347">
        <v>0</v>
      </c>
      <c r="K27" s="348">
        <f t="shared" si="0"/>
        <v>0</v>
      </c>
      <c r="L27" s="9">
        <f t="shared" si="1"/>
        <v>0</v>
      </c>
      <c r="M27" s="9">
        <f t="shared" si="2"/>
        <v>0</v>
      </c>
    </row>
    <row r="28" spans="1:13" ht="18" customHeight="1">
      <c r="A28" s="45" t="s">
        <v>267</v>
      </c>
      <c r="B28" s="49" t="s">
        <v>163</v>
      </c>
      <c r="F28" s="57">
        <f>+[9]Sheet1!$J$123</f>
        <v>0</v>
      </c>
      <c r="G28" s="57">
        <f>+[9]Sheet1!$K$123</f>
        <v>0</v>
      </c>
      <c r="H28" s="347">
        <f>+[9]Sheet1!$L$123</f>
        <v>0</v>
      </c>
      <c r="I28" s="167">
        <f>+[9]Sheet1!$M$123</f>
        <v>0</v>
      </c>
      <c r="J28" s="347">
        <v>0</v>
      </c>
      <c r="K28" s="348">
        <f t="shared" si="0"/>
        <v>0</v>
      </c>
      <c r="L28" s="9">
        <f t="shared" si="1"/>
        <v>0</v>
      </c>
      <c r="M28" s="9">
        <f t="shared" si="2"/>
        <v>0</v>
      </c>
    </row>
    <row r="29" spans="1:13" ht="18" customHeight="1">
      <c r="A29" s="45" t="s">
        <v>268</v>
      </c>
      <c r="B29" s="49" t="s">
        <v>165</v>
      </c>
      <c r="F29" s="57">
        <f>+[9]Sheet1!$J$124</f>
        <v>4811.125</v>
      </c>
      <c r="G29" s="57">
        <f>+[9]Sheet1!$K$124</f>
        <v>3743</v>
      </c>
      <c r="H29" s="347">
        <f>+[9]Sheet1!$L$124</f>
        <v>1794821.2887500001</v>
      </c>
      <c r="I29" s="167">
        <f>+[9]Sheet1!$M$124</f>
        <v>1026314.4945811817</v>
      </c>
      <c r="J29" s="347">
        <v>67468.259999999995</v>
      </c>
      <c r="K29" s="348">
        <f t="shared" si="0"/>
        <v>2753667.5233311821</v>
      </c>
      <c r="L29" s="9">
        <f t="shared" si="1"/>
        <v>2753667.5233311821</v>
      </c>
      <c r="M29" s="9">
        <f t="shared" si="2"/>
        <v>0</v>
      </c>
    </row>
    <row r="30" spans="1:13" ht="18" customHeight="1">
      <c r="A30" s="45" t="s">
        <v>269</v>
      </c>
      <c r="B30" s="49" t="s">
        <v>756</v>
      </c>
      <c r="F30" s="57">
        <f>+[9]Sheet1!$J$125</f>
        <v>1667.9200000000003</v>
      </c>
      <c r="G30" s="57">
        <f>+[9]Sheet1!$K$125</f>
        <v>3528.5468000000005</v>
      </c>
      <c r="H30" s="347">
        <f>+[9]Sheet1!$L$125</f>
        <v>24425.712649999998</v>
      </c>
      <c r="I30" s="167">
        <f>+[9]Sheet1!$M$125</f>
        <v>13967.10808496639</v>
      </c>
      <c r="J30" s="347">
        <v>3598.915</v>
      </c>
      <c r="K30" s="348">
        <f t="shared" si="0"/>
        <v>34793.905734966385</v>
      </c>
      <c r="L30" s="9">
        <f t="shared" si="1"/>
        <v>34793.905734966385</v>
      </c>
      <c r="M30" s="9">
        <f t="shared" si="2"/>
        <v>0</v>
      </c>
    </row>
    <row r="31" spans="1:13" ht="18" customHeight="1">
      <c r="A31" s="45" t="s">
        <v>270</v>
      </c>
      <c r="B31" s="814"/>
      <c r="C31" s="815"/>
      <c r="D31" s="816"/>
      <c r="F31" s="57"/>
      <c r="G31" s="57"/>
      <c r="H31" s="347"/>
      <c r="I31" s="167">
        <f t="shared" ref="I31:I34" si="3">H31*F$114</f>
        <v>0</v>
      </c>
      <c r="J31" s="347"/>
      <c r="K31" s="348">
        <f t="shared" si="0"/>
        <v>0</v>
      </c>
      <c r="L31" s="9">
        <f t="shared" si="1"/>
        <v>0</v>
      </c>
      <c r="M31" s="9">
        <f t="shared" si="2"/>
        <v>0</v>
      </c>
    </row>
    <row r="32" spans="1:13" ht="18" customHeight="1">
      <c r="A32" s="45" t="s">
        <v>271</v>
      </c>
      <c r="B32" s="160"/>
      <c r="C32" s="161"/>
      <c r="D32" s="162"/>
      <c r="F32" s="57"/>
      <c r="G32" s="57" t="s">
        <v>272</v>
      </c>
      <c r="H32" s="347"/>
      <c r="I32" s="167">
        <f t="shared" si="3"/>
        <v>0</v>
      </c>
      <c r="J32" s="347"/>
      <c r="K32" s="348">
        <f t="shared" si="0"/>
        <v>0</v>
      </c>
      <c r="L32" s="9">
        <f t="shared" si="1"/>
        <v>0</v>
      </c>
      <c r="M32" s="9">
        <f t="shared" si="2"/>
        <v>0</v>
      </c>
    </row>
    <row r="33" spans="1:13" ht="18" customHeight="1">
      <c r="A33" s="45" t="s">
        <v>273</v>
      </c>
      <c r="B33" s="160"/>
      <c r="C33" s="161"/>
      <c r="D33" s="162"/>
      <c r="F33" s="57"/>
      <c r="G33" s="57" t="s">
        <v>272</v>
      </c>
      <c r="H33" s="347"/>
      <c r="I33" s="167">
        <f t="shared" si="3"/>
        <v>0</v>
      </c>
      <c r="J33" s="347"/>
      <c r="K33" s="348">
        <f t="shared" si="0"/>
        <v>0</v>
      </c>
      <c r="L33" s="9">
        <f t="shared" si="1"/>
        <v>0</v>
      </c>
      <c r="M33" s="9">
        <f t="shared" si="2"/>
        <v>0</v>
      </c>
    </row>
    <row r="34" spans="1:13" ht="18" customHeight="1">
      <c r="A34" s="45" t="s">
        <v>274</v>
      </c>
      <c r="B34" s="814"/>
      <c r="C34" s="815"/>
      <c r="D34" s="816"/>
      <c r="F34" s="57"/>
      <c r="G34" s="57" t="s">
        <v>272</v>
      </c>
      <c r="H34" s="347"/>
      <c r="I34" s="167">
        <f t="shared" si="3"/>
        <v>0</v>
      </c>
      <c r="J34" s="347"/>
      <c r="K34" s="348">
        <f t="shared" si="0"/>
        <v>0</v>
      </c>
      <c r="L34" s="9">
        <f t="shared" si="1"/>
        <v>0</v>
      </c>
      <c r="M34" s="9">
        <f t="shared" si="2"/>
        <v>0</v>
      </c>
    </row>
    <row r="35" spans="1:13" ht="18" customHeight="1">
      <c r="K35" s="349"/>
      <c r="L35" s="9">
        <f t="shared" si="1"/>
        <v>0</v>
      </c>
      <c r="M35" s="9">
        <f t="shared" si="2"/>
        <v>0</v>
      </c>
    </row>
    <row r="36" spans="1:13" ht="18" customHeight="1">
      <c r="A36" s="48" t="s">
        <v>275</v>
      </c>
      <c r="B36" s="43" t="s">
        <v>166</v>
      </c>
      <c r="E36" s="43" t="s">
        <v>276</v>
      </c>
      <c r="F36" s="350">
        <f t="shared" ref="F36:K36" si="4">SUM(F21:F34)</f>
        <v>32430.36</v>
      </c>
      <c r="G36" s="350">
        <f t="shared" si="4"/>
        <v>38400.429384000003</v>
      </c>
      <c r="H36" s="350">
        <f t="shared" si="4"/>
        <v>2850430.52275</v>
      </c>
      <c r="I36" s="348">
        <f t="shared" si="4"/>
        <v>1546514.6261152171</v>
      </c>
      <c r="J36" s="348">
        <f t="shared" si="4"/>
        <v>254333.61000000002</v>
      </c>
      <c r="K36" s="348">
        <f t="shared" si="4"/>
        <v>4142611.5388652179</v>
      </c>
      <c r="L36" s="9">
        <f t="shared" si="1"/>
        <v>4142611.5388652175</v>
      </c>
      <c r="M36" s="9">
        <f t="shared" si="2"/>
        <v>0</v>
      </c>
    </row>
    <row r="37" spans="1:13" ht="18" customHeight="1" thickBot="1">
      <c r="B37" s="43"/>
      <c r="F37" s="351"/>
      <c r="G37" s="351"/>
      <c r="H37" s="352"/>
      <c r="I37" s="352"/>
      <c r="J37" s="352"/>
      <c r="K37" s="353"/>
      <c r="L37" s="9">
        <f t="shared" si="1"/>
        <v>0</v>
      </c>
      <c r="M37" s="9">
        <f t="shared" si="2"/>
        <v>0</v>
      </c>
    </row>
    <row r="38" spans="1:13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  <c r="L38" s="9" t="e">
        <f t="shared" si="1"/>
        <v>#VALUE!</v>
      </c>
      <c r="M38" s="9" t="e">
        <f t="shared" si="2"/>
        <v>#VALUE!</v>
      </c>
    </row>
    <row r="39" spans="1:13" ht="18.75" customHeight="1">
      <c r="A39" s="48" t="s">
        <v>167</v>
      </c>
      <c r="B39" s="43" t="s">
        <v>168</v>
      </c>
      <c r="L39" s="9">
        <f t="shared" si="1"/>
        <v>0</v>
      </c>
      <c r="M39" s="9">
        <f t="shared" si="2"/>
        <v>0</v>
      </c>
    </row>
    <row r="40" spans="1:13" ht="18" customHeight="1">
      <c r="A40" s="45" t="s">
        <v>277</v>
      </c>
      <c r="B40" s="49" t="s">
        <v>170</v>
      </c>
      <c r="F40" s="57">
        <f>+[9]Sheet1!$J$126</f>
        <v>0</v>
      </c>
      <c r="G40" s="57">
        <f>+[9]Sheet1!$K$126</f>
        <v>0</v>
      </c>
      <c r="H40" s="347">
        <f>+[9]Sheet1!$L$126</f>
        <v>135576.783</v>
      </c>
      <c r="I40" s="167">
        <f>+[9]Sheet1!$M$126</f>
        <v>0</v>
      </c>
      <c r="J40" s="347">
        <v>0</v>
      </c>
      <c r="K40" s="348">
        <f t="shared" ref="K40:K47" si="5">(H40+I40)-J40</f>
        <v>135576.783</v>
      </c>
      <c r="L40" s="9">
        <f t="shared" si="1"/>
        <v>135576.783</v>
      </c>
      <c r="M40" s="9">
        <f t="shared" si="2"/>
        <v>0</v>
      </c>
    </row>
    <row r="41" spans="1:13" ht="18" customHeight="1">
      <c r="A41" s="45" t="s">
        <v>278</v>
      </c>
      <c r="B41" s="818" t="s">
        <v>172</v>
      </c>
      <c r="C41" s="818"/>
      <c r="F41" s="57">
        <f>+[9]Sheet1!$J$127</f>
        <v>13787.95</v>
      </c>
      <c r="G41" s="57">
        <f>+[9]Sheet1!$K$127</f>
        <v>3446.9875000000002</v>
      </c>
      <c r="H41" s="347">
        <f>+[9]Sheet1!$L$127</f>
        <v>565768</v>
      </c>
      <c r="I41" s="167">
        <f>+[9]Sheet1!$M$127</f>
        <v>0</v>
      </c>
      <c r="J41" s="347">
        <v>0</v>
      </c>
      <c r="K41" s="348">
        <f t="shared" si="5"/>
        <v>565768</v>
      </c>
      <c r="L41" s="9">
        <f t="shared" si="1"/>
        <v>565768</v>
      </c>
      <c r="M41" s="9">
        <f t="shared" si="2"/>
        <v>0</v>
      </c>
    </row>
    <row r="42" spans="1:13" ht="18" customHeight="1">
      <c r="A42" s="45" t="s">
        <v>279</v>
      </c>
      <c r="B42" s="49" t="s">
        <v>174</v>
      </c>
      <c r="F42" s="57">
        <f>+[9]Sheet1!$J$128</f>
        <v>6973.25</v>
      </c>
      <c r="G42" s="57">
        <f>+[9]Sheet1!$K$128</f>
        <v>6406.0501571525747</v>
      </c>
      <c r="H42" s="347">
        <f>+[9]Sheet1!$L$128</f>
        <v>144592.03125000003</v>
      </c>
      <c r="I42" s="167">
        <f>+[9]Sheet1!$M$128</f>
        <v>0</v>
      </c>
      <c r="J42" s="347">
        <v>29549.719999999998</v>
      </c>
      <c r="K42" s="348">
        <f t="shared" si="5"/>
        <v>115042.31125000003</v>
      </c>
      <c r="L42" s="9">
        <f t="shared" si="1"/>
        <v>115042.31125000003</v>
      </c>
      <c r="M42" s="9">
        <f t="shared" si="2"/>
        <v>0</v>
      </c>
    </row>
    <row r="43" spans="1:13" ht="18" customHeight="1">
      <c r="A43" s="45" t="s">
        <v>280</v>
      </c>
      <c r="B43" s="49" t="s">
        <v>176</v>
      </c>
      <c r="F43" s="57">
        <f>+[9]Sheet1!$J$129</f>
        <v>3734.69</v>
      </c>
      <c r="G43" s="57">
        <f>+[9]Sheet1!$K$129</f>
        <v>358.19529398000003</v>
      </c>
      <c r="H43" s="347">
        <f>+[9]Sheet1!$L$129</f>
        <v>200113.3</v>
      </c>
      <c r="I43" s="167">
        <f>+[9]Sheet1!$M$129</f>
        <v>0</v>
      </c>
      <c r="J43" s="347">
        <v>35157.839999999997</v>
      </c>
      <c r="K43" s="348">
        <f t="shared" si="5"/>
        <v>164955.46</v>
      </c>
      <c r="L43" s="9">
        <f t="shared" si="1"/>
        <v>164955.46</v>
      </c>
      <c r="M43" s="9">
        <f t="shared" si="2"/>
        <v>0</v>
      </c>
    </row>
    <row r="44" spans="1:13" ht="18" customHeight="1">
      <c r="A44" s="45" t="s">
        <v>281</v>
      </c>
      <c r="B44" s="814"/>
      <c r="C44" s="815"/>
      <c r="D44" s="816"/>
      <c r="F44" s="57"/>
      <c r="G44" s="57"/>
      <c r="H44" s="57"/>
      <c r="I44" s="167">
        <v>0</v>
      </c>
      <c r="J44" s="57"/>
      <c r="K44" s="348">
        <f t="shared" si="5"/>
        <v>0</v>
      </c>
      <c r="L44" s="9">
        <f t="shared" si="1"/>
        <v>0</v>
      </c>
      <c r="M44" s="9">
        <f t="shared" si="2"/>
        <v>0</v>
      </c>
    </row>
    <row r="45" spans="1:13" ht="18" customHeight="1">
      <c r="A45" s="45" t="s">
        <v>283</v>
      </c>
      <c r="B45" s="814"/>
      <c r="C45" s="815"/>
      <c r="D45" s="816"/>
      <c r="F45" s="57"/>
      <c r="G45" s="57"/>
      <c r="H45" s="347"/>
      <c r="I45" s="167">
        <v>0</v>
      </c>
      <c r="J45" s="347"/>
      <c r="K45" s="348">
        <f t="shared" si="5"/>
        <v>0</v>
      </c>
      <c r="L45" s="9">
        <f t="shared" si="1"/>
        <v>0</v>
      </c>
      <c r="M45" s="9">
        <f t="shared" si="2"/>
        <v>0</v>
      </c>
    </row>
    <row r="46" spans="1:13" ht="18" customHeight="1">
      <c r="A46" s="45" t="s">
        <v>284</v>
      </c>
      <c r="B46" s="814"/>
      <c r="C46" s="815"/>
      <c r="D46" s="816"/>
      <c r="F46" s="57"/>
      <c r="G46" s="57"/>
      <c r="H46" s="347"/>
      <c r="I46" s="167">
        <v>0</v>
      </c>
      <c r="J46" s="347"/>
      <c r="K46" s="348">
        <f t="shared" si="5"/>
        <v>0</v>
      </c>
      <c r="L46" s="9">
        <f t="shared" si="1"/>
        <v>0</v>
      </c>
      <c r="M46" s="9">
        <f t="shared" si="2"/>
        <v>0</v>
      </c>
    </row>
    <row r="47" spans="1:13" ht="18" customHeight="1">
      <c r="A47" s="45" t="s">
        <v>285</v>
      </c>
      <c r="B47" s="814"/>
      <c r="C47" s="815"/>
      <c r="D47" s="816"/>
      <c r="F47" s="57"/>
      <c r="G47" s="57"/>
      <c r="H47" s="347"/>
      <c r="I47" s="167">
        <v>0</v>
      </c>
      <c r="J47" s="347"/>
      <c r="K47" s="348">
        <f t="shared" si="5"/>
        <v>0</v>
      </c>
      <c r="L47" s="9">
        <f t="shared" si="1"/>
        <v>0</v>
      </c>
      <c r="M47" s="9">
        <f t="shared" si="2"/>
        <v>0</v>
      </c>
    </row>
    <row r="48" spans="1:13" ht="15">
      <c r="L48" s="9">
        <f t="shared" si="1"/>
        <v>0</v>
      </c>
      <c r="M48" s="9">
        <f t="shared" si="2"/>
        <v>0</v>
      </c>
    </row>
    <row r="49" spans="1:13" ht="18" customHeight="1">
      <c r="A49" s="48" t="s">
        <v>286</v>
      </c>
      <c r="B49" s="43" t="s">
        <v>177</v>
      </c>
      <c r="E49" s="43" t="s">
        <v>276</v>
      </c>
      <c r="F49" s="355">
        <f t="shared" ref="F49:K49" si="6">SUM(F40:F47)</f>
        <v>24495.89</v>
      </c>
      <c r="G49" s="355">
        <f t="shared" si="6"/>
        <v>10211.232951132573</v>
      </c>
      <c r="H49" s="348">
        <f t="shared" si="6"/>
        <v>1046050.1142500001</v>
      </c>
      <c r="I49" s="348">
        <f t="shared" si="6"/>
        <v>0</v>
      </c>
      <c r="J49" s="348">
        <f t="shared" si="6"/>
        <v>64707.56</v>
      </c>
      <c r="K49" s="348">
        <f t="shared" si="6"/>
        <v>981342.55425000004</v>
      </c>
      <c r="L49" s="9">
        <f t="shared" si="1"/>
        <v>981342.55425000004</v>
      </c>
      <c r="M49" s="9">
        <f t="shared" si="2"/>
        <v>0</v>
      </c>
    </row>
    <row r="50" spans="1:13" ht="18" customHeight="1" thickBot="1">
      <c r="G50" s="356"/>
      <c r="H50" s="356"/>
      <c r="I50" s="356"/>
      <c r="J50" s="356"/>
      <c r="K50" s="356"/>
      <c r="L50" s="9">
        <f t="shared" si="1"/>
        <v>0</v>
      </c>
      <c r="M50" s="9">
        <f t="shared" si="2"/>
        <v>0</v>
      </c>
    </row>
    <row r="51" spans="1:13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  <c r="L51" s="9" t="e">
        <f t="shared" si="1"/>
        <v>#VALUE!</v>
      </c>
      <c r="M51" s="9" t="e">
        <f t="shared" si="2"/>
        <v>#VALUE!</v>
      </c>
    </row>
    <row r="52" spans="1:13" ht="18" customHeight="1">
      <c r="A52" s="48" t="s">
        <v>178</v>
      </c>
      <c r="B52" s="820" t="s">
        <v>179</v>
      </c>
      <c r="C52" s="866"/>
      <c r="L52" s="9">
        <f t="shared" si="1"/>
        <v>0</v>
      </c>
      <c r="M52" s="9">
        <f t="shared" si="2"/>
        <v>0</v>
      </c>
    </row>
    <row r="53" spans="1:13" ht="18" customHeight="1">
      <c r="A53" s="45" t="s">
        <v>287</v>
      </c>
      <c r="B53" s="49" t="s">
        <v>757</v>
      </c>
      <c r="F53" s="57">
        <f>+[9]Sheet1!$J$130</f>
        <v>0</v>
      </c>
      <c r="G53" s="57">
        <f>+[9]Sheet1!$K$130</f>
        <v>0</v>
      </c>
      <c r="H53" s="347">
        <f>+[9]Sheet1!$L$130</f>
        <v>0</v>
      </c>
      <c r="I53" s="167">
        <f>+[9]Sheet1!$M$130</f>
        <v>0</v>
      </c>
      <c r="J53" s="347">
        <f>+[9]Sheet1!$N$130</f>
        <v>0</v>
      </c>
      <c r="K53" s="348">
        <f t="shared" ref="K53:K62" si="7">(H53+I53)-J53</f>
        <v>0</v>
      </c>
      <c r="L53" s="9">
        <f t="shared" si="1"/>
        <v>0</v>
      </c>
      <c r="M53" s="9">
        <f t="shared" si="2"/>
        <v>0</v>
      </c>
    </row>
    <row r="54" spans="1:13" ht="18" customHeight="1">
      <c r="A54" s="45" t="s">
        <v>289</v>
      </c>
      <c r="B54" s="49" t="s">
        <v>758</v>
      </c>
      <c r="F54" s="57">
        <f>+[9]Sheet1!$J$131</f>
        <v>68219.286666666667</v>
      </c>
      <c r="G54" s="57">
        <f>+[9]Sheet1!$K$131</f>
        <v>64.5</v>
      </c>
      <c r="H54" s="347">
        <f>+[9]Sheet1!$L$131</f>
        <v>8303439.2599999998</v>
      </c>
      <c r="I54" s="167">
        <f>+[9]Sheet1!$M$131</f>
        <v>0</v>
      </c>
      <c r="J54" s="347">
        <f>+[9]Sheet1!$N$131</f>
        <v>0</v>
      </c>
      <c r="K54" s="348">
        <f t="shared" si="7"/>
        <v>8303439.2599999998</v>
      </c>
      <c r="L54" s="9">
        <f t="shared" si="1"/>
        <v>8303439.2599999998</v>
      </c>
      <c r="M54" s="9">
        <f t="shared" si="2"/>
        <v>0</v>
      </c>
    </row>
    <row r="55" spans="1:13" ht="18" customHeight="1">
      <c r="A55" s="45" t="s">
        <v>291</v>
      </c>
      <c r="B55" s="49" t="s">
        <v>759</v>
      </c>
      <c r="F55" s="57">
        <f>+[9]Sheet1!$J$132</f>
        <v>0</v>
      </c>
      <c r="G55" s="57">
        <f>+[9]Sheet1!$K$132</f>
        <v>0</v>
      </c>
      <c r="H55" s="347">
        <f>+[9]Sheet1!$L$132</f>
        <v>1589291.4900000002</v>
      </c>
      <c r="I55" s="167">
        <f>+[9]Sheet1!$M$132</f>
        <v>0</v>
      </c>
      <c r="J55" s="347">
        <f>+[9]Sheet1!$N$132</f>
        <v>0</v>
      </c>
      <c r="K55" s="348">
        <f t="shared" si="7"/>
        <v>1589291.4900000002</v>
      </c>
      <c r="L55" s="9">
        <f t="shared" si="1"/>
        <v>1589291.4900000002</v>
      </c>
      <c r="M55" s="9">
        <f t="shared" si="2"/>
        <v>0</v>
      </c>
    </row>
    <row r="56" spans="1:13" ht="18" customHeight="1">
      <c r="A56" s="45" t="s">
        <v>293</v>
      </c>
      <c r="B56" s="49" t="s">
        <v>760</v>
      </c>
      <c r="F56" s="57">
        <f>+[9]Sheet1!$J$133</f>
        <v>0</v>
      </c>
      <c r="G56" s="57">
        <f>+[9]Sheet1!$K$133</f>
        <v>0</v>
      </c>
      <c r="H56" s="347">
        <f>+[9]Sheet1!$L$133</f>
        <v>0</v>
      </c>
      <c r="I56" s="167">
        <f>+[9]Sheet1!$M$133</f>
        <v>0</v>
      </c>
      <c r="J56" s="347">
        <f>+[9]Sheet1!$N$133</f>
        <v>0</v>
      </c>
      <c r="K56" s="348">
        <f t="shared" si="7"/>
        <v>0</v>
      </c>
      <c r="L56" s="9">
        <f t="shared" si="1"/>
        <v>0</v>
      </c>
      <c r="M56" s="9">
        <f t="shared" si="2"/>
        <v>0</v>
      </c>
    </row>
    <row r="57" spans="1:13" ht="18" customHeight="1">
      <c r="A57" s="45" t="s">
        <v>295</v>
      </c>
      <c r="B57" s="49" t="s">
        <v>761</v>
      </c>
      <c r="F57" s="57">
        <f>+[9]Sheet1!$J$134</f>
        <v>0</v>
      </c>
      <c r="G57" s="57">
        <f>+[9]Sheet1!$K$134</f>
        <v>0</v>
      </c>
      <c r="H57" s="347">
        <f>+[9]Sheet1!$L$134</f>
        <v>5137394.7560000019</v>
      </c>
      <c r="I57" s="167">
        <f>+[9]Sheet1!$M$134</f>
        <v>0</v>
      </c>
      <c r="J57" s="347">
        <f>+[9]Sheet1!$N$134</f>
        <v>0</v>
      </c>
      <c r="K57" s="348">
        <f t="shared" si="7"/>
        <v>5137394.7560000019</v>
      </c>
      <c r="L57" s="9">
        <f t="shared" si="1"/>
        <v>5137394.7560000019</v>
      </c>
      <c r="M57" s="9">
        <f t="shared" si="2"/>
        <v>0</v>
      </c>
    </row>
    <row r="58" spans="1:13" ht="18" customHeight="1">
      <c r="A58" s="45" t="s">
        <v>298</v>
      </c>
      <c r="B58" s="164"/>
      <c r="C58" s="262"/>
      <c r="D58" s="263"/>
      <c r="F58" s="57"/>
      <c r="G58" s="57"/>
      <c r="H58" s="347"/>
      <c r="I58" s="167">
        <v>0</v>
      </c>
      <c r="J58" s="347"/>
      <c r="K58" s="348">
        <f t="shared" si="7"/>
        <v>0</v>
      </c>
      <c r="L58" s="9">
        <f t="shared" si="1"/>
        <v>0</v>
      </c>
      <c r="M58" s="9">
        <f t="shared" si="2"/>
        <v>0</v>
      </c>
    </row>
    <row r="59" spans="1:13" ht="18" customHeight="1">
      <c r="A59" s="45" t="s">
        <v>300</v>
      </c>
      <c r="B59" s="817"/>
      <c r="C59" s="864"/>
      <c r="D59" s="865"/>
      <c r="F59" s="57"/>
      <c r="G59" s="57"/>
      <c r="H59" s="347"/>
      <c r="I59" s="167">
        <v>0</v>
      </c>
      <c r="J59" s="347"/>
      <c r="K59" s="348">
        <f t="shared" si="7"/>
        <v>0</v>
      </c>
      <c r="L59" s="9">
        <f t="shared" si="1"/>
        <v>0</v>
      </c>
      <c r="M59" s="9">
        <f t="shared" si="2"/>
        <v>0</v>
      </c>
    </row>
    <row r="60" spans="1:13" ht="18" customHeight="1">
      <c r="A60" s="45" t="s">
        <v>302</v>
      </c>
      <c r="B60" s="164"/>
      <c r="C60" s="262"/>
      <c r="D60" s="263"/>
      <c r="F60" s="57"/>
      <c r="G60" s="57"/>
      <c r="H60" s="347"/>
      <c r="I60" s="167">
        <v>0</v>
      </c>
      <c r="J60" s="347"/>
      <c r="K60" s="348">
        <f t="shared" si="7"/>
        <v>0</v>
      </c>
      <c r="L60" s="9">
        <f t="shared" si="1"/>
        <v>0</v>
      </c>
      <c r="M60" s="9">
        <f t="shared" si="2"/>
        <v>0</v>
      </c>
    </row>
    <row r="61" spans="1:13" ht="18" customHeight="1">
      <c r="A61" s="45" t="s">
        <v>303</v>
      </c>
      <c r="B61" s="164"/>
      <c r="C61" s="262"/>
      <c r="D61" s="263"/>
      <c r="F61" s="57"/>
      <c r="G61" s="57"/>
      <c r="H61" s="347"/>
      <c r="I61" s="167">
        <v>0</v>
      </c>
      <c r="J61" s="347"/>
      <c r="K61" s="348">
        <f t="shared" si="7"/>
        <v>0</v>
      </c>
      <c r="L61" s="9">
        <f t="shared" si="1"/>
        <v>0</v>
      </c>
      <c r="M61" s="9">
        <f t="shared" si="2"/>
        <v>0</v>
      </c>
    </row>
    <row r="62" spans="1:13" ht="18" customHeight="1">
      <c r="A62" s="45" t="s">
        <v>304</v>
      </c>
      <c r="B62" s="817"/>
      <c r="C62" s="864"/>
      <c r="D62" s="865"/>
      <c r="F62" s="57"/>
      <c r="G62" s="57"/>
      <c r="H62" s="347"/>
      <c r="I62" s="167">
        <v>0</v>
      </c>
      <c r="J62" s="347"/>
      <c r="K62" s="348">
        <f t="shared" si="7"/>
        <v>0</v>
      </c>
      <c r="L62" s="9">
        <f t="shared" si="1"/>
        <v>0</v>
      </c>
      <c r="M62" s="9">
        <f t="shared" si="2"/>
        <v>0</v>
      </c>
    </row>
    <row r="63" spans="1:13" ht="18" customHeight="1">
      <c r="A63" s="45"/>
      <c r="I63" s="357"/>
      <c r="L63" s="9">
        <f t="shared" si="1"/>
        <v>0</v>
      </c>
      <c r="M63" s="9">
        <f t="shared" si="2"/>
        <v>0</v>
      </c>
    </row>
    <row r="64" spans="1:13" ht="18" customHeight="1">
      <c r="A64" s="45" t="s">
        <v>305</v>
      </c>
      <c r="B64" s="43" t="s">
        <v>184</v>
      </c>
      <c r="E64" s="43" t="s">
        <v>276</v>
      </c>
      <c r="F64" s="350">
        <f t="shared" ref="F64:K64" si="8">SUM(F53:F62)</f>
        <v>68219.286666666667</v>
      </c>
      <c r="G64" s="350">
        <f t="shared" si="8"/>
        <v>64.5</v>
      </c>
      <c r="H64" s="348">
        <f t="shared" si="8"/>
        <v>15030125.506000001</v>
      </c>
      <c r="I64" s="348">
        <f t="shared" si="8"/>
        <v>0</v>
      </c>
      <c r="J64" s="348">
        <f t="shared" si="8"/>
        <v>0</v>
      </c>
      <c r="K64" s="348">
        <f t="shared" si="8"/>
        <v>15030125.506000001</v>
      </c>
      <c r="L64" s="9">
        <f t="shared" si="1"/>
        <v>15030125.506000001</v>
      </c>
      <c r="M64" s="9">
        <f t="shared" si="2"/>
        <v>0</v>
      </c>
    </row>
    <row r="65" spans="1:13" ht="18" customHeight="1">
      <c r="F65" s="358"/>
      <c r="G65" s="358"/>
      <c r="H65" s="358"/>
      <c r="I65" s="358"/>
      <c r="J65" s="358"/>
      <c r="K65" s="358"/>
      <c r="L65" s="9">
        <f t="shared" si="1"/>
        <v>0</v>
      </c>
      <c r="M65" s="9">
        <f t="shared" si="2"/>
        <v>0</v>
      </c>
    </row>
    <row r="66" spans="1:13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  <c r="L66" s="9" t="e">
        <f t="shared" si="1"/>
        <v>#VALUE!</v>
      </c>
      <c r="M66" s="9" t="e">
        <f t="shared" si="2"/>
        <v>#VALUE!</v>
      </c>
    </row>
    <row r="67" spans="1:13" ht="18" customHeight="1">
      <c r="A67" s="48" t="s">
        <v>185</v>
      </c>
      <c r="B67" s="43" t="s">
        <v>186</v>
      </c>
      <c r="F67" s="359"/>
      <c r="G67" s="359"/>
      <c r="H67" s="359"/>
      <c r="I67" s="360"/>
      <c r="J67" s="359"/>
      <c r="K67" s="361"/>
      <c r="L67" s="9">
        <f t="shared" si="1"/>
        <v>0</v>
      </c>
      <c r="M67" s="9">
        <f t="shared" si="2"/>
        <v>0</v>
      </c>
    </row>
    <row r="68" spans="1:13" ht="18" customHeight="1">
      <c r="A68" s="45" t="s">
        <v>306</v>
      </c>
      <c r="B68" s="49" t="s">
        <v>188</v>
      </c>
      <c r="F68" s="385">
        <f>+[9]Sheet1!$J$135</f>
        <v>8206.2899999999991</v>
      </c>
      <c r="G68" s="385">
        <f>+[9]Sheet1!$K$135</f>
        <v>1025.5</v>
      </c>
      <c r="H68" s="385">
        <f>+[9]Sheet1!$L$135</f>
        <v>501069.2209999999</v>
      </c>
      <c r="I68" s="167">
        <f>+[9]Sheet1!$M$135</f>
        <v>0</v>
      </c>
      <c r="J68" s="385">
        <v>334516.96999999997</v>
      </c>
      <c r="K68" s="348">
        <f t="shared" ref="K68:K72" si="9">(H68+I68)-J68</f>
        <v>166552.25099999993</v>
      </c>
      <c r="L68" s="9">
        <f t="shared" si="1"/>
        <v>166552.25099999993</v>
      </c>
      <c r="M68" s="9">
        <f t="shared" si="2"/>
        <v>0</v>
      </c>
    </row>
    <row r="69" spans="1:13" ht="18" customHeight="1">
      <c r="A69" s="45" t="s">
        <v>307</v>
      </c>
      <c r="B69" s="49" t="s">
        <v>190</v>
      </c>
      <c r="F69" s="385">
        <f>+[9]Sheet1!$J$136</f>
        <v>2</v>
      </c>
      <c r="G69" s="385">
        <f>+[9]Sheet1!$K$136</f>
        <v>3</v>
      </c>
      <c r="H69" s="385">
        <f>+[9]Sheet1!$L$136</f>
        <v>71084.36</v>
      </c>
      <c r="I69" s="167">
        <f>+[9]Sheet1!$M$136</f>
        <v>0</v>
      </c>
      <c r="J69" s="385">
        <f>+[9]Sheet1!$N$136</f>
        <v>0</v>
      </c>
      <c r="K69" s="348">
        <f t="shared" si="9"/>
        <v>71084.36</v>
      </c>
      <c r="L69" s="9">
        <f t="shared" si="1"/>
        <v>71084.36</v>
      </c>
      <c r="M69" s="9">
        <f t="shared" si="2"/>
        <v>0</v>
      </c>
    </row>
    <row r="70" spans="1:13" ht="18" customHeight="1">
      <c r="A70" s="45" t="s">
        <v>308</v>
      </c>
      <c r="B70" s="164"/>
      <c r="C70" s="262"/>
      <c r="D70" s="263"/>
      <c r="E70" s="43"/>
      <c r="F70" s="364"/>
      <c r="G70" s="364"/>
      <c r="H70" s="363"/>
      <c r="I70" s="167">
        <v>0</v>
      </c>
      <c r="J70" s="363"/>
      <c r="K70" s="348">
        <f t="shared" si="9"/>
        <v>0</v>
      </c>
      <c r="L70" s="9">
        <f t="shared" si="1"/>
        <v>0</v>
      </c>
      <c r="M70" s="9">
        <f t="shared" si="2"/>
        <v>0</v>
      </c>
    </row>
    <row r="71" spans="1:13" ht="18" customHeight="1">
      <c r="A71" s="45" t="s">
        <v>309</v>
      </c>
      <c r="B71" s="164"/>
      <c r="C71" s="262"/>
      <c r="D71" s="263"/>
      <c r="E71" s="43"/>
      <c r="F71" s="364"/>
      <c r="G71" s="364"/>
      <c r="H71" s="363"/>
      <c r="I71" s="167">
        <v>0</v>
      </c>
      <c r="J71" s="363"/>
      <c r="K71" s="348">
        <f t="shared" si="9"/>
        <v>0</v>
      </c>
      <c r="L71" s="9">
        <f t="shared" si="1"/>
        <v>0</v>
      </c>
      <c r="M71" s="9">
        <f t="shared" si="2"/>
        <v>0</v>
      </c>
    </row>
    <row r="72" spans="1:13" ht="18" customHeight="1">
      <c r="A72" s="45" t="s">
        <v>310</v>
      </c>
      <c r="B72" s="163"/>
      <c r="C72" s="264"/>
      <c r="D72" s="365"/>
      <c r="E72" s="43"/>
      <c r="F72" s="57"/>
      <c r="G72" s="57"/>
      <c r="H72" s="347"/>
      <c r="I72" s="167">
        <v>0</v>
      </c>
      <c r="J72" s="347"/>
      <c r="K72" s="348">
        <f t="shared" si="9"/>
        <v>0</v>
      </c>
      <c r="L72" s="9">
        <f t="shared" si="1"/>
        <v>0</v>
      </c>
      <c r="M72" s="9">
        <f t="shared" si="2"/>
        <v>0</v>
      </c>
    </row>
    <row r="73" spans="1:13" ht="18" customHeight="1">
      <c r="A73" s="45"/>
      <c r="E73" s="43"/>
      <c r="F73" s="366"/>
      <c r="G73" s="366"/>
      <c r="H73" s="367"/>
      <c r="I73" s="360"/>
      <c r="J73" s="367"/>
      <c r="K73" s="361"/>
      <c r="L73"/>
      <c r="M73"/>
    </row>
    <row r="74" spans="1:13" ht="18" customHeight="1">
      <c r="A74" s="48" t="s">
        <v>311</v>
      </c>
      <c r="B74" s="43" t="s">
        <v>191</v>
      </c>
      <c r="E74" s="43" t="s">
        <v>276</v>
      </c>
      <c r="F74" s="368">
        <f t="shared" ref="F74:K74" si="10">SUM(F68:F72)</f>
        <v>8208.2899999999991</v>
      </c>
      <c r="G74" s="368">
        <f t="shared" si="10"/>
        <v>1028.5</v>
      </c>
      <c r="H74" s="368">
        <f t="shared" si="10"/>
        <v>572153.58099999989</v>
      </c>
      <c r="I74" s="370">
        <f t="shared" si="10"/>
        <v>0</v>
      </c>
      <c r="J74" s="368">
        <f t="shared" si="10"/>
        <v>334516.96999999997</v>
      </c>
      <c r="K74" s="354">
        <f t="shared" si="10"/>
        <v>237636.61099999992</v>
      </c>
      <c r="L74"/>
      <c r="M74"/>
    </row>
    <row r="75" spans="1:13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  <c r="L75"/>
      <c r="M75"/>
    </row>
    <row r="76" spans="1:13" ht="18" customHeight="1">
      <c r="A76" s="48" t="s">
        <v>192</v>
      </c>
      <c r="B76" s="43" t="s">
        <v>193</v>
      </c>
      <c r="L76" s="9">
        <f>+H76+I76-J76</f>
        <v>0</v>
      </c>
      <c r="M76" s="9">
        <f>+K76-L76</f>
        <v>0</v>
      </c>
    </row>
    <row r="77" spans="1:13" ht="18" customHeight="1">
      <c r="A77" s="45" t="s">
        <v>312</v>
      </c>
      <c r="B77" s="49" t="s">
        <v>195</v>
      </c>
      <c r="F77" s="57">
        <f>+[9]Sheet1!$J$137</f>
        <v>85</v>
      </c>
      <c r="G77" s="57">
        <f>+[9]Sheet1!$K$137</f>
        <v>115</v>
      </c>
      <c r="H77" s="347">
        <f>+[9]Sheet1!$L$137</f>
        <v>628821.51</v>
      </c>
      <c r="I77" s="167">
        <v>0</v>
      </c>
      <c r="J77" s="347"/>
      <c r="K77" s="348">
        <f t="shared" ref="K77:K80" si="11">(H77+I77)-J77</f>
        <v>628821.51</v>
      </c>
      <c r="L77" s="9">
        <f t="shared" ref="L77:L85" si="12">+H77+I77-J77</f>
        <v>628821.51</v>
      </c>
      <c r="M77" s="9">
        <f t="shared" ref="M77:M85" si="13">+K77-L77</f>
        <v>0</v>
      </c>
    </row>
    <row r="78" spans="1:13" ht="18" customHeight="1">
      <c r="A78" s="45" t="s">
        <v>313</v>
      </c>
      <c r="B78" s="49" t="s">
        <v>197</v>
      </c>
      <c r="F78" s="57">
        <f>+[9]Sheet1!$J$138</f>
        <v>0</v>
      </c>
      <c r="G78" s="57">
        <f>+[9]Sheet1!$K$138</f>
        <v>0</v>
      </c>
      <c r="H78" s="347">
        <f>+[9]Sheet1!$L$138</f>
        <v>0</v>
      </c>
      <c r="I78" s="167">
        <v>0</v>
      </c>
      <c r="J78" s="347"/>
      <c r="K78" s="348">
        <f t="shared" si="11"/>
        <v>0</v>
      </c>
      <c r="L78" s="9">
        <f t="shared" si="12"/>
        <v>0</v>
      </c>
      <c r="M78" s="9">
        <f t="shared" si="13"/>
        <v>0</v>
      </c>
    </row>
    <row r="79" spans="1:13" ht="18" customHeight="1">
      <c r="A79" s="45" t="s">
        <v>314</v>
      </c>
      <c r="B79" s="49" t="s">
        <v>199</v>
      </c>
      <c r="F79" s="57">
        <f>+[9]Sheet1!$J$139</f>
        <v>12.5</v>
      </c>
      <c r="G79" s="57">
        <f>+[9]Sheet1!$K$139</f>
        <v>16</v>
      </c>
      <c r="H79" s="347">
        <f>+[9]Sheet1!$L$139</f>
        <v>2659</v>
      </c>
      <c r="I79" s="167">
        <v>0</v>
      </c>
      <c r="J79" s="347"/>
      <c r="K79" s="348">
        <f t="shared" si="11"/>
        <v>2659</v>
      </c>
      <c r="L79" s="9">
        <f t="shared" si="12"/>
        <v>2659</v>
      </c>
      <c r="M79" s="9">
        <f t="shared" si="13"/>
        <v>0</v>
      </c>
    </row>
    <row r="80" spans="1:13" ht="18" customHeight="1">
      <c r="A80" s="45" t="s">
        <v>315</v>
      </c>
      <c r="B80" s="49" t="s">
        <v>316</v>
      </c>
      <c r="F80" s="57">
        <f>+[9]Sheet1!$J$140</f>
        <v>0</v>
      </c>
      <c r="G80" s="57">
        <f>+[9]Sheet1!$K$140</f>
        <v>0</v>
      </c>
      <c r="H80" s="347">
        <f>+[9]Sheet1!$L$140</f>
        <v>0</v>
      </c>
      <c r="I80" s="167">
        <v>0</v>
      </c>
      <c r="J80" s="347"/>
      <c r="K80" s="348">
        <f t="shared" si="11"/>
        <v>0</v>
      </c>
      <c r="L80" s="9">
        <f t="shared" si="12"/>
        <v>0</v>
      </c>
      <c r="M80" s="9">
        <f t="shared" si="13"/>
        <v>0</v>
      </c>
    </row>
    <row r="81" spans="1:13" ht="18" customHeight="1">
      <c r="A81" s="45"/>
      <c r="K81" s="371"/>
      <c r="L81" s="9">
        <f t="shared" si="12"/>
        <v>0</v>
      </c>
      <c r="M81" s="9">
        <f t="shared" si="13"/>
        <v>0</v>
      </c>
    </row>
    <row r="82" spans="1:13" ht="18" customHeight="1">
      <c r="A82" s="45" t="s">
        <v>317</v>
      </c>
      <c r="B82" s="43" t="s">
        <v>318</v>
      </c>
      <c r="E82" s="43" t="s">
        <v>276</v>
      </c>
      <c r="F82" s="368">
        <f t="shared" ref="F82:K82" si="14">SUM(F77:F80)</f>
        <v>97.5</v>
      </c>
      <c r="G82" s="368">
        <f t="shared" si="14"/>
        <v>131</v>
      </c>
      <c r="H82" s="354">
        <f t="shared" si="14"/>
        <v>631480.51</v>
      </c>
      <c r="I82" s="354">
        <f t="shared" si="14"/>
        <v>0</v>
      </c>
      <c r="J82" s="354">
        <f t="shared" si="14"/>
        <v>0</v>
      </c>
      <c r="K82" s="354">
        <f t="shared" si="14"/>
        <v>631480.51</v>
      </c>
      <c r="L82" s="9">
        <f t="shared" si="12"/>
        <v>631480.51</v>
      </c>
      <c r="M82" s="9">
        <f t="shared" si="13"/>
        <v>0</v>
      </c>
    </row>
    <row r="83" spans="1:13" ht="18" customHeight="1" thickBot="1">
      <c r="A83" s="45"/>
      <c r="F83" s="356"/>
      <c r="G83" s="356"/>
      <c r="H83" s="356"/>
      <c r="I83" s="356"/>
      <c r="J83" s="356"/>
      <c r="K83" s="356"/>
      <c r="L83" s="9">
        <f t="shared" si="12"/>
        <v>0</v>
      </c>
      <c r="M83" s="9">
        <f t="shared" si="13"/>
        <v>0</v>
      </c>
    </row>
    <row r="84" spans="1:13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  <c r="L84" s="9" t="e">
        <f t="shared" si="12"/>
        <v>#VALUE!</v>
      </c>
      <c r="M84" s="9" t="e">
        <f t="shared" si="13"/>
        <v>#VALUE!</v>
      </c>
    </row>
    <row r="85" spans="1:13" ht="18" customHeight="1">
      <c r="A85" s="48" t="s">
        <v>201</v>
      </c>
      <c r="B85" s="43" t="s">
        <v>202</v>
      </c>
      <c r="L85" s="9">
        <f t="shared" si="12"/>
        <v>0</v>
      </c>
      <c r="M85" s="9">
        <f t="shared" si="13"/>
        <v>0</v>
      </c>
    </row>
    <row r="86" spans="1:13" ht="18" customHeight="1">
      <c r="A86" s="45" t="s">
        <v>319</v>
      </c>
      <c r="B86" s="49" t="s">
        <v>204</v>
      </c>
      <c r="F86" s="57">
        <f>+[9]Sheet1!$J$141</f>
        <v>2</v>
      </c>
      <c r="G86" s="57">
        <f>+[9]Sheet1!$K$141</f>
        <v>6</v>
      </c>
      <c r="H86" s="347">
        <f>+[9]Sheet1!$L$141</f>
        <v>22.639609112063688</v>
      </c>
      <c r="I86" s="167">
        <f>+[9]Sheet1!$M$141</f>
        <v>12.945778573612408</v>
      </c>
      <c r="J86" s="347"/>
      <c r="K86" s="348">
        <f t="shared" ref="K86:K96" si="15">(H86+I86)-J86</f>
        <v>35.585387685676096</v>
      </c>
      <c r="L86" s="9">
        <f t="shared" ref="L86:L149" si="16">+H86+I86-J86</f>
        <v>35.585387685676096</v>
      </c>
      <c r="M86" s="9">
        <f t="shared" ref="M86:M149" si="17">+K86-L86</f>
        <v>0</v>
      </c>
    </row>
    <row r="87" spans="1:13" ht="18" customHeight="1">
      <c r="A87" s="45" t="s">
        <v>320</v>
      </c>
      <c r="B87" s="49" t="s">
        <v>206</v>
      </c>
      <c r="F87" s="57">
        <f>+[9]Sheet1!$J$142</f>
        <v>70</v>
      </c>
      <c r="G87" s="57">
        <f>+[9]Sheet1!$K$142</f>
        <v>215</v>
      </c>
      <c r="H87" s="347">
        <f>+[9]Sheet1!$L$142</f>
        <v>16075</v>
      </c>
      <c r="I87" s="167">
        <f>+[9]Sheet1!$M$142</f>
        <v>9192.0045766130279</v>
      </c>
      <c r="J87" s="347"/>
      <c r="K87" s="348">
        <f t="shared" si="15"/>
        <v>25267.004576613028</v>
      </c>
      <c r="L87" s="9">
        <f t="shared" si="16"/>
        <v>25267.004576613028</v>
      </c>
      <c r="M87" s="9">
        <f t="shared" si="17"/>
        <v>0</v>
      </c>
    </row>
    <row r="88" spans="1:13" ht="18" customHeight="1">
      <c r="A88" s="45" t="s">
        <v>321</v>
      </c>
      <c r="B88" s="49" t="s">
        <v>208</v>
      </c>
      <c r="F88" s="57">
        <f>+[9]Sheet1!$J$143</f>
        <v>101.375</v>
      </c>
      <c r="G88" s="57">
        <f>+[9]Sheet1!$K$143</f>
        <v>523.5</v>
      </c>
      <c r="H88" s="347">
        <f>+[9]Sheet1!$L$143</f>
        <v>13468.5</v>
      </c>
      <c r="I88" s="167">
        <f>+[9]Sheet1!$M$143</f>
        <v>7701.5560584828972</v>
      </c>
      <c r="J88" s="347"/>
      <c r="K88" s="348">
        <f t="shared" si="15"/>
        <v>21170.056058482896</v>
      </c>
      <c r="L88" s="9">
        <f t="shared" si="16"/>
        <v>21170.056058482896</v>
      </c>
      <c r="M88" s="9">
        <f t="shared" si="17"/>
        <v>0</v>
      </c>
    </row>
    <row r="89" spans="1:13" ht="18" customHeight="1">
      <c r="A89" s="45" t="s">
        <v>322</v>
      </c>
      <c r="B89" s="49" t="s">
        <v>210</v>
      </c>
      <c r="F89" s="57">
        <f>+[9]Sheet1!$J$144</f>
        <v>3.5</v>
      </c>
      <c r="G89" s="57">
        <f>+[9]Sheet1!$K$144</f>
        <v>16.5</v>
      </c>
      <c r="H89" s="347">
        <f>+[9]Sheet1!$L$144</f>
        <v>846.5</v>
      </c>
      <c r="I89" s="167">
        <f>+[9]Sheet1!$M$144</f>
        <v>484.04552871557877</v>
      </c>
      <c r="J89" s="347"/>
      <c r="K89" s="348">
        <f t="shared" si="15"/>
        <v>1330.5455287155787</v>
      </c>
      <c r="L89" s="9">
        <f t="shared" si="16"/>
        <v>1330.5455287155787</v>
      </c>
      <c r="M89" s="9">
        <f t="shared" si="17"/>
        <v>0</v>
      </c>
    </row>
    <row r="90" spans="1:13" ht="18" customHeight="1">
      <c r="A90" s="45" t="s">
        <v>323</v>
      </c>
      <c r="B90" s="818" t="s">
        <v>212</v>
      </c>
      <c r="C90" s="818"/>
      <c r="F90" s="57">
        <f>+[9]Sheet1!$J$145</f>
        <v>41.875</v>
      </c>
      <c r="G90" s="57">
        <f>+[9]Sheet1!$K$145</f>
        <v>377</v>
      </c>
      <c r="H90" s="347">
        <f>+[9]Sheet1!$L$145</f>
        <v>872</v>
      </c>
      <c r="I90" s="167">
        <f>+[9]Sheet1!$M$145</f>
        <v>498.6269356644828</v>
      </c>
      <c r="J90" s="347"/>
      <c r="K90" s="348">
        <f t="shared" si="15"/>
        <v>1370.6269356644827</v>
      </c>
      <c r="L90" s="9">
        <f t="shared" si="16"/>
        <v>1370.6269356644827</v>
      </c>
      <c r="M90" s="9">
        <f t="shared" si="17"/>
        <v>0</v>
      </c>
    </row>
    <row r="91" spans="1:13" ht="18" customHeight="1">
      <c r="A91" s="45" t="s">
        <v>324</v>
      </c>
      <c r="B91" s="49" t="s">
        <v>214</v>
      </c>
      <c r="F91" s="57">
        <f>+[9]Sheet1!$J$146</f>
        <v>498.5</v>
      </c>
      <c r="G91" s="57">
        <f>+[9]Sheet1!$K$146</f>
        <v>3124</v>
      </c>
      <c r="H91" s="347">
        <f>+[9]Sheet1!$L$146</f>
        <v>50101</v>
      </c>
      <c r="I91" s="167">
        <f>+[9]Sheet1!$M$146</f>
        <v>28648.747825374143</v>
      </c>
      <c r="J91" s="347"/>
      <c r="K91" s="348">
        <f t="shared" si="15"/>
        <v>78749.747825374143</v>
      </c>
      <c r="L91" s="9">
        <f t="shared" si="16"/>
        <v>78749.747825374143</v>
      </c>
      <c r="M91" s="9">
        <f t="shared" si="17"/>
        <v>0</v>
      </c>
    </row>
    <row r="92" spans="1:13" ht="18" customHeight="1">
      <c r="A92" s="45" t="s">
        <v>325</v>
      </c>
      <c r="B92" s="49" t="s">
        <v>216</v>
      </c>
      <c r="F92" s="372">
        <f>+[9]Sheet1!$J$147</f>
        <v>1540.2049999999999</v>
      </c>
      <c r="G92" s="372">
        <f>+[9]Sheet1!$K$147</f>
        <v>2789.0819999999999</v>
      </c>
      <c r="H92" s="373">
        <f>+[9]Sheet1!$L$147</f>
        <v>364323.97700000001</v>
      </c>
      <c r="I92" s="167">
        <f>+[9]Sheet1!$M$147</f>
        <v>172141.5888467214</v>
      </c>
      <c r="J92" s="373">
        <f>-[9]Sheet1!$N$147</f>
        <v>14500</v>
      </c>
      <c r="K92" s="348">
        <f t="shared" si="15"/>
        <v>521965.56584672141</v>
      </c>
      <c r="L92" s="9">
        <f t="shared" si="16"/>
        <v>521965.56584672141</v>
      </c>
      <c r="M92" s="9">
        <f t="shared" si="17"/>
        <v>0</v>
      </c>
    </row>
    <row r="93" spans="1:13" ht="18" customHeight="1">
      <c r="A93" s="45" t="s">
        <v>326</v>
      </c>
      <c r="B93" s="49" t="s">
        <v>218</v>
      </c>
      <c r="F93" s="57">
        <f>+[9]Sheet1!$J$148</f>
        <v>25.875</v>
      </c>
      <c r="G93" s="57">
        <f>+[9]Sheet1!$K$148</f>
        <v>88</v>
      </c>
      <c r="H93" s="347">
        <f>+[9]Sheet1!$L$148</f>
        <v>6073.5</v>
      </c>
      <c r="I93" s="167">
        <f>+[9]Sheet1!$M$148</f>
        <v>3472.9480433007298</v>
      </c>
      <c r="J93" s="347"/>
      <c r="K93" s="348">
        <f t="shared" si="15"/>
        <v>9546.4480433007302</v>
      </c>
      <c r="L93" s="9">
        <f t="shared" si="16"/>
        <v>9546.4480433007302</v>
      </c>
      <c r="M93" s="9">
        <f t="shared" si="17"/>
        <v>0</v>
      </c>
    </row>
    <row r="94" spans="1:13" ht="18" customHeight="1">
      <c r="A94" s="45" t="s">
        <v>327</v>
      </c>
      <c r="B94" s="49" t="s">
        <v>762</v>
      </c>
      <c r="F94" s="57">
        <f>+[9]Sheet1!$J$149</f>
        <v>1908.48</v>
      </c>
      <c r="G94" s="57">
        <f>+[9]Sheet1!$K$149</f>
        <v>362.6112</v>
      </c>
      <c r="H94" s="347">
        <f>+[9]Sheet1!$L$149</f>
        <v>105082.76835840003</v>
      </c>
      <c r="I94" s="167">
        <f>+[9]Sheet1!$M$149</f>
        <v>60088.416029460648</v>
      </c>
      <c r="J94" s="347"/>
      <c r="K94" s="348">
        <f t="shared" si="15"/>
        <v>165171.18438786067</v>
      </c>
      <c r="L94" s="9">
        <f t="shared" si="16"/>
        <v>165171.18438786067</v>
      </c>
      <c r="M94" s="9">
        <f t="shared" si="17"/>
        <v>0</v>
      </c>
    </row>
    <row r="95" spans="1:13" ht="18" customHeight="1">
      <c r="A95" s="45" t="s">
        <v>329</v>
      </c>
      <c r="B95" s="817"/>
      <c r="C95" s="864"/>
      <c r="D95" s="865"/>
      <c r="F95" s="57"/>
      <c r="G95" s="57"/>
      <c r="H95" s="347"/>
      <c r="I95" s="167">
        <f t="shared" ref="I95:I96" si="18">H95*F$114</f>
        <v>0</v>
      </c>
      <c r="J95" s="347"/>
      <c r="K95" s="348">
        <f t="shared" si="15"/>
        <v>0</v>
      </c>
      <c r="L95" s="9">
        <f t="shared" si="16"/>
        <v>0</v>
      </c>
      <c r="M95" s="9">
        <f t="shared" si="17"/>
        <v>0</v>
      </c>
    </row>
    <row r="96" spans="1:13" ht="18" customHeight="1">
      <c r="A96" s="45" t="s">
        <v>330</v>
      </c>
      <c r="B96" s="817"/>
      <c r="C96" s="864"/>
      <c r="D96" s="865"/>
      <c r="F96" s="57"/>
      <c r="G96" s="57"/>
      <c r="H96" s="347"/>
      <c r="I96" s="167">
        <f t="shared" si="18"/>
        <v>0</v>
      </c>
      <c r="J96" s="347"/>
      <c r="K96" s="348">
        <f t="shared" si="15"/>
        <v>0</v>
      </c>
      <c r="L96" s="9">
        <f t="shared" si="16"/>
        <v>0</v>
      </c>
      <c r="M96" s="9">
        <f t="shared" si="17"/>
        <v>0</v>
      </c>
    </row>
    <row r="97" spans="1:13" ht="18" customHeight="1">
      <c r="A97" s="45"/>
      <c r="L97" s="9">
        <f t="shared" si="16"/>
        <v>0</v>
      </c>
      <c r="M97" s="9">
        <f t="shared" si="17"/>
        <v>0</v>
      </c>
    </row>
    <row r="98" spans="1:13" ht="18" customHeight="1">
      <c r="A98" s="48" t="s">
        <v>331</v>
      </c>
      <c r="B98" s="43" t="s">
        <v>220</v>
      </c>
      <c r="E98" s="43" t="s">
        <v>276</v>
      </c>
      <c r="F98" s="350">
        <f t="shared" ref="F98:K98" si="19">SUM(F86:F96)</f>
        <v>4191.8099999999995</v>
      </c>
      <c r="G98" s="350">
        <f t="shared" si="19"/>
        <v>7501.6932000000006</v>
      </c>
      <c r="H98" s="350">
        <f>SUM(H86:H96)</f>
        <v>556865.8849675121</v>
      </c>
      <c r="I98" s="350">
        <f t="shared" si="19"/>
        <v>282240.8796229065</v>
      </c>
      <c r="J98" s="350">
        <f t="shared" si="19"/>
        <v>14500</v>
      </c>
      <c r="K98" s="350">
        <f t="shared" si="19"/>
        <v>824606.76459041866</v>
      </c>
      <c r="L98" s="9">
        <f t="shared" si="16"/>
        <v>824606.76459041866</v>
      </c>
      <c r="M98" s="9">
        <f t="shared" si="17"/>
        <v>0</v>
      </c>
    </row>
    <row r="99" spans="1:13" ht="18" customHeight="1" thickBot="1">
      <c r="B99" s="43"/>
      <c r="F99" s="356"/>
      <c r="G99" s="356"/>
      <c r="H99" s="356"/>
      <c r="I99" s="356"/>
      <c r="J99" s="356"/>
      <c r="K99" s="356"/>
      <c r="L99" s="9">
        <f t="shared" si="16"/>
        <v>0</v>
      </c>
      <c r="M99" s="9">
        <f t="shared" si="17"/>
        <v>0</v>
      </c>
    </row>
    <row r="100" spans="1:13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  <c r="L100" s="9" t="e">
        <f t="shared" si="16"/>
        <v>#VALUE!</v>
      </c>
      <c r="M100" s="9" t="e">
        <f t="shared" si="17"/>
        <v>#VALUE!</v>
      </c>
    </row>
    <row r="101" spans="1:13" ht="18" customHeight="1">
      <c r="A101" s="48" t="s">
        <v>221</v>
      </c>
      <c r="B101" s="43" t="s">
        <v>222</v>
      </c>
      <c r="L101" s="9">
        <f t="shared" si="16"/>
        <v>0</v>
      </c>
      <c r="M101" s="9">
        <f t="shared" si="17"/>
        <v>0</v>
      </c>
    </row>
    <row r="102" spans="1:13" ht="18" customHeight="1">
      <c r="A102" s="45" t="s">
        <v>332</v>
      </c>
      <c r="B102" s="49" t="s">
        <v>224</v>
      </c>
      <c r="F102" s="57">
        <f>+[9]Sheet1!$J$150</f>
        <v>1659</v>
      </c>
      <c r="G102" s="57">
        <f>+[9]Sheet1!$K$150</f>
        <v>27</v>
      </c>
      <c r="H102" s="347">
        <f>+[9]Sheet1!$L$150</f>
        <v>71192.558461538458</v>
      </c>
      <c r="I102" s="167">
        <f>+[9]Sheet1!$M$150</f>
        <v>40709.320261228742</v>
      </c>
      <c r="J102" s="347"/>
      <c r="K102" s="348">
        <f t="shared" ref="K102:K106" si="20">(H102+I102)-J102</f>
        <v>111901.8787227672</v>
      </c>
      <c r="L102" s="9">
        <f t="shared" si="16"/>
        <v>111901.8787227672</v>
      </c>
      <c r="M102" s="9">
        <f t="shared" si="17"/>
        <v>0</v>
      </c>
    </row>
    <row r="103" spans="1:13" ht="18" customHeight="1">
      <c r="A103" s="45" t="s">
        <v>333</v>
      </c>
      <c r="B103" s="818" t="s">
        <v>226</v>
      </c>
      <c r="C103" s="818"/>
      <c r="F103" s="57">
        <f>+[9]Sheet1!$J$151</f>
        <v>41.5</v>
      </c>
      <c r="G103" s="57">
        <f>+[9]Sheet1!$K$151</f>
        <v>92</v>
      </c>
      <c r="H103" s="347">
        <f>+[9]Sheet1!$L$151</f>
        <v>431.5</v>
      </c>
      <c r="I103" s="167">
        <f>+[9]Sheet1!$M$151</f>
        <v>246.7402783706701</v>
      </c>
      <c r="J103" s="347"/>
      <c r="K103" s="348">
        <f t="shared" si="20"/>
        <v>678.24027837067013</v>
      </c>
      <c r="L103" s="9">
        <f t="shared" si="16"/>
        <v>678.24027837067013</v>
      </c>
      <c r="M103" s="9">
        <f t="shared" si="17"/>
        <v>0</v>
      </c>
    </row>
    <row r="104" spans="1:13" ht="18" customHeight="1">
      <c r="A104" s="45" t="s">
        <v>334</v>
      </c>
      <c r="B104" s="159" t="s">
        <v>763</v>
      </c>
      <c r="C104" s="818"/>
      <c r="D104" s="818"/>
      <c r="F104" s="57"/>
      <c r="G104" s="57"/>
      <c r="H104" s="347">
        <f>+[9]Sheet1!$L$152</f>
        <v>25396.07</v>
      </c>
      <c r="I104" s="167">
        <f>+[9]Sheet1!$M$152</f>
        <v>14521.977708739336</v>
      </c>
      <c r="J104" s="347"/>
      <c r="K104" s="348">
        <f t="shared" si="20"/>
        <v>39918.047708739337</v>
      </c>
      <c r="L104" s="9">
        <f t="shared" si="16"/>
        <v>39918.047708739337</v>
      </c>
      <c r="M104" s="9">
        <f t="shared" si="17"/>
        <v>0</v>
      </c>
    </row>
    <row r="105" spans="1:13" ht="18" customHeight="1">
      <c r="A105" s="45" t="s">
        <v>336</v>
      </c>
      <c r="B105" s="159" t="s">
        <v>764</v>
      </c>
      <c r="C105" s="818"/>
      <c r="D105" s="818"/>
      <c r="F105" s="57"/>
      <c r="G105" s="57">
        <f>+[9]Sheet1!$K$153</f>
        <v>0</v>
      </c>
      <c r="H105" s="347"/>
      <c r="I105" s="167">
        <f>H105*F$114</f>
        <v>0</v>
      </c>
      <c r="J105" s="347"/>
      <c r="K105" s="348">
        <f t="shared" si="20"/>
        <v>0</v>
      </c>
      <c r="L105" s="9">
        <f t="shared" si="16"/>
        <v>0</v>
      </c>
      <c r="M105" s="9">
        <f t="shared" si="17"/>
        <v>0</v>
      </c>
    </row>
    <row r="106" spans="1:13" ht="18" customHeight="1">
      <c r="A106" s="45" t="s">
        <v>337</v>
      </c>
      <c r="B106" s="817"/>
      <c r="C106" s="864"/>
      <c r="D106" s="865"/>
      <c r="F106" s="57"/>
      <c r="G106" s="57"/>
      <c r="H106" s="347"/>
      <c r="I106" s="167">
        <f>H106*F$114</f>
        <v>0</v>
      </c>
      <c r="J106" s="347"/>
      <c r="K106" s="348">
        <f t="shared" si="20"/>
        <v>0</v>
      </c>
      <c r="L106" s="9">
        <f t="shared" si="16"/>
        <v>0</v>
      </c>
      <c r="M106" s="9">
        <f t="shared" si="17"/>
        <v>0</v>
      </c>
    </row>
    <row r="107" spans="1:13" ht="18" customHeight="1">
      <c r="B107" s="43"/>
      <c r="L107" s="9">
        <f t="shared" si="16"/>
        <v>0</v>
      </c>
      <c r="M107" s="9">
        <f t="shared" si="17"/>
        <v>0</v>
      </c>
    </row>
    <row r="108" spans="1:13" ht="18" customHeight="1">
      <c r="A108" s="48" t="s">
        <v>338</v>
      </c>
      <c r="B108" s="43" t="s">
        <v>229</v>
      </c>
      <c r="E108" s="43" t="s">
        <v>276</v>
      </c>
      <c r="F108" s="350">
        <f t="shared" ref="F108:K108" si="21">SUM(F102:F106)</f>
        <v>1700.5</v>
      </c>
      <c r="G108" s="350">
        <f t="shared" si="21"/>
        <v>119</v>
      </c>
      <c r="H108" s="348">
        <f t="shared" si="21"/>
        <v>97020.128461538465</v>
      </c>
      <c r="I108" s="348">
        <f t="shared" si="21"/>
        <v>55478.038248338751</v>
      </c>
      <c r="J108" s="348">
        <f t="shared" si="21"/>
        <v>0</v>
      </c>
      <c r="K108" s="348">
        <f t="shared" si="21"/>
        <v>152498.1667098772</v>
      </c>
      <c r="L108" s="9">
        <f t="shared" si="16"/>
        <v>152498.1667098772</v>
      </c>
      <c r="M108" s="9">
        <f t="shared" si="17"/>
        <v>0</v>
      </c>
    </row>
    <row r="109" spans="1:13" ht="18" customHeight="1" thickBot="1">
      <c r="A109" s="374"/>
      <c r="B109" s="92"/>
      <c r="C109" s="375"/>
      <c r="D109" s="375"/>
      <c r="E109" s="375"/>
      <c r="F109" s="356"/>
      <c r="G109" s="356"/>
      <c r="H109" s="356"/>
      <c r="I109" s="356"/>
      <c r="J109" s="356"/>
      <c r="K109" s="356"/>
      <c r="L109" s="9">
        <f t="shared" si="16"/>
        <v>0</v>
      </c>
      <c r="M109" s="9">
        <f t="shared" si="17"/>
        <v>0</v>
      </c>
    </row>
    <row r="110" spans="1:13" ht="18" customHeight="1">
      <c r="A110" s="48" t="s">
        <v>230</v>
      </c>
      <c r="B110" s="43" t="s">
        <v>231</v>
      </c>
      <c r="L110" s="9">
        <f t="shared" si="16"/>
        <v>0</v>
      </c>
      <c r="M110" s="9">
        <f t="shared" si="17"/>
        <v>0</v>
      </c>
    </row>
    <row r="111" spans="1:13" ht="18" customHeight="1">
      <c r="A111" s="48" t="s">
        <v>339</v>
      </c>
      <c r="B111" s="43" t="s">
        <v>232</v>
      </c>
      <c r="E111" s="43" t="s">
        <v>276</v>
      </c>
      <c r="F111" s="347">
        <f>+[9]Sheet1!$O$156</f>
        <v>10766756.805627588</v>
      </c>
      <c r="L111" s="9">
        <f t="shared" si="16"/>
        <v>0</v>
      </c>
      <c r="M111" s="9">
        <f t="shared" si="17"/>
        <v>0</v>
      </c>
    </row>
    <row r="112" spans="1:13" ht="18" customHeight="1">
      <c r="B112" s="43"/>
      <c r="E112" s="43"/>
      <c r="L112" s="9">
        <f t="shared" si="16"/>
        <v>0</v>
      </c>
      <c r="M112" s="9">
        <f t="shared" si="17"/>
        <v>0</v>
      </c>
    </row>
    <row r="113" spans="1:13" ht="15">
      <c r="A113" s="48"/>
      <c r="B113" s="43" t="s">
        <v>233</v>
      </c>
      <c r="L113" s="9">
        <f t="shared" si="16"/>
        <v>0</v>
      </c>
      <c r="M113" s="9">
        <f t="shared" si="17"/>
        <v>0</v>
      </c>
    </row>
    <row r="114" spans="1:13" ht="15">
      <c r="A114" s="45" t="s">
        <v>340</v>
      </c>
      <c r="B114" s="49" t="s">
        <v>341</v>
      </c>
      <c r="F114" s="376">
        <f>+[9]Sheet1!$H$163</f>
        <v>0.57181988034917752</v>
      </c>
      <c r="L114" s="9">
        <f t="shared" si="16"/>
        <v>0</v>
      </c>
      <c r="M114" s="9">
        <f t="shared" si="17"/>
        <v>0</v>
      </c>
    </row>
    <row r="115" spans="1:13" ht="15">
      <c r="A115" s="45"/>
      <c r="B115" s="43"/>
      <c r="L115" s="9">
        <f t="shared" si="16"/>
        <v>0</v>
      </c>
      <c r="M115" s="9">
        <f t="shared" si="17"/>
        <v>0</v>
      </c>
    </row>
    <row r="116" spans="1:13" ht="15">
      <c r="A116" s="45" t="s">
        <v>234</v>
      </c>
      <c r="B116" s="43" t="s">
        <v>235</v>
      </c>
      <c r="L116" s="9">
        <f t="shared" si="16"/>
        <v>0</v>
      </c>
      <c r="M116" s="9">
        <f t="shared" si="17"/>
        <v>0</v>
      </c>
    </row>
    <row r="117" spans="1:13" ht="15">
      <c r="A117" s="45" t="s">
        <v>342</v>
      </c>
      <c r="B117" s="49" t="s">
        <v>236</v>
      </c>
      <c r="F117" s="347">
        <f>+'[10]P&amp;L_102_RUN121613'!$K$47</f>
        <v>204582963.06600001</v>
      </c>
      <c r="L117" s="9">
        <f t="shared" si="16"/>
        <v>0</v>
      </c>
      <c r="M117" s="9">
        <f t="shared" si="17"/>
        <v>0</v>
      </c>
    </row>
    <row r="118" spans="1:13" ht="15">
      <c r="A118" s="45" t="s">
        <v>343</v>
      </c>
      <c r="B118" s="49" t="s">
        <v>237</v>
      </c>
      <c r="F118" s="347">
        <f>+'[10]P&amp;L_102_RUN121613'!$K$67</f>
        <v>4979097.6300000008</v>
      </c>
      <c r="L118" s="9">
        <f t="shared" si="16"/>
        <v>0</v>
      </c>
      <c r="M118" s="9">
        <f t="shared" si="17"/>
        <v>0</v>
      </c>
    </row>
    <row r="119" spans="1:13" ht="15">
      <c r="A119" s="45" t="s">
        <v>344</v>
      </c>
      <c r="B119" s="43" t="s">
        <v>238</v>
      </c>
      <c r="F119" s="354">
        <f>SUM(F117:F118)</f>
        <v>209562060.69600001</v>
      </c>
      <c r="L119" s="9">
        <f t="shared" si="16"/>
        <v>0</v>
      </c>
      <c r="M119" s="9">
        <f t="shared" si="17"/>
        <v>0</v>
      </c>
    </row>
    <row r="120" spans="1:13" ht="15">
      <c r="A120" s="45"/>
      <c r="B120" s="43"/>
      <c r="L120" s="9">
        <f t="shared" si="16"/>
        <v>0</v>
      </c>
      <c r="M120" s="9">
        <f t="shared" si="17"/>
        <v>0</v>
      </c>
    </row>
    <row r="121" spans="1:13" ht="15">
      <c r="A121" s="45" t="s">
        <v>345</v>
      </c>
      <c r="B121" s="43" t="s">
        <v>346</v>
      </c>
      <c r="F121" s="347">
        <f>+'[10]P&amp;L_102_RUN121613'!$K$326</f>
        <v>220596102.37799999</v>
      </c>
      <c r="L121" s="9">
        <f t="shared" si="16"/>
        <v>0</v>
      </c>
      <c r="M121" s="9">
        <f t="shared" si="17"/>
        <v>0</v>
      </c>
    </row>
    <row r="122" spans="1:13" ht="15">
      <c r="A122" s="45"/>
      <c r="L122" s="9">
        <f t="shared" si="16"/>
        <v>0</v>
      </c>
      <c r="M122" s="9">
        <f t="shared" si="17"/>
        <v>0</v>
      </c>
    </row>
    <row r="123" spans="1:13" ht="15">
      <c r="A123" s="45" t="s">
        <v>347</v>
      </c>
      <c r="B123" s="43" t="s">
        <v>348</v>
      </c>
      <c r="F123" s="347">
        <f>+F119-F121</f>
        <v>-11034041.681999981</v>
      </c>
      <c r="L123" s="9">
        <f t="shared" si="16"/>
        <v>0</v>
      </c>
      <c r="M123" s="9">
        <f t="shared" si="17"/>
        <v>0</v>
      </c>
    </row>
    <row r="124" spans="1:13" ht="15">
      <c r="A124" s="45"/>
      <c r="L124" s="9">
        <f t="shared" si="16"/>
        <v>0</v>
      </c>
      <c r="M124" s="9">
        <f t="shared" si="17"/>
        <v>0</v>
      </c>
    </row>
    <row r="125" spans="1:13" ht="15">
      <c r="A125" s="45" t="s">
        <v>349</v>
      </c>
      <c r="B125" s="43" t="s">
        <v>350</v>
      </c>
      <c r="F125" s="347">
        <f>+'[10]P&amp;L_102_RUN121613'!$K$344</f>
        <v>-997359.4</v>
      </c>
      <c r="L125" s="9">
        <f t="shared" si="16"/>
        <v>0</v>
      </c>
      <c r="M125" s="9">
        <f t="shared" si="17"/>
        <v>0</v>
      </c>
    </row>
    <row r="126" spans="1:13" ht="15">
      <c r="A126" s="45"/>
      <c r="L126" s="9">
        <f t="shared" si="16"/>
        <v>0</v>
      </c>
      <c r="M126" s="9">
        <f t="shared" si="17"/>
        <v>0</v>
      </c>
    </row>
    <row r="127" spans="1:13" ht="15">
      <c r="A127" s="45" t="s">
        <v>351</v>
      </c>
      <c r="B127" s="43" t="s">
        <v>352</v>
      </c>
      <c r="F127" s="347">
        <f>+F123+F125</f>
        <v>-12031401.081999982</v>
      </c>
      <c r="L127" s="9">
        <f t="shared" si="16"/>
        <v>0</v>
      </c>
      <c r="M127" s="9">
        <f t="shared" si="17"/>
        <v>0</v>
      </c>
    </row>
    <row r="128" spans="1:13" ht="15">
      <c r="A128" s="45"/>
      <c r="L128" s="9">
        <f t="shared" si="16"/>
        <v>0</v>
      </c>
      <c r="M128" s="9">
        <f t="shared" si="17"/>
        <v>0</v>
      </c>
    </row>
    <row r="129" spans="1:13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  <c r="L129" s="9" t="e">
        <f t="shared" si="16"/>
        <v>#VALUE!</v>
      </c>
      <c r="M129" s="9" t="e">
        <f t="shared" si="17"/>
        <v>#VALUE!</v>
      </c>
    </row>
    <row r="130" spans="1:13" ht="18" customHeight="1">
      <c r="A130" s="48" t="s">
        <v>239</v>
      </c>
      <c r="B130" s="43" t="s">
        <v>240</v>
      </c>
      <c r="L130" s="9">
        <f t="shared" si="16"/>
        <v>0</v>
      </c>
      <c r="M130" s="9">
        <f t="shared" si="17"/>
        <v>0</v>
      </c>
    </row>
    <row r="131" spans="1:13" ht="18" customHeight="1">
      <c r="A131" s="45" t="s">
        <v>353</v>
      </c>
      <c r="B131" s="49" t="s">
        <v>242</v>
      </c>
      <c r="F131" s="57"/>
      <c r="G131" s="57"/>
      <c r="H131" s="347"/>
      <c r="I131" s="167">
        <v>0</v>
      </c>
      <c r="J131" s="347"/>
      <c r="K131" s="348">
        <f>(H131+I131)-J131</f>
        <v>0</v>
      </c>
      <c r="L131" s="9">
        <f t="shared" si="16"/>
        <v>0</v>
      </c>
      <c r="M131" s="9">
        <f t="shared" si="17"/>
        <v>0</v>
      </c>
    </row>
    <row r="132" spans="1:13" ht="18" customHeight="1">
      <c r="A132" s="45" t="s">
        <v>354</v>
      </c>
      <c r="B132" s="49" t="s">
        <v>128</v>
      </c>
      <c r="F132" s="57"/>
      <c r="G132" s="57"/>
      <c r="H132" s="347"/>
      <c r="I132" s="167">
        <v>0</v>
      </c>
      <c r="J132" s="347"/>
      <c r="K132" s="348">
        <f>(H132+I132)-J132</f>
        <v>0</v>
      </c>
      <c r="L132" s="9">
        <f t="shared" si="16"/>
        <v>0</v>
      </c>
      <c r="M132" s="9">
        <f t="shared" si="17"/>
        <v>0</v>
      </c>
    </row>
    <row r="133" spans="1:13" ht="18" customHeight="1">
      <c r="A133" s="45" t="s">
        <v>355</v>
      </c>
      <c r="B133" s="814"/>
      <c r="C133" s="815"/>
      <c r="D133" s="816"/>
      <c r="F133" s="57"/>
      <c r="G133" s="57"/>
      <c r="H133" s="347"/>
      <c r="I133" s="167">
        <v>0</v>
      </c>
      <c r="J133" s="347"/>
      <c r="K133" s="348">
        <f>(H133+I133)-J133</f>
        <v>0</v>
      </c>
      <c r="L133" s="9">
        <f t="shared" si="16"/>
        <v>0</v>
      </c>
      <c r="M133" s="9">
        <f t="shared" si="17"/>
        <v>0</v>
      </c>
    </row>
    <row r="134" spans="1:13" ht="18" customHeight="1">
      <c r="A134" s="45" t="s">
        <v>356</v>
      </c>
      <c r="B134" s="814"/>
      <c r="C134" s="815"/>
      <c r="D134" s="816"/>
      <c r="F134" s="57"/>
      <c r="G134" s="57"/>
      <c r="H134" s="347"/>
      <c r="I134" s="167">
        <v>0</v>
      </c>
      <c r="J134" s="347"/>
      <c r="K134" s="348">
        <f>(H134+I134)-J134</f>
        <v>0</v>
      </c>
      <c r="L134" s="9">
        <f t="shared" si="16"/>
        <v>0</v>
      </c>
      <c r="M134" s="9">
        <f t="shared" si="17"/>
        <v>0</v>
      </c>
    </row>
    <row r="135" spans="1:13" ht="18" customHeight="1">
      <c r="A135" s="45" t="s">
        <v>357</v>
      </c>
      <c r="B135" s="814"/>
      <c r="C135" s="815"/>
      <c r="D135" s="816"/>
      <c r="F135" s="57"/>
      <c r="G135" s="57"/>
      <c r="H135" s="347"/>
      <c r="I135" s="167">
        <v>0</v>
      </c>
      <c r="J135" s="347"/>
      <c r="K135" s="348">
        <f>(H135+I135)-J135</f>
        <v>0</v>
      </c>
      <c r="L135" s="9">
        <f t="shared" si="16"/>
        <v>0</v>
      </c>
      <c r="M135" s="9">
        <f t="shared" si="17"/>
        <v>0</v>
      </c>
    </row>
    <row r="136" spans="1:13" ht="18" customHeight="1">
      <c r="A136" s="48"/>
      <c r="L136" s="9">
        <f t="shared" si="16"/>
        <v>0</v>
      </c>
      <c r="M136" s="9">
        <f t="shared" si="17"/>
        <v>0</v>
      </c>
    </row>
    <row r="137" spans="1:13" ht="18" customHeight="1">
      <c r="A137" s="48" t="s">
        <v>358</v>
      </c>
      <c r="B137" s="43" t="s">
        <v>359</v>
      </c>
      <c r="F137" s="350">
        <f t="shared" ref="F137:K137" si="22">SUM(F131:F135)</f>
        <v>0</v>
      </c>
      <c r="G137" s="350">
        <f t="shared" si="22"/>
        <v>0</v>
      </c>
      <c r="H137" s="348">
        <f t="shared" si="22"/>
        <v>0</v>
      </c>
      <c r="I137" s="348">
        <f t="shared" si="22"/>
        <v>0</v>
      </c>
      <c r="J137" s="348">
        <f t="shared" si="22"/>
        <v>0</v>
      </c>
      <c r="K137" s="348">
        <f t="shared" si="22"/>
        <v>0</v>
      </c>
      <c r="L137" s="9">
        <f t="shared" si="16"/>
        <v>0</v>
      </c>
      <c r="M137" s="9">
        <f t="shared" si="17"/>
        <v>0</v>
      </c>
    </row>
    <row r="138" spans="1:13" ht="18" customHeight="1">
      <c r="A138" s="49"/>
      <c r="L138" s="9">
        <f t="shared" si="16"/>
        <v>0</v>
      </c>
      <c r="M138" s="9">
        <f t="shared" si="17"/>
        <v>0</v>
      </c>
    </row>
    <row r="139" spans="1:13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  <c r="L139" s="9" t="e">
        <f t="shared" si="16"/>
        <v>#VALUE!</v>
      </c>
      <c r="M139" s="9" t="e">
        <f t="shared" si="17"/>
        <v>#VALUE!</v>
      </c>
    </row>
    <row r="140" spans="1:13" ht="18" customHeight="1">
      <c r="A140" s="48" t="s">
        <v>244</v>
      </c>
      <c r="B140" s="43" t="s">
        <v>245</v>
      </c>
      <c r="L140" s="9">
        <f t="shared" si="16"/>
        <v>0</v>
      </c>
      <c r="M140" s="9">
        <f t="shared" si="17"/>
        <v>0</v>
      </c>
    </row>
    <row r="141" spans="1:13" ht="18" customHeight="1">
      <c r="A141" s="45" t="s">
        <v>275</v>
      </c>
      <c r="B141" s="43" t="s">
        <v>246</v>
      </c>
      <c r="F141" s="377">
        <f t="shared" ref="F141:K141" si="23">F36</f>
        <v>32430.36</v>
      </c>
      <c r="G141" s="377">
        <f t="shared" si="23"/>
        <v>38400.429384000003</v>
      </c>
      <c r="H141" s="377">
        <f t="shared" si="23"/>
        <v>2850430.52275</v>
      </c>
      <c r="I141" s="377">
        <f t="shared" si="23"/>
        <v>1546514.6261152171</v>
      </c>
      <c r="J141" s="377">
        <f t="shared" si="23"/>
        <v>254333.61000000002</v>
      </c>
      <c r="K141" s="377">
        <f t="shared" si="23"/>
        <v>4142611.5388652179</v>
      </c>
      <c r="L141" s="9">
        <f t="shared" si="16"/>
        <v>4142611.5388652175</v>
      </c>
      <c r="M141" s="9">
        <f t="shared" si="17"/>
        <v>0</v>
      </c>
    </row>
    <row r="142" spans="1:13" ht="18" customHeight="1">
      <c r="A142" s="45" t="s">
        <v>286</v>
      </c>
      <c r="B142" s="43" t="s">
        <v>125</v>
      </c>
      <c r="F142" s="377">
        <f t="shared" ref="F142:K142" si="24">F49</f>
        <v>24495.89</v>
      </c>
      <c r="G142" s="377">
        <f t="shared" si="24"/>
        <v>10211.232951132573</v>
      </c>
      <c r="H142" s="377">
        <f t="shared" si="24"/>
        <v>1046050.1142500001</v>
      </c>
      <c r="I142" s="377">
        <f t="shared" si="24"/>
        <v>0</v>
      </c>
      <c r="J142" s="377">
        <f t="shared" si="24"/>
        <v>64707.56</v>
      </c>
      <c r="K142" s="377">
        <f t="shared" si="24"/>
        <v>981342.55425000004</v>
      </c>
      <c r="L142" s="9">
        <f t="shared" si="16"/>
        <v>981342.55425000004</v>
      </c>
      <c r="M142" s="9">
        <f t="shared" si="17"/>
        <v>0</v>
      </c>
    </row>
    <row r="143" spans="1:13" ht="18" customHeight="1">
      <c r="A143" s="45" t="s">
        <v>305</v>
      </c>
      <c r="B143" s="43" t="s">
        <v>247</v>
      </c>
      <c r="F143" s="377">
        <f t="shared" ref="F143:K143" si="25">F64</f>
        <v>68219.286666666667</v>
      </c>
      <c r="G143" s="377">
        <f t="shared" si="25"/>
        <v>64.5</v>
      </c>
      <c r="H143" s="377">
        <f t="shared" si="25"/>
        <v>15030125.506000001</v>
      </c>
      <c r="I143" s="377">
        <f t="shared" si="25"/>
        <v>0</v>
      </c>
      <c r="J143" s="377">
        <f t="shared" si="25"/>
        <v>0</v>
      </c>
      <c r="K143" s="377">
        <f t="shared" si="25"/>
        <v>15030125.506000001</v>
      </c>
      <c r="L143" s="9">
        <f t="shared" si="16"/>
        <v>15030125.506000001</v>
      </c>
      <c r="M143" s="9">
        <f t="shared" si="17"/>
        <v>0</v>
      </c>
    </row>
    <row r="144" spans="1:13" ht="18" customHeight="1">
      <c r="A144" s="45" t="s">
        <v>311</v>
      </c>
      <c r="B144" s="43" t="s">
        <v>127</v>
      </c>
      <c r="F144" s="377">
        <f t="shared" ref="F144:K144" si="26">F74</f>
        <v>8208.2899999999991</v>
      </c>
      <c r="G144" s="377">
        <f t="shared" si="26"/>
        <v>1028.5</v>
      </c>
      <c r="H144" s="377">
        <f t="shared" si="26"/>
        <v>572153.58099999989</v>
      </c>
      <c r="I144" s="377">
        <f t="shared" si="26"/>
        <v>0</v>
      </c>
      <c r="J144" s="377">
        <f t="shared" si="26"/>
        <v>334516.96999999997</v>
      </c>
      <c r="K144" s="377">
        <f t="shared" si="26"/>
        <v>237636.61099999992</v>
      </c>
      <c r="L144" s="9">
        <f t="shared" si="16"/>
        <v>237636.61099999992</v>
      </c>
      <c r="M144" s="9">
        <f t="shared" si="17"/>
        <v>0</v>
      </c>
    </row>
    <row r="145" spans="1:13" ht="18" customHeight="1">
      <c r="A145" s="45" t="s">
        <v>317</v>
      </c>
      <c r="B145" s="43" t="s">
        <v>248</v>
      </c>
      <c r="F145" s="377">
        <f t="shared" ref="F145:K145" si="27">F82</f>
        <v>97.5</v>
      </c>
      <c r="G145" s="377">
        <f t="shared" si="27"/>
        <v>131</v>
      </c>
      <c r="H145" s="377">
        <f t="shared" si="27"/>
        <v>631480.51</v>
      </c>
      <c r="I145" s="377">
        <f t="shared" si="27"/>
        <v>0</v>
      </c>
      <c r="J145" s="377">
        <f t="shared" si="27"/>
        <v>0</v>
      </c>
      <c r="K145" s="377">
        <f t="shared" si="27"/>
        <v>631480.51</v>
      </c>
      <c r="L145" s="9">
        <f t="shared" si="16"/>
        <v>631480.51</v>
      </c>
      <c r="M145" s="9">
        <f t="shared" si="17"/>
        <v>0</v>
      </c>
    </row>
    <row r="146" spans="1:13" ht="18" customHeight="1">
      <c r="A146" s="45" t="s">
        <v>331</v>
      </c>
      <c r="B146" s="43" t="s">
        <v>249</v>
      </c>
      <c r="F146" s="377">
        <f t="shared" ref="F146:K146" si="28">F98</f>
        <v>4191.8099999999995</v>
      </c>
      <c r="G146" s="377">
        <f t="shared" si="28"/>
        <v>7501.6932000000006</v>
      </c>
      <c r="H146" s="377">
        <f t="shared" si="28"/>
        <v>556865.8849675121</v>
      </c>
      <c r="I146" s="377">
        <f t="shared" si="28"/>
        <v>282240.8796229065</v>
      </c>
      <c r="J146" s="377">
        <f t="shared" si="28"/>
        <v>14500</v>
      </c>
      <c r="K146" s="377">
        <f t="shared" si="28"/>
        <v>824606.76459041866</v>
      </c>
      <c r="L146" s="9">
        <f t="shared" si="16"/>
        <v>824606.76459041866</v>
      </c>
      <c r="M146" s="9">
        <f t="shared" si="17"/>
        <v>0</v>
      </c>
    </row>
    <row r="147" spans="1:13" ht="18" customHeight="1">
      <c r="A147" s="45" t="s">
        <v>338</v>
      </c>
      <c r="B147" s="43" t="s">
        <v>129</v>
      </c>
      <c r="F147" s="350">
        <f t="shared" ref="F147:K147" si="29">F108</f>
        <v>1700.5</v>
      </c>
      <c r="G147" s="350">
        <f t="shared" si="29"/>
        <v>119</v>
      </c>
      <c r="H147" s="350">
        <f t="shared" si="29"/>
        <v>97020.128461538465</v>
      </c>
      <c r="I147" s="350">
        <f t="shared" si="29"/>
        <v>55478.038248338751</v>
      </c>
      <c r="J147" s="350">
        <f t="shared" si="29"/>
        <v>0</v>
      </c>
      <c r="K147" s="350">
        <f t="shared" si="29"/>
        <v>152498.1667098772</v>
      </c>
      <c r="L147" s="9">
        <f t="shared" si="16"/>
        <v>152498.1667098772</v>
      </c>
      <c r="M147" s="9">
        <f t="shared" si="17"/>
        <v>0</v>
      </c>
    </row>
    <row r="148" spans="1:13" ht="18" customHeight="1">
      <c r="A148" s="45" t="s">
        <v>339</v>
      </c>
      <c r="B148" s="43" t="s">
        <v>131</v>
      </c>
      <c r="F148" s="378" t="s">
        <v>122</v>
      </c>
      <c r="G148" s="378" t="s">
        <v>122</v>
      </c>
      <c r="H148" s="378" t="s">
        <v>122</v>
      </c>
      <c r="I148" s="379" t="s">
        <v>122</v>
      </c>
      <c r="J148" s="379" t="s">
        <v>122</v>
      </c>
      <c r="K148" s="380">
        <f>F111</f>
        <v>10766756.805627588</v>
      </c>
      <c r="L148" s="9" t="e">
        <f t="shared" si="16"/>
        <v>#VALUE!</v>
      </c>
      <c r="M148" s="9" t="e">
        <f t="shared" si="17"/>
        <v>#VALUE!</v>
      </c>
    </row>
    <row r="149" spans="1:13" ht="18" customHeight="1">
      <c r="A149" s="45" t="s">
        <v>358</v>
      </c>
      <c r="B149" s="43" t="s">
        <v>250</v>
      </c>
      <c r="F149" s="350">
        <f t="shared" ref="F149:K149" si="30">F137</f>
        <v>0</v>
      </c>
      <c r="G149" s="350">
        <f t="shared" si="30"/>
        <v>0</v>
      </c>
      <c r="H149" s="350">
        <f t="shared" si="30"/>
        <v>0</v>
      </c>
      <c r="I149" s="350">
        <f t="shared" si="30"/>
        <v>0</v>
      </c>
      <c r="J149" s="350">
        <f t="shared" si="30"/>
        <v>0</v>
      </c>
      <c r="K149" s="350">
        <f t="shared" si="30"/>
        <v>0</v>
      </c>
      <c r="L149" s="9">
        <f t="shared" si="16"/>
        <v>0</v>
      </c>
      <c r="M149" s="9">
        <f t="shared" si="17"/>
        <v>0</v>
      </c>
    </row>
    <row r="150" spans="1:13" ht="18" customHeight="1">
      <c r="A150" s="45" t="s">
        <v>259</v>
      </c>
      <c r="B150" s="43" t="s">
        <v>251</v>
      </c>
      <c r="F150" s="378" t="s">
        <v>122</v>
      </c>
      <c r="G150" s="378" t="s">
        <v>122</v>
      </c>
      <c r="H150" s="350">
        <f>H18</f>
        <v>6807379.78317028</v>
      </c>
      <c r="I150" s="350">
        <f>I18</f>
        <v>0</v>
      </c>
      <c r="J150" s="350">
        <f>J18</f>
        <v>5821160.8619151805</v>
      </c>
      <c r="K150" s="350">
        <f>K18</f>
        <v>986218.92125509959</v>
      </c>
      <c r="L150" s="9">
        <f t="shared" ref="L150:L159" si="31">+H150+I150-J150</f>
        <v>986218.92125509959</v>
      </c>
      <c r="M150" s="9">
        <f t="shared" ref="M150:M159" si="32">+K150-L150</f>
        <v>0</v>
      </c>
    </row>
    <row r="151" spans="1:13" ht="18" customHeight="1">
      <c r="B151" s="43"/>
      <c r="F151" s="358"/>
      <c r="G151" s="358"/>
      <c r="H151" s="358"/>
      <c r="I151" s="358"/>
      <c r="J151" s="358"/>
      <c r="K151" s="358"/>
      <c r="L151" s="9">
        <f t="shared" si="31"/>
        <v>0</v>
      </c>
      <c r="M151" s="9">
        <f t="shared" si="32"/>
        <v>0</v>
      </c>
    </row>
    <row r="152" spans="1:13" ht="18" customHeight="1">
      <c r="A152" s="48" t="s">
        <v>360</v>
      </c>
      <c r="B152" s="43" t="s">
        <v>245</v>
      </c>
      <c r="F152" s="381">
        <f t="shared" ref="F152:K152" si="33">SUM(F141:F150)</f>
        <v>139343.63666666666</v>
      </c>
      <c r="G152" s="381">
        <f t="shared" si="33"/>
        <v>57456.355535132578</v>
      </c>
      <c r="H152" s="381">
        <f t="shared" si="33"/>
        <v>27591506.030599333</v>
      </c>
      <c r="I152" s="381">
        <f t="shared" si="33"/>
        <v>1884233.5439864623</v>
      </c>
      <c r="J152" s="381">
        <f t="shared" si="33"/>
        <v>6489219.0019151801</v>
      </c>
      <c r="K152" s="381">
        <f t="shared" si="33"/>
        <v>33753277.378298208</v>
      </c>
      <c r="L152" s="9">
        <f t="shared" si="31"/>
        <v>22986520.572670616</v>
      </c>
      <c r="M152" s="9">
        <f t="shared" si="32"/>
        <v>10766756.805627592</v>
      </c>
    </row>
    <row r="153" spans="1:13" ht="15">
      <c r="L153" s="9">
        <f t="shared" si="31"/>
        <v>0</v>
      </c>
      <c r="M153" s="9">
        <f t="shared" si="32"/>
        <v>0</v>
      </c>
    </row>
    <row r="154" spans="1:13" ht="18" customHeight="1">
      <c r="A154" s="48" t="s">
        <v>361</v>
      </c>
      <c r="B154" s="43" t="s">
        <v>252</v>
      </c>
      <c r="F154" s="383">
        <f>K152/F121</f>
        <v>0.15300940050364378</v>
      </c>
      <c r="L154" s="9">
        <f t="shared" si="31"/>
        <v>0</v>
      </c>
      <c r="M154" s="9">
        <f t="shared" si="32"/>
        <v>0</v>
      </c>
    </row>
    <row r="155" spans="1:13" ht="18" customHeight="1">
      <c r="A155" s="48" t="s">
        <v>362</v>
      </c>
      <c r="B155" s="43" t="s">
        <v>253</v>
      </c>
      <c r="F155" s="383">
        <f>K152/F127</f>
        <v>-2.8054319815500155</v>
      </c>
      <c r="G155" s="43"/>
      <c r="L155" s="9">
        <f t="shared" si="31"/>
        <v>0</v>
      </c>
      <c r="M155" s="9">
        <f t="shared" si="32"/>
        <v>0</v>
      </c>
    </row>
    <row r="156" spans="1:13" ht="18" customHeight="1">
      <c r="G156" s="43"/>
      <c r="L156" s="9">
        <f t="shared" si="31"/>
        <v>0</v>
      </c>
      <c r="M156" s="9">
        <f t="shared" si="32"/>
        <v>0</v>
      </c>
    </row>
    <row r="157" spans="1:13" ht="15">
      <c r="L157" s="9">
        <f t="shared" si="31"/>
        <v>0</v>
      </c>
      <c r="M157" s="9">
        <f t="shared" si="32"/>
        <v>0</v>
      </c>
    </row>
    <row r="158" spans="1:13" ht="15">
      <c r="L158" s="9">
        <f t="shared" si="31"/>
        <v>0</v>
      </c>
      <c r="M158" s="9">
        <f t="shared" si="32"/>
        <v>0</v>
      </c>
    </row>
    <row r="159" spans="1:13" ht="15">
      <c r="L159" s="9">
        <f t="shared" si="31"/>
        <v>0</v>
      </c>
      <c r="M159" s="9">
        <f t="shared" si="32"/>
        <v>0</v>
      </c>
    </row>
  </sheetData>
  <mergeCells count="28">
    <mergeCell ref="B106:D106"/>
    <mergeCell ref="B133:D133"/>
    <mergeCell ref="B134:D134"/>
    <mergeCell ref="B135:D135"/>
    <mergeCell ref="B90:C90"/>
    <mergeCell ref="B95:D95"/>
    <mergeCell ref="B96:D96"/>
    <mergeCell ref="B103:C103"/>
    <mergeCell ref="C104:D104"/>
    <mergeCell ref="C105:D105"/>
    <mergeCell ref="B62:D62"/>
    <mergeCell ref="C11:G11"/>
    <mergeCell ref="B13:H13"/>
    <mergeCell ref="B31:D31"/>
    <mergeCell ref="B34:D34"/>
    <mergeCell ref="B41:C41"/>
    <mergeCell ref="B44:D44"/>
    <mergeCell ref="B45:D45"/>
    <mergeCell ref="B46:D46"/>
    <mergeCell ref="B47:D47"/>
    <mergeCell ref="B52:C52"/>
    <mergeCell ref="B59:D59"/>
    <mergeCell ref="C10:G10"/>
    <mergeCell ref="D2:H2"/>
    <mergeCell ref="C5:G5"/>
    <mergeCell ref="C6:G6"/>
    <mergeCell ref="C7:G7"/>
    <mergeCell ref="C9:G9"/>
  </mergeCells>
  <hyperlinks>
    <hyperlink ref="C11" r:id="rId1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C11" workbookViewId="0">
      <selection activeCell="B43" sqref="B43"/>
    </sheetView>
  </sheetViews>
  <sheetFormatPr defaultRowHeight="12.75"/>
  <cols>
    <col min="1" max="1" width="8.28515625" style="39" customWidth="1"/>
    <col min="2" max="2" width="55.42578125" style="40" bestFit="1" customWidth="1"/>
    <col min="3" max="3" width="9.5703125" style="40" customWidth="1"/>
    <col min="4" max="4" width="9.140625" style="40"/>
    <col min="5" max="5" width="12.42578125" style="40" customWidth="1"/>
    <col min="6" max="6" width="18.5703125" style="40" customWidth="1"/>
    <col min="7" max="7" width="23.5703125" style="40" customWidth="1"/>
    <col min="8" max="8" width="17.140625" style="40" customWidth="1"/>
    <col min="9" max="9" width="21.140625" style="40" customWidth="1"/>
    <col min="10" max="10" width="19.85546875" style="40" customWidth="1"/>
    <col min="11" max="11" width="17.5703125" style="40" customWidth="1"/>
    <col min="12" max="16384" width="9.14062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470</v>
      </c>
      <c r="D5" s="827"/>
      <c r="E5" s="827"/>
      <c r="F5" s="827"/>
      <c r="G5" s="828"/>
    </row>
    <row r="6" spans="1:11" ht="18" customHeight="1">
      <c r="B6" s="45" t="s">
        <v>136</v>
      </c>
      <c r="C6" s="886">
        <v>17</v>
      </c>
      <c r="D6" s="830"/>
      <c r="E6" s="830"/>
      <c r="F6" s="830"/>
      <c r="G6" s="831"/>
    </row>
    <row r="7" spans="1:11" ht="18" customHeight="1">
      <c r="B7" s="45" t="s">
        <v>137</v>
      </c>
      <c r="C7" s="832"/>
      <c r="D7" s="833"/>
      <c r="E7" s="833"/>
      <c r="F7" s="833"/>
      <c r="G7" s="834"/>
    </row>
    <row r="9" spans="1:11" ht="18" customHeight="1">
      <c r="B9" s="45" t="s">
        <v>138</v>
      </c>
      <c r="C9" s="843" t="s">
        <v>471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472</v>
      </c>
      <c r="D10" s="836"/>
      <c r="E10" s="836"/>
      <c r="F10" s="836"/>
      <c r="G10" s="837"/>
    </row>
    <row r="11" spans="1:11" ht="18" customHeight="1">
      <c r="B11" s="45" t="s">
        <v>142</v>
      </c>
      <c r="C11" s="849" t="s">
        <v>473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1170770</v>
      </c>
      <c r="I18" s="52">
        <v>0</v>
      </c>
      <c r="J18" s="51">
        <v>1001154</v>
      </c>
      <c r="K18" s="53">
        <f>(H18+I18)-J18</f>
        <v>169616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503.45</v>
      </c>
      <c r="G21" s="50">
        <v>5578</v>
      </c>
      <c r="H21" s="51">
        <v>31325</v>
      </c>
      <c r="I21" s="52">
        <f t="shared" ref="I21:I34" si="0">H21*F$114</f>
        <v>21301</v>
      </c>
      <c r="J21" s="51">
        <v>4063</v>
      </c>
      <c r="K21" s="53">
        <f t="shared" ref="K21:K34" si="1">(H21+I21)-J21</f>
        <v>48563</v>
      </c>
    </row>
    <row r="22" spans="1:11" ht="18" customHeight="1">
      <c r="A22" s="45" t="s">
        <v>261</v>
      </c>
      <c r="B22" s="40" t="s">
        <v>157</v>
      </c>
      <c r="F22" s="50">
        <v>28</v>
      </c>
      <c r="G22" s="50">
        <v>6</v>
      </c>
      <c r="H22" s="51">
        <v>510</v>
      </c>
      <c r="I22" s="52">
        <f t="shared" si="0"/>
        <v>346.8</v>
      </c>
      <c r="J22" s="51">
        <v>0</v>
      </c>
      <c r="K22" s="53">
        <f t="shared" si="1"/>
        <v>856.8</v>
      </c>
    </row>
    <row r="23" spans="1:11" ht="18" customHeight="1">
      <c r="A23" s="45" t="s">
        <v>262</v>
      </c>
      <c r="B23" s="40" t="s">
        <v>158</v>
      </c>
      <c r="F23" s="50">
        <v>892.5</v>
      </c>
      <c r="G23" s="50">
        <v>1785</v>
      </c>
      <c r="H23" s="51">
        <v>40605</v>
      </c>
      <c r="I23" s="52">
        <f t="shared" si="0"/>
        <v>27611.4</v>
      </c>
      <c r="J23" s="51">
        <v>9065</v>
      </c>
      <c r="K23" s="53">
        <f>(H23+I23)-J23</f>
        <v>59151.399999999994</v>
      </c>
    </row>
    <row r="24" spans="1:11" ht="18" customHeight="1">
      <c r="A24" s="45" t="s">
        <v>263</v>
      </c>
      <c r="B24" s="40" t="s">
        <v>159</v>
      </c>
      <c r="F24" s="50">
        <v>166</v>
      </c>
      <c r="G24" s="50">
        <v>506</v>
      </c>
      <c r="H24" s="51">
        <v>13885</v>
      </c>
      <c r="I24" s="52">
        <f t="shared" si="0"/>
        <v>9441.8000000000011</v>
      </c>
      <c r="J24" s="51">
        <v>11060</v>
      </c>
      <c r="K24" s="53">
        <f t="shared" si="1"/>
        <v>12266.800000000003</v>
      </c>
    </row>
    <row r="25" spans="1:11" ht="18" customHeight="1">
      <c r="A25" s="45" t="s">
        <v>264</v>
      </c>
      <c r="B25" s="40" t="s">
        <v>160</v>
      </c>
      <c r="F25" s="50">
        <v>460</v>
      </c>
      <c r="G25" s="50">
        <v>1753</v>
      </c>
      <c r="H25" s="51">
        <v>32478</v>
      </c>
      <c r="I25" s="52">
        <v>66396</v>
      </c>
      <c r="J25" s="51">
        <v>66396</v>
      </c>
      <c r="K25" s="53">
        <f t="shared" si="1"/>
        <v>32478</v>
      </c>
    </row>
    <row r="26" spans="1:11" ht="18" customHeight="1">
      <c r="A26" s="45" t="s">
        <v>265</v>
      </c>
      <c r="B26" s="40" t="s">
        <v>161</v>
      </c>
      <c r="F26" s="50">
        <v>200</v>
      </c>
      <c r="G26" s="50">
        <v>764</v>
      </c>
      <c r="H26" s="51">
        <v>17506</v>
      </c>
      <c r="I26" s="52">
        <f t="shared" si="0"/>
        <v>11904.080000000002</v>
      </c>
      <c r="J26" s="51">
        <v>19100</v>
      </c>
      <c r="K26" s="53">
        <f t="shared" si="1"/>
        <v>10310.080000000002</v>
      </c>
    </row>
    <row r="27" spans="1:11" ht="18" customHeight="1">
      <c r="A27" s="45" t="s">
        <v>266</v>
      </c>
      <c r="B27" s="40" t="s">
        <v>162</v>
      </c>
      <c r="F27" s="50"/>
      <c r="G27" s="50"/>
      <c r="H27" s="51"/>
      <c r="I27" s="52">
        <f t="shared" si="0"/>
        <v>0</v>
      </c>
      <c r="J27" s="51"/>
      <c r="K27" s="53">
        <f t="shared" si="1"/>
        <v>0</v>
      </c>
    </row>
    <row r="28" spans="1:11" ht="18" customHeight="1">
      <c r="A28" s="45" t="s">
        <v>267</v>
      </c>
      <c r="B28" s="40" t="s">
        <v>163</v>
      </c>
      <c r="F28" s="50"/>
      <c r="G28" s="50"/>
      <c r="H28" s="51"/>
      <c r="I28" s="52">
        <f t="shared" si="0"/>
        <v>0</v>
      </c>
      <c r="J28" s="51"/>
      <c r="K28" s="53">
        <f t="shared" si="1"/>
        <v>0</v>
      </c>
    </row>
    <row r="29" spans="1:11" ht="18" customHeight="1">
      <c r="A29" s="45" t="s">
        <v>268</v>
      </c>
      <c r="B29" s="40" t="s">
        <v>165</v>
      </c>
      <c r="F29" s="50">
        <v>74</v>
      </c>
      <c r="G29" s="50">
        <v>296</v>
      </c>
      <c r="H29" s="51">
        <v>4204</v>
      </c>
      <c r="I29" s="52">
        <f t="shared" si="0"/>
        <v>2858.7200000000003</v>
      </c>
      <c r="J29" s="51">
        <v>0</v>
      </c>
      <c r="K29" s="53">
        <f t="shared" si="1"/>
        <v>7062.72</v>
      </c>
    </row>
    <row r="30" spans="1:11" ht="18" customHeight="1">
      <c r="A30" s="45" t="s">
        <v>269</v>
      </c>
      <c r="B30" s="814" t="s">
        <v>474</v>
      </c>
      <c r="C30" s="815"/>
      <c r="D30" s="816"/>
      <c r="F30" s="50">
        <v>22.75</v>
      </c>
      <c r="G30" s="50">
        <v>90</v>
      </c>
      <c r="H30" s="51">
        <v>5547</v>
      </c>
      <c r="I30" s="52">
        <f t="shared" si="0"/>
        <v>3771.9600000000005</v>
      </c>
      <c r="J30" s="51">
        <v>3486</v>
      </c>
      <c r="K30" s="53">
        <f t="shared" si="1"/>
        <v>5832.9600000000009</v>
      </c>
    </row>
    <row r="31" spans="1:11" ht="18" customHeight="1">
      <c r="A31" s="45" t="s">
        <v>270</v>
      </c>
      <c r="B31" s="814"/>
      <c r="C31" s="815"/>
      <c r="D31" s="816"/>
      <c r="F31" s="50"/>
      <c r="G31" s="50"/>
      <c r="H31" s="51"/>
      <c r="I31" s="52">
        <f t="shared" si="0"/>
        <v>0</v>
      </c>
      <c r="J31" s="51"/>
      <c r="K31" s="53">
        <f t="shared" si="1"/>
        <v>0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0"/>
        <v>0</v>
      </c>
      <c r="J32" s="51"/>
      <c r="K32" s="53">
        <f t="shared" si="1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0"/>
        <v>0</v>
      </c>
      <c r="J33" s="51"/>
      <c r="K33" s="53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0"/>
        <v>0</v>
      </c>
      <c r="J34" s="51"/>
      <c r="K34" s="53">
        <f t="shared" si="1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2346.6999999999998</v>
      </c>
      <c r="G36" s="59">
        <f t="shared" si="2"/>
        <v>10778</v>
      </c>
      <c r="H36" s="59">
        <f t="shared" si="2"/>
        <v>146060</v>
      </c>
      <c r="I36" s="53">
        <f t="shared" si="2"/>
        <v>143631.76</v>
      </c>
      <c r="J36" s="53">
        <f t="shared" si="2"/>
        <v>113170</v>
      </c>
      <c r="K36" s="53">
        <f t="shared" si="2"/>
        <v>176521.76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/>
      <c r="G40" s="50"/>
      <c r="H40" s="51"/>
      <c r="I40" s="52">
        <v>0</v>
      </c>
      <c r="J40" s="51"/>
      <c r="K40" s="53">
        <f t="shared" ref="K40:K47" si="3">(H40+I40)-J40</f>
        <v>0</v>
      </c>
    </row>
    <row r="41" spans="1:11" ht="18" customHeight="1">
      <c r="A41" s="45" t="s">
        <v>278</v>
      </c>
      <c r="B41" s="818" t="s">
        <v>172</v>
      </c>
      <c r="C41" s="819"/>
      <c r="F41" s="50"/>
      <c r="G41" s="50"/>
      <c r="H41" s="51"/>
      <c r="I41" s="52">
        <v>0</v>
      </c>
      <c r="J41" s="51"/>
      <c r="K41" s="53">
        <f t="shared" si="3"/>
        <v>0</v>
      </c>
    </row>
    <row r="42" spans="1:11" ht="18" customHeight="1">
      <c r="A42" s="45" t="s">
        <v>279</v>
      </c>
      <c r="B42" s="49" t="s">
        <v>174</v>
      </c>
      <c r="F42" s="50">
        <v>640</v>
      </c>
      <c r="G42" s="50">
        <v>28</v>
      </c>
      <c r="H42" s="51">
        <v>54937</v>
      </c>
      <c r="I42" s="52">
        <v>0</v>
      </c>
      <c r="J42" s="51">
        <v>0</v>
      </c>
      <c r="K42" s="53">
        <f t="shared" si="3"/>
        <v>54937</v>
      </c>
    </row>
    <row r="43" spans="1:11" ht="18" customHeight="1">
      <c r="A43" s="45" t="s">
        <v>280</v>
      </c>
      <c r="B43" s="49" t="s">
        <v>176</v>
      </c>
      <c r="F43" s="50">
        <v>0</v>
      </c>
      <c r="G43" s="50">
        <v>4</v>
      </c>
      <c r="H43" s="51">
        <v>2000</v>
      </c>
      <c r="I43" s="52">
        <v>0</v>
      </c>
      <c r="J43" s="51">
        <v>0</v>
      </c>
      <c r="K43" s="53">
        <f t="shared" si="3"/>
        <v>2000</v>
      </c>
    </row>
    <row r="44" spans="1:11" ht="18" customHeight="1">
      <c r="A44" s="45" t="s">
        <v>281</v>
      </c>
      <c r="B44" s="814"/>
      <c r="C44" s="815"/>
      <c r="D44" s="816"/>
      <c r="F44" s="50"/>
      <c r="G44" s="50"/>
      <c r="H44" s="50"/>
      <c r="I44" s="52">
        <v>0</v>
      </c>
      <c r="J44" s="50"/>
      <c r="K44" s="63">
        <f t="shared" si="3"/>
        <v>0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v>0</v>
      </c>
      <c r="J45" s="51"/>
      <c r="K45" s="53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v>0</v>
      </c>
      <c r="J46" s="51"/>
      <c r="K46" s="53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640</v>
      </c>
      <c r="G49" s="64">
        <f t="shared" si="4"/>
        <v>32</v>
      </c>
      <c r="H49" s="53">
        <f t="shared" si="4"/>
        <v>56937</v>
      </c>
      <c r="I49" s="53">
        <f t="shared" si="4"/>
        <v>0</v>
      </c>
      <c r="J49" s="53">
        <f t="shared" si="4"/>
        <v>0</v>
      </c>
      <c r="K49" s="53">
        <f t="shared" si="4"/>
        <v>56937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46" t="s">
        <v>475</v>
      </c>
      <c r="C53" s="823"/>
      <c r="D53" s="813"/>
      <c r="F53" s="50">
        <v>0</v>
      </c>
      <c r="G53" s="50">
        <v>0</v>
      </c>
      <c r="H53" s="51">
        <v>25314</v>
      </c>
      <c r="I53" s="52">
        <v>0</v>
      </c>
      <c r="J53" s="51">
        <v>0</v>
      </c>
      <c r="K53" s="53">
        <f t="shared" ref="K53:K62" si="5">(H53+I53)-J53</f>
        <v>25314</v>
      </c>
    </row>
    <row r="54" spans="1:11" ht="18" customHeight="1">
      <c r="A54" s="45" t="s">
        <v>289</v>
      </c>
      <c r="B54" s="104"/>
      <c r="C54" s="105"/>
      <c r="D54" s="106"/>
      <c r="F54" s="50"/>
      <c r="G54" s="50"/>
      <c r="H54" s="51"/>
      <c r="I54" s="52">
        <v>0</v>
      </c>
      <c r="J54" s="51"/>
      <c r="K54" s="53">
        <f t="shared" si="5"/>
        <v>0</v>
      </c>
    </row>
    <row r="55" spans="1:11" ht="18" customHeight="1">
      <c r="A55" s="45" t="s">
        <v>291</v>
      </c>
      <c r="B55" s="811"/>
      <c r="C55" s="812"/>
      <c r="D55" s="813"/>
      <c r="F55" s="50"/>
      <c r="G55" s="50"/>
      <c r="H55" s="51"/>
      <c r="I55" s="52">
        <v>0</v>
      </c>
      <c r="J55" s="51"/>
      <c r="K55" s="53">
        <f t="shared" si="5"/>
        <v>0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v>0</v>
      </c>
      <c r="J56" s="51"/>
      <c r="K56" s="53">
        <f t="shared" si="5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v>0</v>
      </c>
      <c r="J57" s="51"/>
      <c r="K57" s="53">
        <f t="shared" si="5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v>0</v>
      </c>
      <c r="J58" s="51"/>
      <c r="K58" s="53">
        <f t="shared" si="5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v>0</v>
      </c>
      <c r="J59" s="51"/>
      <c r="K59" s="53">
        <f t="shared" si="5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v>0</v>
      </c>
      <c r="J60" s="51"/>
      <c r="K60" s="53">
        <f t="shared" si="5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v>0</v>
      </c>
      <c r="J61" s="51"/>
      <c r="K61" s="53">
        <f t="shared" si="5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5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6">SUM(F53:F62)</f>
        <v>0</v>
      </c>
      <c r="G64" s="59">
        <f t="shared" si="6"/>
        <v>0</v>
      </c>
      <c r="H64" s="53">
        <f t="shared" si="6"/>
        <v>25314</v>
      </c>
      <c r="I64" s="53">
        <f t="shared" si="6"/>
        <v>0</v>
      </c>
      <c r="J64" s="53">
        <f t="shared" si="6"/>
        <v>0</v>
      </c>
      <c r="K64" s="53">
        <f t="shared" si="6"/>
        <v>25314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/>
      <c r="G68" s="78"/>
      <c r="H68" s="78"/>
      <c r="I68" s="52">
        <v>0</v>
      </c>
      <c r="J68" s="78"/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7">SUM(F68:F72)</f>
        <v>0</v>
      </c>
      <c r="G74" s="86">
        <f t="shared" si="7"/>
        <v>0</v>
      </c>
      <c r="H74" s="86">
        <f t="shared" si="7"/>
        <v>0</v>
      </c>
      <c r="I74" s="87">
        <f t="shared" si="7"/>
        <v>0</v>
      </c>
      <c r="J74" s="86">
        <f t="shared" si="7"/>
        <v>0</v>
      </c>
      <c r="K74" s="63">
        <f t="shared" si="7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/>
      <c r="G77" s="50"/>
      <c r="H77" s="51"/>
      <c r="I77" s="52">
        <v>0</v>
      </c>
      <c r="J77" s="51"/>
      <c r="K77" s="53">
        <f>(H77+I77)-J77</f>
        <v>0</v>
      </c>
    </row>
    <row r="78" spans="1:11" ht="18" customHeight="1">
      <c r="A78" s="45" t="s">
        <v>313</v>
      </c>
      <c r="B78" s="49" t="s">
        <v>197</v>
      </c>
      <c r="F78" s="50"/>
      <c r="G78" s="50"/>
      <c r="H78" s="51"/>
      <c r="I78" s="52">
        <v>0</v>
      </c>
      <c r="J78" s="51"/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>
        <v>171.5</v>
      </c>
      <c r="G79" s="50">
        <v>203</v>
      </c>
      <c r="H79" s="51">
        <v>11199</v>
      </c>
      <c r="I79" s="52">
        <v>0</v>
      </c>
      <c r="J79" s="51">
        <v>790</v>
      </c>
      <c r="K79" s="53">
        <f>(H79+I79)-J79</f>
        <v>10409</v>
      </c>
    </row>
    <row r="80" spans="1:11" ht="18" customHeight="1">
      <c r="A80" s="45" t="s">
        <v>315</v>
      </c>
      <c r="B80" s="49" t="s">
        <v>316</v>
      </c>
      <c r="F80" s="50"/>
      <c r="G80" s="50"/>
      <c r="H80" s="51"/>
      <c r="I80" s="52">
        <v>0</v>
      </c>
      <c r="J80" s="51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8">SUM(F77:F80)</f>
        <v>171.5</v>
      </c>
      <c r="G82" s="86">
        <f t="shared" si="8"/>
        <v>203</v>
      </c>
      <c r="H82" s="63">
        <f t="shared" si="8"/>
        <v>11199</v>
      </c>
      <c r="I82" s="63">
        <f t="shared" si="8"/>
        <v>0</v>
      </c>
      <c r="J82" s="63">
        <f t="shared" si="8"/>
        <v>790</v>
      </c>
      <c r="K82" s="63">
        <f t="shared" si="8"/>
        <v>10409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/>
      <c r="G86" s="50"/>
      <c r="H86" s="51"/>
      <c r="I86" s="52">
        <f t="shared" ref="I86:I96" si="9">H86*F$114</f>
        <v>0</v>
      </c>
      <c r="J86" s="51"/>
      <c r="K86" s="53">
        <f t="shared" ref="K86:K96" si="10">(H86+I86)-J86</f>
        <v>0</v>
      </c>
    </row>
    <row r="87" spans="1:11" ht="18" customHeight="1">
      <c r="A87" s="45" t="s">
        <v>320</v>
      </c>
      <c r="B87" s="49" t="s">
        <v>206</v>
      </c>
      <c r="F87" s="50">
        <v>54.5</v>
      </c>
      <c r="G87" s="50">
        <v>9</v>
      </c>
      <c r="H87" s="51">
        <v>11165</v>
      </c>
      <c r="I87" s="52">
        <f t="shared" si="9"/>
        <v>7592.2000000000007</v>
      </c>
      <c r="J87" s="51">
        <v>0</v>
      </c>
      <c r="K87" s="53">
        <f t="shared" si="10"/>
        <v>18757.2</v>
      </c>
    </row>
    <row r="88" spans="1:11" ht="18" customHeight="1">
      <c r="A88" s="45" t="s">
        <v>321</v>
      </c>
      <c r="B88" s="49" t="s">
        <v>208</v>
      </c>
      <c r="F88" s="50"/>
      <c r="G88" s="50"/>
      <c r="H88" s="51"/>
      <c r="I88" s="52">
        <f t="shared" si="9"/>
        <v>0</v>
      </c>
      <c r="J88" s="51"/>
      <c r="K88" s="53">
        <f t="shared" si="10"/>
        <v>0</v>
      </c>
    </row>
    <row r="89" spans="1:11" ht="18" customHeight="1">
      <c r="A89" s="45" t="s">
        <v>322</v>
      </c>
      <c r="B89" s="49" t="s">
        <v>210</v>
      </c>
      <c r="F89" s="50"/>
      <c r="G89" s="50"/>
      <c r="H89" s="51"/>
      <c r="I89" s="52">
        <f t="shared" si="9"/>
        <v>0</v>
      </c>
      <c r="J89" s="51"/>
      <c r="K89" s="53">
        <f t="shared" si="10"/>
        <v>0</v>
      </c>
    </row>
    <row r="90" spans="1:11" ht="18" customHeight="1">
      <c r="A90" s="45" t="s">
        <v>323</v>
      </c>
      <c r="B90" s="818" t="s">
        <v>212</v>
      </c>
      <c r="C90" s="819"/>
      <c r="F90" s="50"/>
      <c r="G90" s="50"/>
      <c r="H90" s="51"/>
      <c r="I90" s="52">
        <f t="shared" si="9"/>
        <v>0</v>
      </c>
      <c r="J90" s="51"/>
      <c r="K90" s="53">
        <f t="shared" si="10"/>
        <v>0</v>
      </c>
    </row>
    <row r="91" spans="1:11" ht="18" customHeight="1">
      <c r="A91" s="45" t="s">
        <v>324</v>
      </c>
      <c r="B91" s="49" t="s">
        <v>214</v>
      </c>
      <c r="F91" s="50">
        <v>11.5</v>
      </c>
      <c r="G91" s="50">
        <v>6</v>
      </c>
      <c r="H91" s="51">
        <v>656</v>
      </c>
      <c r="I91" s="52">
        <f t="shared" si="9"/>
        <v>446.08000000000004</v>
      </c>
      <c r="J91" s="51">
        <v>0</v>
      </c>
      <c r="K91" s="53">
        <f t="shared" si="10"/>
        <v>1102.08</v>
      </c>
    </row>
    <row r="92" spans="1:11" ht="18" customHeight="1">
      <c r="A92" s="45" t="s">
        <v>325</v>
      </c>
      <c r="B92" s="49" t="s">
        <v>216</v>
      </c>
      <c r="F92" s="89">
        <v>3.5</v>
      </c>
      <c r="G92" s="89">
        <v>1</v>
      </c>
      <c r="H92" s="90">
        <v>562</v>
      </c>
      <c r="I92" s="52">
        <f t="shared" si="9"/>
        <v>382.16</v>
      </c>
      <c r="J92" s="90">
        <v>0</v>
      </c>
      <c r="K92" s="53">
        <f t="shared" si="10"/>
        <v>944.16000000000008</v>
      </c>
    </row>
    <row r="93" spans="1:11" ht="18" customHeight="1">
      <c r="A93" s="45" t="s">
        <v>326</v>
      </c>
      <c r="B93" s="49" t="s">
        <v>218</v>
      </c>
      <c r="F93" s="50">
        <v>31</v>
      </c>
      <c r="G93" s="50">
        <v>178</v>
      </c>
      <c r="H93" s="51">
        <v>108672</v>
      </c>
      <c r="I93" s="52">
        <f t="shared" si="9"/>
        <v>73896.960000000006</v>
      </c>
      <c r="J93" s="51">
        <v>0</v>
      </c>
      <c r="K93" s="53">
        <f t="shared" si="10"/>
        <v>182568.96000000002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si="9"/>
        <v>0</v>
      </c>
      <c r="J94" s="51"/>
      <c r="K94" s="53">
        <f t="shared" si="10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9"/>
        <v>0</v>
      </c>
      <c r="J95" s="51"/>
      <c r="K95" s="53">
        <f t="shared" si="10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9"/>
        <v>0</v>
      </c>
      <c r="J96" s="51"/>
      <c r="K96" s="53">
        <f t="shared" si="10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1">SUM(F86:F96)</f>
        <v>100.5</v>
      </c>
      <c r="G98" s="59">
        <f t="shared" si="11"/>
        <v>194</v>
      </c>
      <c r="H98" s="59">
        <f t="shared" si="11"/>
        <v>121055</v>
      </c>
      <c r="I98" s="59">
        <f t="shared" si="11"/>
        <v>82317.400000000009</v>
      </c>
      <c r="J98" s="59">
        <f t="shared" si="11"/>
        <v>0</v>
      </c>
      <c r="K98" s="59">
        <f t="shared" si="11"/>
        <v>203372.40000000002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135</v>
      </c>
      <c r="G102" s="50">
        <v>0</v>
      </c>
      <c r="H102" s="51">
        <v>444</v>
      </c>
      <c r="I102" s="52">
        <f>H102*F$114</f>
        <v>301.92</v>
      </c>
      <c r="J102" s="51">
        <v>0</v>
      </c>
      <c r="K102" s="53">
        <f>(H102+I102)-J102</f>
        <v>745.92000000000007</v>
      </c>
    </row>
    <row r="103" spans="1:11" ht="18" customHeight="1">
      <c r="A103" s="45" t="s">
        <v>333</v>
      </c>
      <c r="B103" s="818" t="s">
        <v>226</v>
      </c>
      <c r="C103" s="818"/>
      <c r="F103" s="50"/>
      <c r="G103" s="50"/>
      <c r="H103" s="51"/>
      <c r="I103" s="52">
        <f>H103*F$114</f>
        <v>0</v>
      </c>
      <c r="J103" s="51"/>
      <c r="K103" s="53">
        <f>(H103+I103)-J103</f>
        <v>0</v>
      </c>
    </row>
    <row r="104" spans="1:11" ht="18" customHeight="1">
      <c r="A104" s="45" t="s">
        <v>334</v>
      </c>
      <c r="B104" s="811"/>
      <c r="C104" s="812"/>
      <c r="D104" s="813"/>
      <c r="F104" s="50"/>
      <c r="G104" s="50"/>
      <c r="H104" s="51"/>
      <c r="I104" s="52">
        <f>H104*F$114</f>
        <v>0</v>
      </c>
      <c r="J104" s="51"/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2">SUM(F102:F106)</f>
        <v>135</v>
      </c>
      <c r="G108" s="59">
        <f t="shared" si="12"/>
        <v>0</v>
      </c>
      <c r="H108" s="53">
        <f t="shared" si="12"/>
        <v>444</v>
      </c>
      <c r="I108" s="53">
        <f t="shared" si="12"/>
        <v>301.92</v>
      </c>
      <c r="J108" s="53">
        <f t="shared" si="12"/>
        <v>0</v>
      </c>
      <c r="K108" s="53">
        <f t="shared" si="12"/>
        <v>745.92000000000007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f>2846447+2184</f>
        <v>2848631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0.68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37738849</v>
      </c>
    </row>
    <row r="118" spans="1:6">
      <c r="A118" s="45" t="s">
        <v>343</v>
      </c>
      <c r="B118" s="40" t="s">
        <v>237</v>
      </c>
      <c r="F118" s="51">
        <v>1160085</v>
      </c>
    </row>
    <row r="119" spans="1:6">
      <c r="A119" s="45" t="s">
        <v>344</v>
      </c>
      <c r="B119" s="43" t="s">
        <v>238</v>
      </c>
      <c r="F119" s="63">
        <f>SUM(F117:F118)</f>
        <v>38898934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37345320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v>1553614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f>483617+374918-108407</f>
        <v>750128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v>2303742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3">SUM(F131:F135)</f>
        <v>0</v>
      </c>
      <c r="G137" s="59">
        <f t="shared" si="13"/>
        <v>0</v>
      </c>
      <c r="H137" s="53">
        <f t="shared" si="13"/>
        <v>0</v>
      </c>
      <c r="I137" s="53">
        <f t="shared" si="13"/>
        <v>0</v>
      </c>
      <c r="J137" s="53">
        <f t="shared" si="13"/>
        <v>0</v>
      </c>
      <c r="K137" s="53">
        <f t="shared" si="13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4">F36</f>
        <v>2346.6999999999998</v>
      </c>
      <c r="G141" s="95">
        <f t="shared" si="14"/>
        <v>10778</v>
      </c>
      <c r="H141" s="95">
        <f t="shared" si="14"/>
        <v>146060</v>
      </c>
      <c r="I141" s="95">
        <f t="shared" si="14"/>
        <v>143631.76</v>
      </c>
      <c r="J141" s="95">
        <f t="shared" si="14"/>
        <v>113170</v>
      </c>
      <c r="K141" s="95">
        <f t="shared" si="14"/>
        <v>176521.76</v>
      </c>
    </row>
    <row r="142" spans="1:11" ht="18" customHeight="1">
      <c r="A142" s="45" t="s">
        <v>286</v>
      </c>
      <c r="B142" s="43" t="s">
        <v>125</v>
      </c>
      <c r="F142" s="95">
        <f t="shared" ref="F142:K142" si="15">F49</f>
        <v>640</v>
      </c>
      <c r="G142" s="95">
        <f t="shared" si="15"/>
        <v>32</v>
      </c>
      <c r="H142" s="95">
        <f t="shared" si="15"/>
        <v>56937</v>
      </c>
      <c r="I142" s="95">
        <f t="shared" si="15"/>
        <v>0</v>
      </c>
      <c r="J142" s="95">
        <f t="shared" si="15"/>
        <v>0</v>
      </c>
      <c r="K142" s="95">
        <f t="shared" si="15"/>
        <v>56937</v>
      </c>
    </row>
    <row r="143" spans="1:11" ht="18" customHeight="1">
      <c r="A143" s="45" t="s">
        <v>305</v>
      </c>
      <c r="B143" s="43" t="s">
        <v>247</v>
      </c>
      <c r="F143" s="95">
        <f t="shared" ref="F143:K143" si="16">F64</f>
        <v>0</v>
      </c>
      <c r="G143" s="95">
        <f t="shared" si="16"/>
        <v>0</v>
      </c>
      <c r="H143" s="95">
        <f t="shared" si="16"/>
        <v>25314</v>
      </c>
      <c r="I143" s="95">
        <f t="shared" si="16"/>
        <v>0</v>
      </c>
      <c r="J143" s="95">
        <f t="shared" si="16"/>
        <v>0</v>
      </c>
      <c r="K143" s="95">
        <f t="shared" si="16"/>
        <v>25314</v>
      </c>
    </row>
    <row r="144" spans="1:11" ht="18" customHeight="1">
      <c r="A144" s="45" t="s">
        <v>311</v>
      </c>
      <c r="B144" s="43" t="s">
        <v>127</v>
      </c>
      <c r="F144" s="95">
        <f t="shared" ref="F144:K144" si="17">F74</f>
        <v>0</v>
      </c>
      <c r="G144" s="95">
        <f t="shared" si="17"/>
        <v>0</v>
      </c>
      <c r="H144" s="95">
        <f t="shared" si="17"/>
        <v>0</v>
      </c>
      <c r="I144" s="95">
        <f t="shared" si="17"/>
        <v>0</v>
      </c>
      <c r="J144" s="95">
        <f t="shared" si="17"/>
        <v>0</v>
      </c>
      <c r="K144" s="95">
        <f t="shared" si="17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18">F82</f>
        <v>171.5</v>
      </c>
      <c r="G145" s="95">
        <f t="shared" si="18"/>
        <v>203</v>
      </c>
      <c r="H145" s="95">
        <f t="shared" si="18"/>
        <v>11199</v>
      </c>
      <c r="I145" s="95">
        <f t="shared" si="18"/>
        <v>0</v>
      </c>
      <c r="J145" s="95">
        <f t="shared" si="18"/>
        <v>790</v>
      </c>
      <c r="K145" s="95">
        <f t="shared" si="18"/>
        <v>10409</v>
      </c>
    </row>
    <row r="146" spans="1:11" ht="18" customHeight="1">
      <c r="A146" s="45" t="s">
        <v>331</v>
      </c>
      <c r="B146" s="43" t="s">
        <v>249</v>
      </c>
      <c r="F146" s="95">
        <f t="shared" ref="F146:K146" si="19">F98</f>
        <v>100.5</v>
      </c>
      <c r="G146" s="95">
        <f t="shared" si="19"/>
        <v>194</v>
      </c>
      <c r="H146" s="95">
        <f t="shared" si="19"/>
        <v>121055</v>
      </c>
      <c r="I146" s="95">
        <f t="shared" si="19"/>
        <v>82317.400000000009</v>
      </c>
      <c r="J146" s="95">
        <f t="shared" si="19"/>
        <v>0</v>
      </c>
      <c r="K146" s="95">
        <f t="shared" si="19"/>
        <v>203372.40000000002</v>
      </c>
    </row>
    <row r="147" spans="1:11" ht="18" customHeight="1">
      <c r="A147" s="45" t="s">
        <v>338</v>
      </c>
      <c r="B147" s="43" t="s">
        <v>129</v>
      </c>
      <c r="F147" s="59">
        <f t="shared" ref="F147:K147" si="20">F108</f>
        <v>135</v>
      </c>
      <c r="G147" s="59">
        <f t="shared" si="20"/>
        <v>0</v>
      </c>
      <c r="H147" s="59">
        <f t="shared" si="20"/>
        <v>444</v>
      </c>
      <c r="I147" s="59">
        <f t="shared" si="20"/>
        <v>301.92</v>
      </c>
      <c r="J147" s="59">
        <f t="shared" si="20"/>
        <v>0</v>
      </c>
      <c r="K147" s="59">
        <f t="shared" si="20"/>
        <v>745.92000000000007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2848631</v>
      </c>
    </row>
    <row r="149" spans="1:11" ht="18" customHeight="1">
      <c r="A149" s="45" t="s">
        <v>358</v>
      </c>
      <c r="B149" s="43" t="s">
        <v>250</v>
      </c>
      <c r="F149" s="59">
        <f t="shared" ref="F149:K149" si="21">F137</f>
        <v>0</v>
      </c>
      <c r="G149" s="59">
        <f t="shared" si="21"/>
        <v>0</v>
      </c>
      <c r="H149" s="59">
        <f t="shared" si="21"/>
        <v>0</v>
      </c>
      <c r="I149" s="59">
        <f t="shared" si="21"/>
        <v>0</v>
      </c>
      <c r="J149" s="59">
        <f t="shared" si="21"/>
        <v>0</v>
      </c>
      <c r="K149" s="59">
        <f t="shared" si="21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1170770</v>
      </c>
      <c r="I150" s="59">
        <f>I18</f>
        <v>0</v>
      </c>
      <c r="J150" s="59">
        <f>J18</f>
        <v>1001154</v>
      </c>
      <c r="K150" s="59">
        <f>K18</f>
        <v>169616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2">SUM(F141:F150)</f>
        <v>3393.7</v>
      </c>
      <c r="G152" s="99">
        <f t="shared" si="22"/>
        <v>11207</v>
      </c>
      <c r="H152" s="99">
        <f t="shared" si="22"/>
        <v>1531779</v>
      </c>
      <c r="I152" s="99">
        <f t="shared" si="22"/>
        <v>226251.08000000005</v>
      </c>
      <c r="J152" s="99">
        <f t="shared" si="22"/>
        <v>1115114</v>
      </c>
      <c r="K152" s="99">
        <f t="shared" si="22"/>
        <v>3491547.08</v>
      </c>
    </row>
    <row r="154" spans="1:11" ht="18" customHeight="1">
      <c r="A154" s="48" t="s">
        <v>361</v>
      </c>
      <c r="B154" s="43" t="s">
        <v>252</v>
      </c>
      <c r="F154" s="165">
        <f>K152/F121</f>
        <v>9.3493564387719802E-2</v>
      </c>
    </row>
    <row r="155" spans="1:11" ht="18" customHeight="1">
      <c r="A155" s="48" t="s">
        <v>362</v>
      </c>
      <c r="B155" s="43" t="s">
        <v>253</v>
      </c>
      <c r="F155" s="165">
        <f>K152/F127</f>
        <v>1.51559813555511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1" workbookViewId="0">
      <selection activeCell="B43" sqref="B43"/>
    </sheetView>
  </sheetViews>
  <sheetFormatPr defaultRowHeight="12.75"/>
  <cols>
    <col min="1" max="1" width="8.28515625" style="135" customWidth="1"/>
    <col min="2" max="2" width="55.42578125" style="49" bestFit="1" customWidth="1"/>
    <col min="3" max="3" width="9.5703125" style="49" customWidth="1"/>
    <col min="4" max="4" width="9.140625" style="49"/>
    <col min="5" max="5" width="12.42578125" style="49" customWidth="1"/>
    <col min="6" max="6" width="18.5703125" style="49" customWidth="1"/>
    <col min="7" max="7" width="23.5703125" style="49" customWidth="1"/>
    <col min="8" max="8" width="17.140625" style="49" customWidth="1"/>
    <col min="9" max="9" width="21.140625" style="49" customWidth="1"/>
    <col min="10" max="10" width="19.85546875" style="49" customWidth="1"/>
    <col min="11" max="11" width="17.5703125" style="49" customWidth="1"/>
    <col min="12" max="16384" width="9.14062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75">
      <c r="D2" s="873" t="s">
        <v>133</v>
      </c>
      <c r="E2" s="873"/>
      <c r="F2" s="873"/>
      <c r="G2" s="873"/>
      <c r="H2" s="873"/>
      <c r="I2" s="384"/>
      <c r="J2" s="384"/>
      <c r="K2" s="384"/>
    </row>
    <row r="3" spans="1:11" ht="15">
      <c r="B3" s="43" t="s">
        <v>134</v>
      </c>
      <c r="F3" s="44"/>
      <c r="H3" s="384"/>
      <c r="I3" s="384"/>
      <c r="J3" s="384"/>
      <c r="K3" s="384"/>
    </row>
    <row r="5" spans="1:11">
      <c r="B5" s="45" t="s">
        <v>135</v>
      </c>
      <c r="C5" s="826" t="s">
        <v>426</v>
      </c>
      <c r="D5" s="874"/>
      <c r="E5" s="874"/>
      <c r="F5" s="874"/>
      <c r="G5" s="875"/>
      <c r="H5" s="384"/>
      <c r="I5" s="384"/>
      <c r="J5" s="384"/>
      <c r="K5" s="384"/>
    </row>
    <row r="6" spans="1:11">
      <c r="B6" s="45" t="s">
        <v>136</v>
      </c>
      <c r="C6" s="829">
        <v>18</v>
      </c>
      <c r="D6" s="876"/>
      <c r="E6" s="876"/>
      <c r="F6" s="876"/>
      <c r="G6" s="877"/>
      <c r="H6" s="384"/>
      <c r="I6" s="384"/>
      <c r="J6" s="384"/>
      <c r="K6" s="384"/>
    </row>
    <row r="7" spans="1:11">
      <c r="B7" s="45" t="s">
        <v>137</v>
      </c>
      <c r="C7" s="878">
        <v>1200</v>
      </c>
      <c r="D7" s="879"/>
      <c r="E7" s="879"/>
      <c r="F7" s="879"/>
      <c r="G7" s="880"/>
      <c r="H7" s="384"/>
      <c r="I7" s="384"/>
      <c r="J7" s="384"/>
      <c r="K7" s="384"/>
    </row>
    <row r="9" spans="1:11">
      <c r="B9" s="45" t="s">
        <v>138</v>
      </c>
      <c r="C9" s="826" t="s">
        <v>139</v>
      </c>
      <c r="D9" s="874"/>
      <c r="E9" s="874"/>
      <c r="F9" s="874"/>
      <c r="G9" s="875"/>
      <c r="H9" s="384"/>
      <c r="I9" s="384"/>
      <c r="J9" s="384"/>
      <c r="K9" s="384"/>
    </row>
    <row r="10" spans="1:11">
      <c r="B10" s="45" t="s">
        <v>140</v>
      </c>
      <c r="C10" s="835" t="s">
        <v>141</v>
      </c>
      <c r="D10" s="881"/>
      <c r="E10" s="881"/>
      <c r="F10" s="881"/>
      <c r="G10" s="882"/>
      <c r="H10" s="384"/>
      <c r="I10" s="384"/>
      <c r="J10" s="384"/>
      <c r="K10" s="384"/>
    </row>
    <row r="11" spans="1:11">
      <c r="B11" s="45" t="s">
        <v>142</v>
      </c>
      <c r="C11" s="838" t="s">
        <v>143</v>
      </c>
      <c r="D11" s="872"/>
      <c r="E11" s="872"/>
      <c r="F11" s="872"/>
      <c r="G11" s="872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5.5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4424382</v>
      </c>
      <c r="I18" s="167">
        <v>0</v>
      </c>
      <c r="J18" s="347">
        <v>3783400</v>
      </c>
      <c r="K18" s="348">
        <v>640982</v>
      </c>
    </row>
    <row r="19" spans="1:11" ht="25.5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647</v>
      </c>
      <c r="G21" s="57">
        <v>5293</v>
      </c>
      <c r="H21" s="347">
        <v>216000</v>
      </c>
      <c r="I21" s="167">
        <v>145246</v>
      </c>
      <c r="J21" s="347">
        <v>37505</v>
      </c>
      <c r="K21" s="348">
        <v>323741</v>
      </c>
    </row>
    <row r="22" spans="1:11">
      <c r="A22" s="45" t="s">
        <v>261</v>
      </c>
      <c r="B22" s="49" t="s">
        <v>157</v>
      </c>
      <c r="F22" s="57">
        <v>0</v>
      </c>
      <c r="G22" s="57">
        <v>0</v>
      </c>
      <c r="H22" s="347">
        <v>0</v>
      </c>
      <c r="I22" s="167">
        <v>0</v>
      </c>
      <c r="J22" s="347">
        <v>0</v>
      </c>
      <c r="K22" s="348">
        <v>0</v>
      </c>
    </row>
    <row r="23" spans="1:11">
      <c r="A23" s="45" t="s">
        <v>262</v>
      </c>
      <c r="B23" s="49" t="s">
        <v>158</v>
      </c>
      <c r="F23" s="57">
        <v>0</v>
      </c>
      <c r="G23" s="57">
        <v>0</v>
      </c>
      <c r="H23" s="347">
        <v>0</v>
      </c>
      <c r="I23" s="167">
        <v>0</v>
      </c>
      <c r="J23" s="347">
        <v>0</v>
      </c>
      <c r="K23" s="348">
        <v>0</v>
      </c>
    </row>
    <row r="24" spans="1:11">
      <c r="A24" s="45" t="s">
        <v>263</v>
      </c>
      <c r="B24" s="49" t="s">
        <v>159</v>
      </c>
      <c r="F24" s="57">
        <v>25</v>
      </c>
      <c r="G24" s="57">
        <v>33</v>
      </c>
      <c r="H24" s="347">
        <v>1025</v>
      </c>
      <c r="I24" s="167">
        <v>697</v>
      </c>
      <c r="J24" s="347">
        <v>0</v>
      </c>
      <c r="K24" s="348">
        <v>1722</v>
      </c>
    </row>
    <row r="25" spans="1:11">
      <c r="A25" s="45" t="s">
        <v>264</v>
      </c>
      <c r="B25" s="49" t="s">
        <v>160</v>
      </c>
      <c r="F25" s="57">
        <v>1148</v>
      </c>
      <c r="G25" s="57">
        <v>307</v>
      </c>
      <c r="H25" s="347">
        <v>69727</v>
      </c>
      <c r="I25" s="167">
        <v>47414</v>
      </c>
      <c r="J25" s="347">
        <v>0</v>
      </c>
      <c r="K25" s="348">
        <v>117141</v>
      </c>
    </row>
    <row r="26" spans="1:11">
      <c r="A26" s="45" t="s">
        <v>265</v>
      </c>
      <c r="B26" s="49" t="s">
        <v>161</v>
      </c>
      <c r="F26" s="57">
        <v>0</v>
      </c>
      <c r="G26" s="57">
        <v>0</v>
      </c>
      <c r="H26" s="347">
        <v>0</v>
      </c>
      <c r="I26" s="167">
        <v>0</v>
      </c>
      <c r="J26" s="347">
        <v>0</v>
      </c>
      <c r="K26" s="348">
        <v>0</v>
      </c>
    </row>
    <row r="27" spans="1:11">
      <c r="A27" s="45" t="s">
        <v>266</v>
      </c>
      <c r="B27" s="49" t="s">
        <v>162</v>
      </c>
      <c r="F27" s="57">
        <v>0</v>
      </c>
      <c r="G27" s="57">
        <v>0</v>
      </c>
      <c r="H27" s="347">
        <v>0</v>
      </c>
      <c r="I27" s="167">
        <v>0</v>
      </c>
      <c r="J27" s="347">
        <v>0</v>
      </c>
      <c r="K27" s="348">
        <v>0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3224</v>
      </c>
      <c r="G29" s="57">
        <v>10329</v>
      </c>
      <c r="H29" s="347">
        <v>1027941</v>
      </c>
      <c r="I29" s="167">
        <v>434626</v>
      </c>
      <c r="J29" s="347">
        <v>11336</v>
      </c>
      <c r="K29" s="348">
        <v>1451231</v>
      </c>
    </row>
    <row r="30" spans="1:11">
      <c r="A30" s="45" t="s">
        <v>269</v>
      </c>
      <c r="B30" s="814"/>
      <c r="C30" s="815"/>
      <c r="D30" s="816"/>
      <c r="F30" s="57"/>
      <c r="G30" s="57"/>
      <c r="H30" s="347"/>
      <c r="I30" s="167"/>
      <c r="J30" s="347"/>
      <c r="K30" s="348"/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332"/>
      <c r="C32" s="333"/>
      <c r="D32" s="334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332"/>
      <c r="C33" s="333"/>
      <c r="D33" s="334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5044</v>
      </c>
      <c r="G36" s="350">
        <f t="shared" si="0"/>
        <v>15962</v>
      </c>
      <c r="H36" s="348">
        <f t="shared" si="0"/>
        <v>1314693</v>
      </c>
      <c r="I36" s="348">
        <f t="shared" si="0"/>
        <v>627983</v>
      </c>
      <c r="J36" s="348">
        <f t="shared" si="0"/>
        <v>48841</v>
      </c>
      <c r="K36" s="348">
        <f t="shared" si="0"/>
        <v>1893835</v>
      </c>
    </row>
    <row r="37" spans="1:11" ht="13.5" thickBot="1">
      <c r="B37" s="43"/>
      <c r="F37" s="351"/>
      <c r="G37" s="351"/>
      <c r="H37" s="352"/>
      <c r="I37" s="352"/>
      <c r="J37" s="352"/>
      <c r="K37" s="353"/>
    </row>
    <row r="38" spans="1:11" ht="25.5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260</v>
      </c>
      <c r="G40" s="57">
        <v>1644</v>
      </c>
      <c r="H40" s="347">
        <v>21285</v>
      </c>
      <c r="I40" s="167">
        <v>14474</v>
      </c>
      <c r="J40" s="347">
        <v>0</v>
      </c>
      <c r="K40" s="348">
        <v>35759</v>
      </c>
    </row>
    <row r="41" spans="1:11">
      <c r="A41" s="45" t="s">
        <v>278</v>
      </c>
      <c r="B41" s="818" t="s">
        <v>172</v>
      </c>
      <c r="C41" s="818"/>
      <c r="F41" s="57">
        <v>699</v>
      </c>
      <c r="G41" s="57">
        <v>130</v>
      </c>
      <c r="H41" s="347">
        <v>38237</v>
      </c>
      <c r="I41" s="167">
        <v>26001</v>
      </c>
      <c r="J41" s="347">
        <v>0</v>
      </c>
      <c r="K41" s="348">
        <v>64238</v>
      </c>
    </row>
    <row r="42" spans="1:11">
      <c r="A42" s="45" t="s">
        <v>279</v>
      </c>
      <c r="B42" s="49" t="s">
        <v>174</v>
      </c>
      <c r="F42" s="57">
        <v>4440</v>
      </c>
      <c r="G42" s="57">
        <v>16</v>
      </c>
      <c r="H42" s="347">
        <v>190510</v>
      </c>
      <c r="I42" s="167">
        <v>129548</v>
      </c>
      <c r="J42" s="347">
        <v>0</v>
      </c>
      <c r="K42" s="348">
        <v>320058</v>
      </c>
    </row>
    <row r="43" spans="1:11">
      <c r="A43" s="45" t="s">
        <v>280</v>
      </c>
      <c r="B43" s="49" t="s">
        <v>176</v>
      </c>
      <c r="F43" s="57">
        <v>0</v>
      </c>
      <c r="G43" s="57">
        <v>0</v>
      </c>
      <c r="H43" s="347">
        <v>0</v>
      </c>
      <c r="I43" s="167">
        <v>0</v>
      </c>
      <c r="J43" s="347">
        <v>0</v>
      </c>
      <c r="K43" s="348">
        <v>0</v>
      </c>
    </row>
    <row r="44" spans="1:11">
      <c r="A44" s="45" t="s">
        <v>281</v>
      </c>
      <c r="B44" s="814"/>
      <c r="C44" s="815"/>
      <c r="D44" s="816"/>
      <c r="F44" s="57">
        <v>0</v>
      </c>
      <c r="G44" s="57">
        <v>0</v>
      </c>
      <c r="H44" s="347">
        <v>0</v>
      </c>
      <c r="I44" s="167">
        <v>0</v>
      </c>
      <c r="J44" s="347">
        <v>0</v>
      </c>
      <c r="K44" s="354">
        <v>0</v>
      </c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1">SUM(F40:F47)</f>
        <v>5399</v>
      </c>
      <c r="G49" s="355">
        <f t="shared" si="1"/>
        <v>1790</v>
      </c>
      <c r="H49" s="348">
        <f t="shared" si="1"/>
        <v>250032</v>
      </c>
      <c r="I49" s="348">
        <f t="shared" si="1"/>
        <v>170023</v>
      </c>
      <c r="J49" s="348">
        <f t="shared" si="1"/>
        <v>0</v>
      </c>
      <c r="K49" s="348">
        <f t="shared" si="1"/>
        <v>420055</v>
      </c>
    </row>
    <row r="50" spans="1:11" ht="13.5" thickBot="1">
      <c r="G50" s="356"/>
      <c r="H50" s="352"/>
      <c r="I50" s="352"/>
      <c r="J50" s="352"/>
      <c r="K50" s="352"/>
    </row>
    <row r="51" spans="1:11" ht="25.5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17" t="s">
        <v>180</v>
      </c>
      <c r="C53" s="864" t="s">
        <v>180</v>
      </c>
      <c r="D53" s="865" t="s">
        <v>180</v>
      </c>
      <c r="F53" s="57">
        <v>0</v>
      </c>
      <c r="G53" s="57">
        <v>0</v>
      </c>
      <c r="H53" s="347">
        <v>2593208</v>
      </c>
      <c r="I53" s="167">
        <v>0</v>
      </c>
      <c r="J53" s="347">
        <v>0</v>
      </c>
      <c r="K53" s="348">
        <v>2593208</v>
      </c>
    </row>
    <row r="54" spans="1:11">
      <c r="A54" s="45" t="s">
        <v>289</v>
      </c>
      <c r="B54" s="335" t="s">
        <v>183</v>
      </c>
      <c r="C54" s="337"/>
      <c r="D54" s="338"/>
      <c r="F54" s="57">
        <v>0</v>
      </c>
      <c r="G54" s="57">
        <v>0</v>
      </c>
      <c r="H54" s="347">
        <v>1245687</v>
      </c>
      <c r="I54" s="167">
        <v>0</v>
      </c>
      <c r="J54" s="347">
        <v>0</v>
      </c>
      <c r="K54" s="348">
        <v>1245687</v>
      </c>
    </row>
    <row r="55" spans="1:11">
      <c r="A55" s="45" t="s">
        <v>291</v>
      </c>
      <c r="B55" s="817" t="s">
        <v>427</v>
      </c>
      <c r="C55" s="864" t="s">
        <v>427</v>
      </c>
      <c r="D55" s="865" t="s">
        <v>427</v>
      </c>
      <c r="F55" s="57">
        <v>0</v>
      </c>
      <c r="G55" s="57">
        <v>0</v>
      </c>
      <c r="H55" s="347">
        <v>429650</v>
      </c>
      <c r="I55" s="167">
        <v>0</v>
      </c>
      <c r="J55" s="347">
        <v>0</v>
      </c>
      <c r="K55" s="348">
        <v>429650</v>
      </c>
    </row>
    <row r="56" spans="1:11">
      <c r="A56" s="45" t="s">
        <v>293</v>
      </c>
      <c r="B56" s="817"/>
      <c r="C56" s="864"/>
      <c r="D56" s="865"/>
      <c r="F56" s="57"/>
      <c r="G56" s="57"/>
      <c r="H56" s="347"/>
      <c r="I56" s="167"/>
      <c r="J56" s="347"/>
      <c r="K56" s="348"/>
    </row>
    <row r="57" spans="1:11">
      <c r="A57" s="45" t="s">
        <v>295</v>
      </c>
      <c r="B57" s="817"/>
      <c r="C57" s="864"/>
      <c r="D57" s="865"/>
      <c r="F57" s="70"/>
      <c r="G57" s="57"/>
      <c r="H57" s="347"/>
      <c r="I57" s="167"/>
      <c r="J57" s="347"/>
      <c r="K57" s="348"/>
    </row>
    <row r="58" spans="1:11">
      <c r="A58" s="45" t="s">
        <v>298</v>
      </c>
      <c r="B58" s="335"/>
      <c r="C58" s="337"/>
      <c r="D58" s="338"/>
      <c r="F58" s="70"/>
      <c r="G58" s="70"/>
      <c r="H58" s="347"/>
      <c r="I58" s="167"/>
      <c r="J58" s="347"/>
      <c r="K58" s="348"/>
    </row>
    <row r="59" spans="1:11">
      <c r="A59" s="45" t="s">
        <v>300</v>
      </c>
      <c r="B59" s="817"/>
      <c r="C59" s="864"/>
      <c r="D59" s="865"/>
      <c r="F59" s="70"/>
      <c r="G59" s="70"/>
      <c r="H59" s="347"/>
      <c r="I59" s="167"/>
      <c r="J59" s="347"/>
      <c r="K59" s="348"/>
    </row>
    <row r="60" spans="1:11">
      <c r="A60" s="45" t="s">
        <v>302</v>
      </c>
      <c r="B60" s="335"/>
      <c r="C60" s="337"/>
      <c r="D60" s="338"/>
      <c r="F60" s="57"/>
      <c r="G60" s="57"/>
      <c r="H60" s="347"/>
      <c r="I60" s="167"/>
      <c r="J60" s="347"/>
      <c r="K60" s="348"/>
    </row>
    <row r="61" spans="1:11">
      <c r="A61" s="45" t="s">
        <v>303</v>
      </c>
      <c r="B61" s="335"/>
      <c r="C61" s="337"/>
      <c r="D61" s="338"/>
      <c r="F61" s="57"/>
      <c r="G61" s="57"/>
      <c r="H61" s="347"/>
      <c r="I61" s="167"/>
      <c r="J61" s="347"/>
      <c r="K61" s="348"/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/>
      <c r="J62" s="347"/>
      <c r="K62" s="348"/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SUM(F53:F62)</f>
        <v>0</v>
      </c>
      <c r="G64" s="350">
        <f t="shared" si="2"/>
        <v>0</v>
      </c>
      <c r="H64" s="348">
        <f t="shared" si="2"/>
        <v>4268545</v>
      </c>
      <c r="I64" s="348">
        <f t="shared" si="2"/>
        <v>0</v>
      </c>
      <c r="J64" s="348">
        <f t="shared" si="2"/>
        <v>0</v>
      </c>
      <c r="K64" s="348">
        <f t="shared" si="2"/>
        <v>4268545</v>
      </c>
    </row>
    <row r="65" spans="1:11">
      <c r="F65" s="358"/>
      <c r="G65" s="358"/>
      <c r="H65" s="394"/>
      <c r="I65" s="394"/>
      <c r="J65" s="394"/>
      <c r="K65" s="394"/>
    </row>
    <row r="66" spans="1:11" ht="25.5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0</v>
      </c>
      <c r="G68" s="362">
        <v>0</v>
      </c>
      <c r="H68" s="347">
        <v>0</v>
      </c>
      <c r="I68" s="167">
        <v>0</v>
      </c>
      <c r="J68" s="347">
        <v>0</v>
      </c>
      <c r="K68" s="348">
        <v>0</v>
      </c>
    </row>
    <row r="69" spans="1:11">
      <c r="A69" s="45" t="s">
        <v>307</v>
      </c>
      <c r="B69" s="49" t="s">
        <v>190</v>
      </c>
      <c r="F69" s="362">
        <v>42</v>
      </c>
      <c r="G69" s="362">
        <v>0</v>
      </c>
      <c r="H69" s="347">
        <v>2294</v>
      </c>
      <c r="I69" s="167">
        <v>0</v>
      </c>
      <c r="J69" s="347">
        <v>0</v>
      </c>
      <c r="K69" s="348">
        <v>2294</v>
      </c>
    </row>
    <row r="70" spans="1:11">
      <c r="A70" s="45" t="s">
        <v>308</v>
      </c>
      <c r="B70" s="335" t="s">
        <v>813</v>
      </c>
      <c r="C70" s="337"/>
      <c r="D70" s="338"/>
      <c r="E70" s="43"/>
      <c r="F70" s="364">
        <v>2080</v>
      </c>
      <c r="G70" s="364">
        <v>333</v>
      </c>
      <c r="H70" s="363">
        <v>119369</v>
      </c>
      <c r="I70" s="167">
        <v>81171</v>
      </c>
      <c r="J70" s="363">
        <v>0</v>
      </c>
      <c r="K70" s="348">
        <v>200540</v>
      </c>
    </row>
    <row r="71" spans="1:11">
      <c r="A71" s="45" t="s">
        <v>309</v>
      </c>
      <c r="B71" s="335"/>
      <c r="C71" s="337"/>
      <c r="D71" s="338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336"/>
      <c r="C72" s="339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3">SUM(F68:F72)</f>
        <v>2122</v>
      </c>
      <c r="G74" s="368">
        <f t="shared" si="3"/>
        <v>333</v>
      </c>
      <c r="H74" s="354">
        <f t="shared" si="3"/>
        <v>121663</v>
      </c>
      <c r="I74" s="370">
        <f t="shared" si="3"/>
        <v>81171</v>
      </c>
      <c r="J74" s="354">
        <f t="shared" si="3"/>
        <v>0</v>
      </c>
      <c r="K74" s="354">
        <f t="shared" si="3"/>
        <v>202834</v>
      </c>
    </row>
    <row r="75" spans="1:11" ht="25.5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17</v>
      </c>
      <c r="G77" s="57">
        <v>425</v>
      </c>
      <c r="H77" s="347">
        <v>65545</v>
      </c>
      <c r="I77" s="167">
        <v>843</v>
      </c>
      <c r="J77" s="347">
        <v>0</v>
      </c>
      <c r="K77" s="348">
        <v>66388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57">
        <v>57</v>
      </c>
      <c r="G79" s="57">
        <v>90</v>
      </c>
      <c r="H79" s="347">
        <v>2089</v>
      </c>
      <c r="I79" s="167">
        <v>54</v>
      </c>
      <c r="J79" s="347">
        <v>0</v>
      </c>
      <c r="K79" s="348">
        <v>2143</v>
      </c>
    </row>
    <row r="80" spans="1:11">
      <c r="A80" s="45" t="s">
        <v>315</v>
      </c>
      <c r="B80" s="49" t="s">
        <v>316</v>
      </c>
      <c r="F80" s="57">
        <v>0</v>
      </c>
      <c r="G80" s="57">
        <v>0</v>
      </c>
      <c r="H80" s="347">
        <v>0</v>
      </c>
      <c r="I80" s="167">
        <v>0</v>
      </c>
      <c r="J80" s="347">
        <v>0</v>
      </c>
      <c r="K80" s="348">
        <v>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4">SUM(F77:F80)</f>
        <v>74</v>
      </c>
      <c r="G82" s="455">
        <f t="shared" si="4"/>
        <v>515</v>
      </c>
      <c r="H82" s="354">
        <f t="shared" si="4"/>
        <v>67634</v>
      </c>
      <c r="I82" s="354">
        <f t="shared" si="4"/>
        <v>897</v>
      </c>
      <c r="J82" s="354">
        <f t="shared" si="4"/>
        <v>0</v>
      </c>
      <c r="K82" s="354">
        <f t="shared" si="4"/>
        <v>68531</v>
      </c>
    </row>
    <row r="83" spans="1:11" ht="13.5" thickBot="1">
      <c r="A83" s="45"/>
      <c r="F83" s="356"/>
      <c r="G83" s="356"/>
      <c r="H83" s="352"/>
      <c r="I83" s="352"/>
      <c r="J83" s="352"/>
      <c r="K83" s="352"/>
    </row>
    <row r="84" spans="1:11" ht="25.5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0</v>
      </c>
      <c r="G87" s="57">
        <v>0</v>
      </c>
      <c r="H87" s="347">
        <v>0</v>
      </c>
      <c r="I87" s="167">
        <v>0</v>
      </c>
      <c r="J87" s="347">
        <v>0</v>
      </c>
      <c r="K87" s="348">
        <v>0</v>
      </c>
    </row>
    <row r="88" spans="1:11">
      <c r="A88" s="45" t="s">
        <v>321</v>
      </c>
      <c r="B88" s="49" t="s">
        <v>208</v>
      </c>
      <c r="F88" s="57">
        <v>996</v>
      </c>
      <c r="G88" s="57">
        <v>0</v>
      </c>
      <c r="H88" s="347">
        <v>44217</v>
      </c>
      <c r="I88" s="167">
        <v>30067</v>
      </c>
      <c r="J88" s="347">
        <v>0</v>
      </c>
      <c r="K88" s="348">
        <v>74284</v>
      </c>
    </row>
    <row r="89" spans="1:11">
      <c r="A89" s="45" t="s">
        <v>322</v>
      </c>
      <c r="B89" s="49" t="s">
        <v>210</v>
      </c>
      <c r="F89" s="57">
        <v>4534</v>
      </c>
      <c r="G89" s="57">
        <v>0</v>
      </c>
      <c r="H89" s="347">
        <v>185386</v>
      </c>
      <c r="I89" s="167">
        <v>126064</v>
      </c>
      <c r="J89" s="347">
        <v>0</v>
      </c>
      <c r="K89" s="348">
        <v>311450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98</v>
      </c>
      <c r="G91" s="57">
        <v>130</v>
      </c>
      <c r="H91" s="347">
        <v>3605</v>
      </c>
      <c r="I91" s="167">
        <v>0</v>
      </c>
      <c r="J91" s="347">
        <v>0</v>
      </c>
      <c r="K91" s="348">
        <v>3605</v>
      </c>
    </row>
    <row r="92" spans="1:11">
      <c r="A92" s="45" t="s">
        <v>325</v>
      </c>
      <c r="B92" s="49" t="s">
        <v>216</v>
      </c>
      <c r="F92" s="372">
        <v>0</v>
      </c>
      <c r="G92" s="372">
        <v>0</v>
      </c>
      <c r="H92" s="373">
        <v>29317</v>
      </c>
      <c r="I92" s="167">
        <v>0</v>
      </c>
      <c r="J92" s="373">
        <v>0</v>
      </c>
      <c r="K92" s="348">
        <v>29317</v>
      </c>
    </row>
    <row r="93" spans="1:11">
      <c r="A93" s="45" t="s">
        <v>326</v>
      </c>
      <c r="B93" s="49" t="s">
        <v>218</v>
      </c>
      <c r="F93" s="57">
        <v>14</v>
      </c>
      <c r="G93" s="57">
        <v>0</v>
      </c>
      <c r="H93" s="347">
        <v>481</v>
      </c>
      <c r="I93" s="167">
        <v>0</v>
      </c>
      <c r="J93" s="347">
        <v>0</v>
      </c>
      <c r="K93" s="348">
        <v>481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5642</v>
      </c>
      <c r="G98" s="350">
        <f t="shared" si="5"/>
        <v>130</v>
      </c>
      <c r="H98" s="348">
        <f t="shared" si="5"/>
        <v>263006</v>
      </c>
      <c r="I98" s="348">
        <f t="shared" si="5"/>
        <v>156131</v>
      </c>
      <c r="J98" s="348">
        <f t="shared" si="5"/>
        <v>0</v>
      </c>
      <c r="K98" s="348">
        <f t="shared" si="5"/>
        <v>419137</v>
      </c>
    </row>
    <row r="99" spans="1:11" ht="13.5" thickBot="1">
      <c r="B99" s="43"/>
      <c r="F99" s="356"/>
      <c r="G99" s="356"/>
      <c r="H99" s="352"/>
      <c r="I99" s="352"/>
      <c r="J99" s="352"/>
      <c r="K99" s="352"/>
    </row>
    <row r="100" spans="1:11" ht="25.5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0</v>
      </c>
      <c r="G102" s="57">
        <v>0</v>
      </c>
      <c r="H102" s="347">
        <v>42481</v>
      </c>
      <c r="I102" s="167">
        <v>0</v>
      </c>
      <c r="J102" s="347">
        <v>0</v>
      </c>
      <c r="K102" s="348">
        <v>42481</v>
      </c>
    </row>
    <row r="103" spans="1:11">
      <c r="A103" s="45" t="s">
        <v>333</v>
      </c>
      <c r="B103" s="818" t="s">
        <v>226</v>
      </c>
      <c r="C103" s="818"/>
      <c r="F103" s="57">
        <v>0</v>
      </c>
      <c r="G103" s="57">
        <v>0</v>
      </c>
      <c r="H103" s="347">
        <v>25000</v>
      </c>
      <c r="I103" s="167">
        <v>0</v>
      </c>
      <c r="J103" s="347">
        <v>0</v>
      </c>
      <c r="K103" s="348">
        <v>25000</v>
      </c>
    </row>
    <row r="104" spans="1:11">
      <c r="A104" s="45" t="s">
        <v>334</v>
      </c>
      <c r="B104" s="817"/>
      <c r="C104" s="864"/>
      <c r="D104" s="865"/>
      <c r="F104" s="57">
        <v>0</v>
      </c>
      <c r="G104" s="57">
        <v>0</v>
      </c>
      <c r="H104" s="347">
        <v>0</v>
      </c>
      <c r="I104" s="167">
        <v>0</v>
      </c>
      <c r="J104" s="347">
        <v>0</v>
      </c>
      <c r="K104" s="348">
        <v>0</v>
      </c>
    </row>
    <row r="105" spans="1:11">
      <c r="A105" s="45" t="s">
        <v>336</v>
      </c>
      <c r="B105" s="817" t="s">
        <v>228</v>
      </c>
      <c r="C105" s="864"/>
      <c r="D105" s="865"/>
      <c r="F105" s="57">
        <v>0</v>
      </c>
      <c r="G105" s="57">
        <v>0</v>
      </c>
      <c r="H105" s="347">
        <v>37888</v>
      </c>
      <c r="I105" s="167">
        <v>0</v>
      </c>
      <c r="J105" s="347">
        <v>0</v>
      </c>
      <c r="K105" s="348">
        <v>37888</v>
      </c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0</v>
      </c>
      <c r="G108" s="350">
        <f t="shared" si="6"/>
        <v>0</v>
      </c>
      <c r="H108" s="348">
        <f t="shared" si="6"/>
        <v>105369</v>
      </c>
      <c r="I108" s="348">
        <f t="shared" si="6"/>
        <v>0</v>
      </c>
      <c r="J108" s="348">
        <f t="shared" si="6"/>
        <v>0</v>
      </c>
      <c r="K108" s="348">
        <f t="shared" si="6"/>
        <v>105369</v>
      </c>
    </row>
    <row r="109" spans="1:11" ht="13.5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5999259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478">
        <v>0.68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466">
        <v>144395405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466">
        <v>6119951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f>SUM(F117:F118)</f>
        <v>150515356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143428725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7086631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175895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7262526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5.5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  <c r="H138" s="384"/>
      <c r="I138" s="384"/>
      <c r="J138" s="384"/>
      <c r="K138" s="384"/>
    </row>
    <row r="139" spans="1:11" ht="25.5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8">F36</f>
        <v>5044</v>
      </c>
      <c r="G141" s="377">
        <f t="shared" si="8"/>
        <v>15962</v>
      </c>
      <c r="H141" s="380">
        <f t="shared" si="8"/>
        <v>1314693</v>
      </c>
      <c r="I141" s="380">
        <f t="shared" si="8"/>
        <v>627983</v>
      </c>
      <c r="J141" s="380">
        <f t="shared" si="8"/>
        <v>48841</v>
      </c>
      <c r="K141" s="380">
        <f t="shared" si="8"/>
        <v>1893835</v>
      </c>
    </row>
    <row r="142" spans="1:11">
      <c r="A142" s="45" t="s">
        <v>286</v>
      </c>
      <c r="B142" s="43" t="s">
        <v>125</v>
      </c>
      <c r="F142" s="456">
        <f t="shared" ref="F142:K142" si="9">F49</f>
        <v>5399</v>
      </c>
      <c r="G142" s="456">
        <f t="shared" si="9"/>
        <v>1790</v>
      </c>
      <c r="H142" s="380">
        <f t="shared" si="9"/>
        <v>250032</v>
      </c>
      <c r="I142" s="380">
        <f t="shared" si="9"/>
        <v>170023</v>
      </c>
      <c r="J142" s="380">
        <f t="shared" si="9"/>
        <v>0</v>
      </c>
      <c r="K142" s="380">
        <f t="shared" si="9"/>
        <v>420055</v>
      </c>
    </row>
    <row r="143" spans="1:11">
      <c r="A143" s="45" t="s">
        <v>305</v>
      </c>
      <c r="B143" s="43" t="s">
        <v>247</v>
      </c>
      <c r="F143" s="377">
        <f t="shared" ref="F143:K143" si="10">F64</f>
        <v>0</v>
      </c>
      <c r="G143" s="377">
        <f t="shared" si="10"/>
        <v>0</v>
      </c>
      <c r="H143" s="380">
        <f t="shared" si="10"/>
        <v>4268545</v>
      </c>
      <c r="I143" s="380">
        <f t="shared" si="10"/>
        <v>0</v>
      </c>
      <c r="J143" s="380">
        <f t="shared" si="10"/>
        <v>0</v>
      </c>
      <c r="K143" s="380">
        <f t="shared" si="10"/>
        <v>4268545</v>
      </c>
    </row>
    <row r="144" spans="1:11">
      <c r="A144" s="45" t="s">
        <v>311</v>
      </c>
      <c r="B144" s="43" t="s">
        <v>127</v>
      </c>
      <c r="F144" s="377">
        <f t="shared" ref="F144:K144" si="11">F74</f>
        <v>2122</v>
      </c>
      <c r="G144" s="377">
        <f t="shared" si="11"/>
        <v>333</v>
      </c>
      <c r="H144" s="380">
        <f t="shared" si="11"/>
        <v>121663</v>
      </c>
      <c r="I144" s="380">
        <f t="shared" si="11"/>
        <v>81171</v>
      </c>
      <c r="J144" s="380">
        <f t="shared" si="11"/>
        <v>0</v>
      </c>
      <c r="K144" s="380">
        <f t="shared" si="11"/>
        <v>202834</v>
      </c>
    </row>
    <row r="145" spans="1:11">
      <c r="A145" s="45" t="s">
        <v>317</v>
      </c>
      <c r="B145" s="43" t="s">
        <v>248</v>
      </c>
      <c r="F145" s="377">
        <f t="shared" ref="F145:K145" si="12">F82</f>
        <v>74</v>
      </c>
      <c r="G145" s="377">
        <f t="shared" si="12"/>
        <v>515</v>
      </c>
      <c r="H145" s="380">
        <f t="shared" si="12"/>
        <v>67634</v>
      </c>
      <c r="I145" s="380">
        <f t="shared" si="12"/>
        <v>897</v>
      </c>
      <c r="J145" s="380">
        <f t="shared" si="12"/>
        <v>0</v>
      </c>
      <c r="K145" s="380">
        <f t="shared" si="12"/>
        <v>68531</v>
      </c>
    </row>
    <row r="146" spans="1:11">
      <c r="A146" s="45" t="s">
        <v>331</v>
      </c>
      <c r="B146" s="43" t="s">
        <v>249</v>
      </c>
      <c r="F146" s="377">
        <f t="shared" ref="F146:K146" si="13">F98</f>
        <v>5642</v>
      </c>
      <c r="G146" s="377">
        <f t="shared" si="13"/>
        <v>130</v>
      </c>
      <c r="H146" s="380">
        <f t="shared" si="13"/>
        <v>263006</v>
      </c>
      <c r="I146" s="380">
        <f t="shared" si="13"/>
        <v>156131</v>
      </c>
      <c r="J146" s="380">
        <f t="shared" si="13"/>
        <v>0</v>
      </c>
      <c r="K146" s="380">
        <f t="shared" si="13"/>
        <v>419137</v>
      </c>
    </row>
    <row r="147" spans="1:11">
      <c r="A147" s="45" t="s">
        <v>338</v>
      </c>
      <c r="B147" s="43" t="s">
        <v>129</v>
      </c>
      <c r="F147" s="350">
        <f t="shared" ref="F147:K147" si="14">F108</f>
        <v>0</v>
      </c>
      <c r="G147" s="350">
        <f t="shared" si="14"/>
        <v>0</v>
      </c>
      <c r="H147" s="348">
        <f t="shared" si="14"/>
        <v>105369</v>
      </c>
      <c r="I147" s="348">
        <f t="shared" si="14"/>
        <v>0</v>
      </c>
      <c r="J147" s="348">
        <f t="shared" si="14"/>
        <v>0</v>
      </c>
      <c r="K147" s="348">
        <f t="shared" si="14"/>
        <v>105369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5999259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4424382</v>
      </c>
      <c r="I150" s="348">
        <f>I18</f>
        <v>0</v>
      </c>
      <c r="J150" s="348">
        <f>J18</f>
        <v>3783400</v>
      </c>
      <c r="K150" s="348">
        <f>K18</f>
        <v>640982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18281</v>
      </c>
      <c r="G152" s="381">
        <f t="shared" si="16"/>
        <v>18730</v>
      </c>
      <c r="H152" s="457">
        <f t="shared" si="16"/>
        <v>10815324</v>
      </c>
      <c r="I152" s="457">
        <f t="shared" si="16"/>
        <v>1036205</v>
      </c>
      <c r="J152" s="457">
        <f t="shared" si="16"/>
        <v>3832241</v>
      </c>
      <c r="K152" s="457">
        <f t="shared" si="16"/>
        <v>14018547</v>
      </c>
    </row>
    <row r="154" spans="1:11">
      <c r="A154" s="48" t="s">
        <v>361</v>
      </c>
      <c r="B154" s="43" t="s">
        <v>252</v>
      </c>
      <c r="F154" s="459">
        <f>K152/F121</f>
        <v>9.7738768855401878E-2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1.930257736770925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C11:G11"/>
    <mergeCell ref="D2:H2"/>
    <mergeCell ref="C5:G5"/>
    <mergeCell ref="C6:G6"/>
    <mergeCell ref="C7:G7"/>
    <mergeCell ref="C9:G9"/>
    <mergeCell ref="C10:G10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90:C90"/>
    <mergeCell ref="B94:D94"/>
    <mergeCell ref="B95:D95"/>
    <mergeCell ref="B96:D96"/>
    <mergeCell ref="B134:D134"/>
    <mergeCell ref="B135:D135"/>
    <mergeCell ref="B103:C103"/>
    <mergeCell ref="B104:D104"/>
    <mergeCell ref="B105:D105"/>
    <mergeCell ref="B106:D106"/>
    <mergeCell ref="B133:D13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4" workbookViewId="0">
      <selection activeCell="B43" sqref="B43"/>
    </sheetView>
  </sheetViews>
  <sheetFormatPr defaultRowHeight="12.75"/>
  <cols>
    <col min="1" max="1" width="8.28515625" style="135" customWidth="1"/>
    <col min="2" max="2" width="55.42578125" style="49" bestFit="1" customWidth="1"/>
    <col min="3" max="3" width="9.5703125" style="49" customWidth="1"/>
    <col min="4" max="4" width="9.140625" style="49"/>
    <col min="5" max="5" width="12.42578125" style="49" customWidth="1"/>
    <col min="6" max="6" width="18.5703125" style="49" customWidth="1"/>
    <col min="7" max="7" width="23.5703125" style="49" customWidth="1"/>
    <col min="8" max="8" width="17.140625" style="49" customWidth="1"/>
    <col min="9" max="9" width="21.140625" style="49" customWidth="1"/>
    <col min="10" max="10" width="19.85546875" style="49" customWidth="1"/>
    <col min="11" max="11" width="17.5703125" style="49" customWidth="1"/>
    <col min="12" max="16384" width="9.14062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75">
      <c r="D2" s="873" t="s">
        <v>133</v>
      </c>
      <c r="E2" s="873"/>
      <c r="F2" s="873"/>
      <c r="G2" s="873"/>
      <c r="H2" s="873"/>
      <c r="I2" s="384"/>
      <c r="J2" s="384"/>
      <c r="K2" s="384"/>
    </row>
    <row r="3" spans="1:11" ht="15">
      <c r="B3" s="43" t="s">
        <v>134</v>
      </c>
      <c r="F3" s="44"/>
      <c r="H3" s="384"/>
      <c r="I3" s="384"/>
      <c r="J3" s="384"/>
      <c r="K3" s="384"/>
    </row>
    <row r="5" spans="1:11" ht="15">
      <c r="B5" s="45" t="s">
        <v>135</v>
      </c>
      <c r="C5" s="946" t="s">
        <v>476</v>
      </c>
      <c r="D5" s="946"/>
      <c r="E5" s="946"/>
      <c r="F5" s="946"/>
      <c r="G5" s="946"/>
      <c r="H5" s="384"/>
      <c r="I5" s="384"/>
      <c r="J5" s="384"/>
      <c r="K5" s="384"/>
    </row>
    <row r="6" spans="1:11" ht="15">
      <c r="B6" s="45" t="s">
        <v>136</v>
      </c>
      <c r="C6" s="946">
        <v>19</v>
      </c>
      <c r="D6" s="946"/>
      <c r="E6" s="946"/>
      <c r="F6" s="946"/>
      <c r="G6" s="946"/>
      <c r="H6" s="384"/>
      <c r="I6" s="384"/>
      <c r="J6" s="384"/>
      <c r="K6" s="384"/>
    </row>
    <row r="7" spans="1:11" ht="15">
      <c r="B7" s="45" t="s">
        <v>137</v>
      </c>
      <c r="C7" s="949">
        <v>2725</v>
      </c>
      <c r="D7" s="946"/>
      <c r="E7" s="946"/>
      <c r="F7" s="946"/>
      <c r="G7" s="946"/>
      <c r="H7" s="384"/>
      <c r="I7" s="384"/>
      <c r="J7" s="384"/>
      <c r="K7" s="384"/>
    </row>
    <row r="8" spans="1:11" ht="15">
      <c r="C8" s="471"/>
      <c r="D8" s="471"/>
      <c r="E8" s="471"/>
      <c r="F8" s="471"/>
      <c r="G8" s="471"/>
    </row>
    <row r="9" spans="1:11" ht="15">
      <c r="B9" s="45" t="s">
        <v>138</v>
      </c>
      <c r="C9" s="946" t="s">
        <v>477</v>
      </c>
      <c r="D9" s="946"/>
      <c r="E9" s="946"/>
      <c r="F9" s="946"/>
      <c r="G9" s="946"/>
      <c r="H9" s="384"/>
      <c r="I9" s="384"/>
      <c r="J9" s="384"/>
      <c r="K9" s="384"/>
    </row>
    <row r="10" spans="1:11" ht="15">
      <c r="B10" s="45" t="s">
        <v>140</v>
      </c>
      <c r="C10" s="946" t="s">
        <v>478</v>
      </c>
      <c r="D10" s="946"/>
      <c r="E10" s="946"/>
      <c r="F10" s="946"/>
      <c r="G10" s="946"/>
      <c r="H10" s="384"/>
      <c r="I10" s="384"/>
      <c r="J10" s="384"/>
      <c r="K10" s="384"/>
    </row>
    <row r="11" spans="1:11" ht="15">
      <c r="B11" s="45" t="s">
        <v>142</v>
      </c>
      <c r="C11" s="946" t="s">
        <v>479</v>
      </c>
      <c r="D11" s="946"/>
      <c r="E11" s="946"/>
      <c r="F11" s="946"/>
      <c r="G11" s="946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5.5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11282030</v>
      </c>
      <c r="I18" s="167">
        <v>0</v>
      </c>
      <c r="J18" s="347">
        <v>9647547</v>
      </c>
      <c r="K18" s="348">
        <v>1634483</v>
      </c>
    </row>
    <row r="19" spans="1:11" ht="25.5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792</v>
      </c>
      <c r="G21" s="57">
        <v>4779</v>
      </c>
      <c r="H21" s="347">
        <v>61761.98</v>
      </c>
      <c r="I21" s="167">
        <v>32980.9</v>
      </c>
      <c r="J21" s="347">
        <v>20775.59</v>
      </c>
      <c r="K21" s="348">
        <v>73967.289999999994</v>
      </c>
    </row>
    <row r="22" spans="1:11">
      <c r="A22" s="45" t="s">
        <v>261</v>
      </c>
      <c r="B22" s="49" t="s">
        <v>157</v>
      </c>
      <c r="F22" s="57">
        <v>351</v>
      </c>
      <c r="G22" s="57">
        <v>1184</v>
      </c>
      <c r="H22" s="347">
        <v>16234.51</v>
      </c>
      <c r="I22" s="167">
        <v>8669.23</v>
      </c>
      <c r="J22" s="347">
        <v>0</v>
      </c>
      <c r="K22" s="348">
        <v>24903.74</v>
      </c>
    </row>
    <row r="23" spans="1:11">
      <c r="A23" s="45" t="s">
        <v>262</v>
      </c>
      <c r="B23" s="49" t="s">
        <v>158</v>
      </c>
      <c r="F23" s="57">
        <v>16784</v>
      </c>
      <c r="G23" s="57">
        <v>37579</v>
      </c>
      <c r="H23" s="347">
        <v>795943.47</v>
      </c>
      <c r="I23" s="167">
        <v>425033.81</v>
      </c>
      <c r="J23" s="347">
        <v>240725</v>
      </c>
      <c r="K23" s="348">
        <v>980252.28</v>
      </c>
    </row>
    <row r="24" spans="1:11">
      <c r="A24" s="45" t="s">
        <v>263</v>
      </c>
      <c r="B24" s="49" t="s">
        <v>159</v>
      </c>
      <c r="F24" s="57">
        <v>0</v>
      </c>
      <c r="G24" s="57">
        <v>0</v>
      </c>
      <c r="H24" s="347">
        <v>0</v>
      </c>
      <c r="I24" s="167">
        <v>0</v>
      </c>
      <c r="J24" s="347">
        <v>0</v>
      </c>
      <c r="K24" s="348">
        <v>0</v>
      </c>
    </row>
    <row r="25" spans="1:11">
      <c r="A25" s="45" t="s">
        <v>264</v>
      </c>
      <c r="B25" s="49" t="s">
        <v>160</v>
      </c>
      <c r="F25" s="57">
        <v>1965</v>
      </c>
      <c r="G25" s="57">
        <v>3526</v>
      </c>
      <c r="H25" s="347">
        <v>60473.78</v>
      </c>
      <c r="I25" s="167">
        <v>32293</v>
      </c>
      <c r="J25" s="347">
        <v>50</v>
      </c>
      <c r="K25" s="348">
        <v>92716.78</v>
      </c>
    </row>
    <row r="26" spans="1:11">
      <c r="A26" s="45" t="s">
        <v>265</v>
      </c>
      <c r="B26" s="49" t="s">
        <v>161</v>
      </c>
      <c r="F26" s="57">
        <v>1298</v>
      </c>
      <c r="G26" s="57">
        <v>5495</v>
      </c>
      <c r="H26" s="347">
        <v>112294.8</v>
      </c>
      <c r="I26" s="167">
        <v>59965.42</v>
      </c>
      <c r="J26" s="347">
        <v>48179</v>
      </c>
      <c r="K26" s="348">
        <v>124081.22</v>
      </c>
    </row>
    <row r="27" spans="1:11">
      <c r="A27" s="45" t="s">
        <v>266</v>
      </c>
      <c r="B27" s="49" t="s">
        <v>162</v>
      </c>
      <c r="F27" s="57">
        <v>0</v>
      </c>
      <c r="G27" s="57">
        <v>0</v>
      </c>
      <c r="H27" s="347">
        <v>240000</v>
      </c>
      <c r="I27" s="167">
        <v>0</v>
      </c>
      <c r="J27" s="347">
        <v>0</v>
      </c>
      <c r="K27" s="348">
        <v>240000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2546</v>
      </c>
      <c r="G29" s="57">
        <v>1917</v>
      </c>
      <c r="H29" s="347">
        <v>209693.52</v>
      </c>
      <c r="I29" s="167">
        <v>111976.34</v>
      </c>
      <c r="J29" s="347">
        <v>0</v>
      </c>
      <c r="K29" s="348">
        <v>321669.86</v>
      </c>
    </row>
    <row r="30" spans="1:11">
      <c r="A30" s="45" t="s">
        <v>269</v>
      </c>
      <c r="B30" s="814"/>
      <c r="C30" s="815"/>
      <c r="D30" s="816"/>
      <c r="F30" s="57"/>
      <c r="G30" s="57"/>
      <c r="H30" s="347"/>
      <c r="I30" s="167"/>
      <c r="J30" s="347"/>
      <c r="K30" s="348"/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332"/>
      <c r="C32" s="333"/>
      <c r="D32" s="334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332"/>
      <c r="C33" s="333"/>
      <c r="D33" s="334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23736</v>
      </c>
      <c r="G36" s="350">
        <f t="shared" si="0"/>
        <v>54480</v>
      </c>
      <c r="H36" s="348">
        <f t="shared" si="0"/>
        <v>1496402.06</v>
      </c>
      <c r="I36" s="348">
        <f t="shared" si="0"/>
        <v>670918.69999999995</v>
      </c>
      <c r="J36" s="348">
        <f t="shared" si="0"/>
        <v>309729.58999999997</v>
      </c>
      <c r="K36" s="348">
        <f t="shared" si="0"/>
        <v>1857591.17</v>
      </c>
    </row>
    <row r="37" spans="1:11" ht="13.5" thickBot="1">
      <c r="B37" s="43"/>
      <c r="F37" s="351"/>
      <c r="G37" s="351"/>
      <c r="H37" s="352"/>
      <c r="I37" s="352"/>
      <c r="J37" s="352"/>
      <c r="K37" s="353"/>
    </row>
    <row r="38" spans="1:11" ht="25.5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12</v>
      </c>
      <c r="G40" s="57">
        <v>5</v>
      </c>
      <c r="H40" s="347">
        <v>1077.54</v>
      </c>
      <c r="I40" s="167">
        <v>575.41</v>
      </c>
      <c r="J40" s="347">
        <v>0</v>
      </c>
      <c r="K40" s="348">
        <v>1652.95</v>
      </c>
    </row>
    <row r="41" spans="1:11">
      <c r="A41" s="45" t="s">
        <v>278</v>
      </c>
      <c r="B41" s="818" t="s">
        <v>172</v>
      </c>
      <c r="C41" s="818"/>
      <c r="F41" s="57">
        <v>1970</v>
      </c>
      <c r="G41" s="57">
        <v>332</v>
      </c>
      <c r="H41" s="347">
        <v>99684.35</v>
      </c>
      <c r="I41" s="167">
        <v>0</v>
      </c>
      <c r="J41" s="347">
        <v>0</v>
      </c>
      <c r="K41" s="348">
        <v>99684.35</v>
      </c>
    </row>
    <row r="42" spans="1:11">
      <c r="A42" s="45" t="s">
        <v>279</v>
      </c>
      <c r="B42" s="49" t="s">
        <v>174</v>
      </c>
      <c r="F42" s="57">
        <v>20228</v>
      </c>
      <c r="G42" s="57">
        <v>383</v>
      </c>
      <c r="H42" s="347">
        <v>1022641</v>
      </c>
      <c r="I42" s="167">
        <v>0</v>
      </c>
      <c r="J42" s="347">
        <v>36583.24</v>
      </c>
      <c r="K42" s="348">
        <v>986057.76</v>
      </c>
    </row>
    <row r="43" spans="1:11">
      <c r="A43" s="45" t="s">
        <v>280</v>
      </c>
      <c r="B43" s="49" t="s">
        <v>176</v>
      </c>
      <c r="F43" s="57">
        <v>11</v>
      </c>
      <c r="G43" s="57">
        <v>25</v>
      </c>
      <c r="H43" s="347">
        <v>32608.65</v>
      </c>
      <c r="I43" s="167">
        <v>0</v>
      </c>
      <c r="J43" s="347">
        <v>0</v>
      </c>
      <c r="K43" s="348">
        <v>32608.65</v>
      </c>
    </row>
    <row r="44" spans="1:11">
      <c r="A44" s="45" t="s">
        <v>281</v>
      </c>
      <c r="B44" s="814"/>
      <c r="C44" s="815"/>
      <c r="D44" s="816"/>
      <c r="F44" s="57"/>
      <c r="G44" s="57"/>
      <c r="H44" s="347"/>
      <c r="I44" s="167"/>
      <c r="J44" s="347"/>
      <c r="K44" s="354"/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1">SUM(F40:F47)</f>
        <v>22221</v>
      </c>
      <c r="G49" s="355">
        <f t="shared" si="1"/>
        <v>745</v>
      </c>
      <c r="H49" s="348">
        <f t="shared" si="1"/>
        <v>1156011.5399999998</v>
      </c>
      <c r="I49" s="348">
        <f t="shared" si="1"/>
        <v>575.41</v>
      </c>
      <c r="J49" s="348">
        <f t="shared" si="1"/>
        <v>36583.24</v>
      </c>
      <c r="K49" s="348">
        <f t="shared" si="1"/>
        <v>1120003.71</v>
      </c>
    </row>
    <row r="50" spans="1:11" ht="13.5" thickBot="1">
      <c r="G50" s="356"/>
      <c r="H50" s="352"/>
      <c r="I50" s="352"/>
      <c r="J50" s="352"/>
      <c r="K50" s="352"/>
    </row>
    <row r="51" spans="1:11" ht="25.5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947" t="s">
        <v>179</v>
      </c>
      <c r="C52" s="948"/>
      <c r="H52" s="384"/>
      <c r="I52" s="384"/>
      <c r="J52" s="384"/>
      <c r="K52" s="384"/>
    </row>
    <row r="53" spans="1:11">
      <c r="A53" s="45" t="s">
        <v>287</v>
      </c>
      <c r="B53" s="868" t="s">
        <v>480</v>
      </c>
      <c r="C53" s="868" t="s">
        <v>480</v>
      </c>
      <c r="D53" s="868" t="s">
        <v>480</v>
      </c>
      <c r="F53" s="57">
        <v>1619</v>
      </c>
      <c r="G53" s="57">
        <v>185</v>
      </c>
      <c r="H53" s="347">
        <v>80115</v>
      </c>
      <c r="I53" s="167">
        <v>59495</v>
      </c>
      <c r="J53" s="347">
        <v>18528</v>
      </c>
      <c r="K53" s="348">
        <v>121082</v>
      </c>
    </row>
    <row r="54" spans="1:11">
      <c r="A54" s="45" t="s">
        <v>289</v>
      </c>
      <c r="B54" s="335" t="s">
        <v>481</v>
      </c>
      <c r="C54" s="337"/>
      <c r="D54" s="338"/>
      <c r="F54" s="57">
        <v>520</v>
      </c>
      <c r="G54" s="57">
        <v>6305</v>
      </c>
      <c r="H54" s="347">
        <v>37674.089999999997</v>
      </c>
      <c r="I54" s="167">
        <v>0</v>
      </c>
      <c r="J54" s="347">
        <v>0</v>
      </c>
      <c r="K54" s="348">
        <v>37674.089999999997</v>
      </c>
    </row>
    <row r="55" spans="1:11">
      <c r="A55" s="45" t="s">
        <v>291</v>
      </c>
      <c r="B55" s="817" t="s">
        <v>482</v>
      </c>
      <c r="C55" s="864" t="s">
        <v>482</v>
      </c>
      <c r="D55" s="865" t="s">
        <v>482</v>
      </c>
      <c r="F55" s="57">
        <v>0</v>
      </c>
      <c r="G55" s="57">
        <v>0</v>
      </c>
      <c r="H55" s="347">
        <v>4789212</v>
      </c>
      <c r="I55" s="167">
        <v>0</v>
      </c>
      <c r="J55" s="347">
        <v>1157600</v>
      </c>
      <c r="K55" s="348">
        <v>3631612</v>
      </c>
    </row>
    <row r="56" spans="1:11">
      <c r="A56" s="45" t="s">
        <v>293</v>
      </c>
      <c r="B56" s="817" t="s">
        <v>483</v>
      </c>
      <c r="C56" s="864" t="s">
        <v>483</v>
      </c>
      <c r="D56" s="865" t="s">
        <v>483</v>
      </c>
      <c r="F56" s="57">
        <v>38668</v>
      </c>
      <c r="G56" s="57">
        <v>23021</v>
      </c>
      <c r="H56" s="347">
        <v>3924052</v>
      </c>
      <c r="I56" s="167">
        <v>749734</v>
      </c>
      <c r="J56" s="347">
        <v>2533100</v>
      </c>
      <c r="K56" s="348">
        <v>2140686</v>
      </c>
    </row>
    <row r="57" spans="1:11">
      <c r="A57" s="45" t="s">
        <v>295</v>
      </c>
      <c r="B57" s="817" t="s">
        <v>484</v>
      </c>
      <c r="C57" s="864" t="s">
        <v>484</v>
      </c>
      <c r="D57" s="865" t="s">
        <v>484</v>
      </c>
      <c r="F57" s="70">
        <v>0</v>
      </c>
      <c r="G57" s="57">
        <v>0</v>
      </c>
      <c r="H57" s="347">
        <v>40695.56</v>
      </c>
      <c r="I57" s="167">
        <v>0</v>
      </c>
      <c r="J57" s="347">
        <v>0</v>
      </c>
      <c r="K57" s="348">
        <v>40695.56</v>
      </c>
    </row>
    <row r="58" spans="1:11">
      <c r="A58" s="45" t="s">
        <v>298</v>
      </c>
      <c r="B58" s="335" t="s">
        <v>246</v>
      </c>
      <c r="C58" s="337"/>
      <c r="D58" s="338"/>
      <c r="F58" s="70">
        <v>186716</v>
      </c>
      <c r="G58" s="70">
        <v>53232</v>
      </c>
      <c r="H58" s="347">
        <v>20347413</v>
      </c>
      <c r="I58" s="167">
        <v>3942997</v>
      </c>
      <c r="J58" s="347">
        <v>11609679</v>
      </c>
      <c r="K58" s="348">
        <v>12680731</v>
      </c>
    </row>
    <row r="59" spans="1:11">
      <c r="A59" s="45" t="s">
        <v>300</v>
      </c>
      <c r="B59" s="817" t="s">
        <v>184</v>
      </c>
      <c r="C59" s="864" t="s">
        <v>184</v>
      </c>
      <c r="D59" s="865" t="s">
        <v>184</v>
      </c>
      <c r="F59" s="70"/>
      <c r="G59" s="70"/>
      <c r="H59" s="347"/>
      <c r="I59" s="167"/>
      <c r="J59" s="347"/>
      <c r="K59" s="348"/>
    </row>
    <row r="60" spans="1:11">
      <c r="A60" s="45" t="s">
        <v>302</v>
      </c>
      <c r="B60" s="335"/>
      <c r="C60" s="337"/>
      <c r="D60" s="338"/>
      <c r="F60" s="57"/>
      <c r="G60" s="57"/>
      <c r="H60" s="347"/>
      <c r="I60" s="167"/>
      <c r="J60" s="347"/>
      <c r="K60" s="348"/>
    </row>
    <row r="61" spans="1:11">
      <c r="A61" s="45" t="s">
        <v>303</v>
      </c>
      <c r="B61" s="335"/>
      <c r="C61" s="337"/>
      <c r="D61" s="338"/>
      <c r="F61" s="57"/>
      <c r="G61" s="57"/>
      <c r="H61" s="347"/>
      <c r="I61" s="167"/>
      <c r="J61" s="347"/>
      <c r="K61" s="348"/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/>
      <c r="J62" s="347"/>
      <c r="K62" s="348"/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SUM(F53:F62)</f>
        <v>227523</v>
      </c>
      <c r="G64" s="350">
        <f t="shared" si="2"/>
        <v>82743</v>
      </c>
      <c r="H64" s="348">
        <f t="shared" si="2"/>
        <v>29219161.649999999</v>
      </c>
      <c r="I64" s="348">
        <f t="shared" si="2"/>
        <v>4752226</v>
      </c>
      <c r="J64" s="348">
        <f t="shared" si="2"/>
        <v>15318907</v>
      </c>
      <c r="K64" s="348">
        <f t="shared" si="2"/>
        <v>18652480.649999999</v>
      </c>
    </row>
    <row r="65" spans="1:11">
      <c r="F65" s="358"/>
      <c r="G65" s="358"/>
      <c r="H65" s="394"/>
      <c r="I65" s="394"/>
      <c r="J65" s="394"/>
      <c r="K65" s="394"/>
    </row>
    <row r="66" spans="1:11" ht="25.5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16</v>
      </c>
      <c r="G68" s="362">
        <v>0</v>
      </c>
      <c r="H68" s="347">
        <v>1751.06</v>
      </c>
      <c r="I68" s="167">
        <v>0</v>
      </c>
      <c r="J68" s="347">
        <v>0</v>
      </c>
      <c r="K68" s="348">
        <v>1751.06</v>
      </c>
    </row>
    <row r="69" spans="1:11">
      <c r="A69" s="45" t="s">
        <v>307</v>
      </c>
      <c r="B69" s="49" t="s">
        <v>190</v>
      </c>
      <c r="F69" s="362">
        <v>0</v>
      </c>
      <c r="G69" s="362">
        <v>0</v>
      </c>
      <c r="H69" s="347">
        <v>0</v>
      </c>
      <c r="I69" s="167">
        <v>0</v>
      </c>
      <c r="J69" s="347">
        <v>0</v>
      </c>
      <c r="K69" s="348">
        <v>0</v>
      </c>
    </row>
    <row r="70" spans="1:11">
      <c r="A70" s="45" t="s">
        <v>308</v>
      </c>
      <c r="B70" s="335"/>
      <c r="C70" s="337"/>
      <c r="D70" s="338"/>
      <c r="E70" s="43"/>
      <c r="F70" s="364"/>
      <c r="G70" s="364"/>
      <c r="H70" s="363"/>
      <c r="I70" s="167"/>
      <c r="J70" s="363"/>
      <c r="K70" s="348"/>
    </row>
    <row r="71" spans="1:11">
      <c r="A71" s="45" t="s">
        <v>309</v>
      </c>
      <c r="B71" s="335"/>
      <c r="C71" s="337"/>
      <c r="D71" s="338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336"/>
      <c r="C72" s="339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3">SUM(F68:F72)</f>
        <v>16</v>
      </c>
      <c r="G74" s="368">
        <f t="shared" si="3"/>
        <v>0</v>
      </c>
      <c r="H74" s="354">
        <f t="shared" si="3"/>
        <v>1751.06</v>
      </c>
      <c r="I74" s="370">
        <f t="shared" si="3"/>
        <v>0</v>
      </c>
      <c r="J74" s="354">
        <f t="shared" si="3"/>
        <v>0</v>
      </c>
      <c r="K74" s="354">
        <f t="shared" si="3"/>
        <v>1751.06</v>
      </c>
    </row>
    <row r="75" spans="1:11" ht="25.5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0</v>
      </c>
      <c r="G77" s="57">
        <v>0</v>
      </c>
      <c r="H77" s="347">
        <v>106150</v>
      </c>
      <c r="I77" s="167">
        <v>0</v>
      </c>
      <c r="J77" s="347">
        <v>0</v>
      </c>
      <c r="K77" s="348">
        <v>106150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57">
        <v>4901</v>
      </c>
      <c r="G79" s="57">
        <v>10127</v>
      </c>
      <c r="H79" s="347">
        <v>93774.21</v>
      </c>
      <c r="I79" s="167">
        <v>0</v>
      </c>
      <c r="J79" s="347">
        <v>0</v>
      </c>
      <c r="K79" s="348">
        <v>93774.21</v>
      </c>
    </row>
    <row r="80" spans="1:11">
      <c r="A80" s="45" t="s">
        <v>315</v>
      </c>
      <c r="B80" s="49" t="s">
        <v>316</v>
      </c>
      <c r="F80" s="57">
        <v>0</v>
      </c>
      <c r="G80" s="57">
        <v>0</v>
      </c>
      <c r="H80" s="347">
        <v>0</v>
      </c>
      <c r="I80" s="167">
        <v>0</v>
      </c>
      <c r="J80" s="347">
        <v>0</v>
      </c>
      <c r="K80" s="348">
        <v>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4">SUM(F77:F80)</f>
        <v>4901</v>
      </c>
      <c r="G82" s="455">
        <f t="shared" si="4"/>
        <v>10127</v>
      </c>
      <c r="H82" s="354">
        <f t="shared" si="4"/>
        <v>199924.21000000002</v>
      </c>
      <c r="I82" s="354">
        <f t="shared" si="4"/>
        <v>0</v>
      </c>
      <c r="J82" s="354">
        <f t="shared" si="4"/>
        <v>0</v>
      </c>
      <c r="K82" s="354">
        <f t="shared" si="4"/>
        <v>199924.21000000002</v>
      </c>
    </row>
    <row r="83" spans="1:11" ht="13.5" thickBot="1">
      <c r="A83" s="45"/>
      <c r="F83" s="356"/>
      <c r="G83" s="356"/>
      <c r="H83" s="352"/>
      <c r="I83" s="352"/>
      <c r="J83" s="352"/>
      <c r="K83" s="352"/>
    </row>
    <row r="84" spans="1:11" ht="25.5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3</v>
      </c>
      <c r="G87" s="57">
        <v>0</v>
      </c>
      <c r="H87" s="347">
        <v>391.51</v>
      </c>
      <c r="I87" s="167">
        <v>209.07</v>
      </c>
      <c r="J87" s="347">
        <v>0</v>
      </c>
      <c r="K87" s="348">
        <v>600.58000000000004</v>
      </c>
    </row>
    <row r="88" spans="1:11">
      <c r="A88" s="45" t="s">
        <v>321</v>
      </c>
      <c r="B88" s="49" t="s">
        <v>208</v>
      </c>
      <c r="F88" s="57">
        <v>183</v>
      </c>
      <c r="G88" s="57">
        <v>59</v>
      </c>
      <c r="H88" s="347">
        <v>9055.57</v>
      </c>
      <c r="I88" s="167">
        <v>4835.67</v>
      </c>
      <c r="J88" s="347">
        <v>0</v>
      </c>
      <c r="K88" s="348">
        <v>13891.24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98586.11</v>
      </c>
      <c r="I89" s="167">
        <v>52644.98</v>
      </c>
      <c r="J89" s="347">
        <v>0</v>
      </c>
      <c r="K89" s="348">
        <v>151231.09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678</v>
      </c>
      <c r="G91" s="57">
        <v>15</v>
      </c>
      <c r="H91" s="347">
        <v>48818.87</v>
      </c>
      <c r="I91" s="167">
        <v>26069.279999999999</v>
      </c>
      <c r="J91" s="347">
        <v>0</v>
      </c>
      <c r="K91" s="348">
        <v>74888.149999999994</v>
      </c>
    </row>
    <row r="92" spans="1:11">
      <c r="A92" s="45" t="s">
        <v>325</v>
      </c>
      <c r="B92" s="49" t="s">
        <v>216</v>
      </c>
      <c r="F92" s="372">
        <v>0</v>
      </c>
      <c r="G92" s="372">
        <v>0</v>
      </c>
      <c r="H92" s="373">
        <v>0</v>
      </c>
      <c r="I92" s="167">
        <v>0</v>
      </c>
      <c r="J92" s="373">
        <v>0</v>
      </c>
      <c r="K92" s="348">
        <v>0</v>
      </c>
    </row>
    <row r="93" spans="1:11">
      <c r="A93" s="45" t="s">
        <v>326</v>
      </c>
      <c r="B93" s="49" t="s">
        <v>218</v>
      </c>
      <c r="F93" s="57">
        <v>32</v>
      </c>
      <c r="G93" s="57">
        <v>513</v>
      </c>
      <c r="H93" s="347">
        <v>1695.03</v>
      </c>
      <c r="I93" s="167">
        <v>905.15</v>
      </c>
      <c r="J93" s="347">
        <v>0</v>
      </c>
      <c r="K93" s="348">
        <v>2600.1799999999998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896</v>
      </c>
      <c r="G98" s="350">
        <f t="shared" si="5"/>
        <v>587</v>
      </c>
      <c r="H98" s="348">
        <f t="shared" si="5"/>
        <v>158547.09</v>
      </c>
      <c r="I98" s="348">
        <f t="shared" si="5"/>
        <v>84664.15</v>
      </c>
      <c r="J98" s="348">
        <f t="shared" si="5"/>
        <v>0</v>
      </c>
      <c r="K98" s="348">
        <f t="shared" si="5"/>
        <v>243211.24</v>
      </c>
    </row>
    <row r="99" spans="1:11" ht="13.5" thickBot="1">
      <c r="B99" s="43"/>
      <c r="F99" s="356"/>
      <c r="G99" s="356"/>
      <c r="H99" s="352"/>
      <c r="I99" s="352"/>
      <c r="J99" s="352"/>
      <c r="K99" s="352"/>
    </row>
    <row r="100" spans="1:11" ht="25.5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34</v>
      </c>
      <c r="G102" s="57">
        <v>0</v>
      </c>
      <c r="H102" s="347">
        <v>2610.4299999999998</v>
      </c>
      <c r="I102" s="167">
        <v>1393.97</v>
      </c>
      <c r="J102" s="347">
        <v>0</v>
      </c>
      <c r="K102" s="348">
        <v>4004.4</v>
      </c>
    </row>
    <row r="103" spans="1:11">
      <c r="A103" s="45" t="s">
        <v>333</v>
      </c>
      <c r="B103" s="818" t="s">
        <v>226</v>
      </c>
      <c r="C103" s="818"/>
      <c r="F103" s="57">
        <v>72</v>
      </c>
      <c r="G103" s="57">
        <v>0</v>
      </c>
      <c r="H103" s="347">
        <v>4619.01</v>
      </c>
      <c r="I103" s="167">
        <v>2466.5500000000002</v>
      </c>
      <c r="J103" s="347">
        <v>0</v>
      </c>
      <c r="K103" s="348">
        <v>7085.56</v>
      </c>
    </row>
    <row r="104" spans="1:11">
      <c r="A104" s="45" t="s">
        <v>334</v>
      </c>
      <c r="B104" s="817"/>
      <c r="C104" s="864"/>
      <c r="D104" s="865"/>
      <c r="F104" s="57"/>
      <c r="G104" s="57"/>
      <c r="H104" s="347"/>
      <c r="I104" s="167"/>
      <c r="J104" s="347"/>
      <c r="K104" s="348"/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/>
      <c r="J105" s="347"/>
      <c r="K105" s="348"/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106</v>
      </c>
      <c r="G108" s="350">
        <f t="shared" si="6"/>
        <v>0</v>
      </c>
      <c r="H108" s="348">
        <f t="shared" si="6"/>
        <v>7229.4400000000005</v>
      </c>
      <c r="I108" s="348">
        <f t="shared" si="6"/>
        <v>3860.5200000000004</v>
      </c>
      <c r="J108" s="348">
        <f t="shared" si="6"/>
        <v>0</v>
      </c>
      <c r="K108" s="348">
        <f t="shared" si="6"/>
        <v>11089.960000000001</v>
      </c>
    </row>
    <row r="109" spans="1:11" ht="13.5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16680700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53.4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359679893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6444475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f>SUM(F117:F118)</f>
        <v>366124368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369259350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-3134982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13854411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10719429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5.5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  <c r="H138" s="384"/>
      <c r="I138" s="384"/>
      <c r="J138" s="384"/>
      <c r="K138" s="384"/>
    </row>
    <row r="139" spans="1:11" ht="25.5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8">F36</f>
        <v>23736</v>
      </c>
      <c r="G141" s="377">
        <f t="shared" si="8"/>
        <v>54480</v>
      </c>
      <c r="H141" s="380">
        <f t="shared" si="8"/>
        <v>1496402.06</v>
      </c>
      <c r="I141" s="380">
        <f t="shared" si="8"/>
        <v>670918.69999999995</v>
      </c>
      <c r="J141" s="380">
        <f t="shared" si="8"/>
        <v>309729.58999999997</v>
      </c>
      <c r="K141" s="380">
        <f t="shared" si="8"/>
        <v>1857591.17</v>
      </c>
    </row>
    <row r="142" spans="1:11">
      <c r="A142" s="45" t="s">
        <v>286</v>
      </c>
      <c r="B142" s="43" t="s">
        <v>125</v>
      </c>
      <c r="F142" s="456">
        <f t="shared" ref="F142:K142" si="9">F49</f>
        <v>22221</v>
      </c>
      <c r="G142" s="456">
        <f t="shared" si="9"/>
        <v>745</v>
      </c>
      <c r="H142" s="380">
        <f t="shared" si="9"/>
        <v>1156011.5399999998</v>
      </c>
      <c r="I142" s="380">
        <f t="shared" si="9"/>
        <v>575.41</v>
      </c>
      <c r="J142" s="380">
        <f t="shared" si="9"/>
        <v>36583.24</v>
      </c>
      <c r="K142" s="380">
        <f t="shared" si="9"/>
        <v>1120003.71</v>
      </c>
    </row>
    <row r="143" spans="1:11">
      <c r="A143" s="45" t="s">
        <v>305</v>
      </c>
      <c r="B143" s="43" t="s">
        <v>247</v>
      </c>
      <c r="F143" s="377">
        <f t="shared" ref="F143:K143" si="10">F64</f>
        <v>227523</v>
      </c>
      <c r="G143" s="377">
        <f t="shared" si="10"/>
        <v>82743</v>
      </c>
      <c r="H143" s="380">
        <f t="shared" si="10"/>
        <v>29219161.649999999</v>
      </c>
      <c r="I143" s="380">
        <f t="shared" si="10"/>
        <v>4752226</v>
      </c>
      <c r="J143" s="380">
        <f t="shared" si="10"/>
        <v>15318907</v>
      </c>
      <c r="K143" s="380">
        <f t="shared" si="10"/>
        <v>18652480.649999999</v>
      </c>
    </row>
    <row r="144" spans="1:11">
      <c r="A144" s="45" t="s">
        <v>311</v>
      </c>
      <c r="B144" s="43" t="s">
        <v>127</v>
      </c>
      <c r="F144" s="377">
        <f t="shared" ref="F144:K144" si="11">F74</f>
        <v>16</v>
      </c>
      <c r="G144" s="377">
        <f t="shared" si="11"/>
        <v>0</v>
      </c>
      <c r="H144" s="380">
        <f t="shared" si="11"/>
        <v>1751.06</v>
      </c>
      <c r="I144" s="380">
        <f t="shared" si="11"/>
        <v>0</v>
      </c>
      <c r="J144" s="380">
        <f t="shared" si="11"/>
        <v>0</v>
      </c>
      <c r="K144" s="380">
        <f t="shared" si="11"/>
        <v>1751.06</v>
      </c>
    </row>
    <row r="145" spans="1:11">
      <c r="A145" s="45" t="s">
        <v>317</v>
      </c>
      <c r="B145" s="43" t="s">
        <v>248</v>
      </c>
      <c r="F145" s="377">
        <f t="shared" ref="F145:K145" si="12">F82</f>
        <v>4901</v>
      </c>
      <c r="G145" s="377">
        <f t="shared" si="12"/>
        <v>10127</v>
      </c>
      <c r="H145" s="380">
        <f t="shared" si="12"/>
        <v>199924.21000000002</v>
      </c>
      <c r="I145" s="380">
        <f t="shared" si="12"/>
        <v>0</v>
      </c>
      <c r="J145" s="380">
        <f t="shared" si="12"/>
        <v>0</v>
      </c>
      <c r="K145" s="380">
        <f t="shared" si="12"/>
        <v>199924.21000000002</v>
      </c>
    </row>
    <row r="146" spans="1:11">
      <c r="A146" s="45" t="s">
        <v>331</v>
      </c>
      <c r="B146" s="43" t="s">
        <v>249</v>
      </c>
      <c r="F146" s="377">
        <f t="shared" ref="F146:K146" si="13">F98</f>
        <v>896</v>
      </c>
      <c r="G146" s="377">
        <f t="shared" si="13"/>
        <v>587</v>
      </c>
      <c r="H146" s="380">
        <f t="shared" si="13"/>
        <v>158547.09</v>
      </c>
      <c r="I146" s="380">
        <f t="shared" si="13"/>
        <v>84664.15</v>
      </c>
      <c r="J146" s="380">
        <f t="shared" si="13"/>
        <v>0</v>
      </c>
      <c r="K146" s="380">
        <f t="shared" si="13"/>
        <v>243211.24</v>
      </c>
    </row>
    <row r="147" spans="1:11">
      <c r="A147" s="45" t="s">
        <v>338</v>
      </c>
      <c r="B147" s="43" t="s">
        <v>129</v>
      </c>
      <c r="F147" s="350">
        <f t="shared" ref="F147:K147" si="14">F108</f>
        <v>106</v>
      </c>
      <c r="G147" s="350">
        <f t="shared" si="14"/>
        <v>0</v>
      </c>
      <c r="H147" s="348">
        <f t="shared" si="14"/>
        <v>7229.4400000000005</v>
      </c>
      <c r="I147" s="348">
        <f t="shared" si="14"/>
        <v>3860.5200000000004</v>
      </c>
      <c r="J147" s="348">
        <f t="shared" si="14"/>
        <v>0</v>
      </c>
      <c r="K147" s="348">
        <f t="shared" si="14"/>
        <v>11089.960000000001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16680700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11282030</v>
      </c>
      <c r="I150" s="348">
        <f>I18</f>
        <v>0</v>
      </c>
      <c r="J150" s="348">
        <f>J18</f>
        <v>9647547</v>
      </c>
      <c r="K150" s="348">
        <f>K18</f>
        <v>1634483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279399</v>
      </c>
      <c r="G152" s="381">
        <f t="shared" si="16"/>
        <v>148682</v>
      </c>
      <c r="H152" s="457">
        <f t="shared" si="16"/>
        <v>43521057.049999997</v>
      </c>
      <c r="I152" s="457">
        <f t="shared" si="16"/>
        <v>5512244.7800000003</v>
      </c>
      <c r="J152" s="457">
        <f t="shared" si="16"/>
        <v>25312766.829999998</v>
      </c>
      <c r="K152" s="457">
        <f t="shared" si="16"/>
        <v>40401235</v>
      </c>
    </row>
    <row r="154" spans="1:11">
      <c r="A154" s="48" t="s">
        <v>361</v>
      </c>
      <c r="B154" s="43" t="s">
        <v>252</v>
      </c>
      <c r="F154" s="459">
        <f>K152/F121</f>
        <v>0.10941154232113554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3.7689726756900952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C11:G11"/>
    <mergeCell ref="D2:H2"/>
    <mergeCell ref="C5:G5"/>
    <mergeCell ref="C6:G6"/>
    <mergeCell ref="C7:G7"/>
    <mergeCell ref="C9:G9"/>
    <mergeCell ref="C10:G10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90:C90"/>
    <mergeCell ref="B94:D94"/>
    <mergeCell ref="B95:D95"/>
    <mergeCell ref="B96:D96"/>
    <mergeCell ref="B134:D134"/>
    <mergeCell ref="B135:D135"/>
    <mergeCell ref="B103:C103"/>
    <mergeCell ref="B104:D104"/>
    <mergeCell ref="B105:D105"/>
    <mergeCell ref="B106:D106"/>
    <mergeCell ref="B133:D13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topLeftCell="C2" workbookViewId="0">
      <selection activeCell="B43" sqref="B43"/>
    </sheetView>
  </sheetViews>
  <sheetFormatPr defaultRowHeight="12.75"/>
  <cols>
    <col min="1" max="1" width="8.28515625" style="39" customWidth="1"/>
    <col min="2" max="2" width="55.42578125" style="40" bestFit="1" customWidth="1"/>
    <col min="3" max="3" width="9.5703125" style="40" customWidth="1"/>
    <col min="4" max="4" width="9.140625" style="40"/>
    <col min="5" max="5" width="12.42578125" style="40" customWidth="1"/>
    <col min="6" max="6" width="18.5703125" style="40" customWidth="1"/>
    <col min="7" max="7" width="23.5703125" style="40" customWidth="1"/>
    <col min="8" max="8" width="17.140625" style="40" customWidth="1"/>
    <col min="9" max="9" width="21.140625" style="40" customWidth="1"/>
    <col min="10" max="10" width="19.85546875" style="40" customWidth="1"/>
    <col min="11" max="11" width="17.5703125" style="40" customWidth="1"/>
    <col min="12" max="16384" width="9.14062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485</v>
      </c>
      <c r="D5" s="827"/>
      <c r="E5" s="827"/>
      <c r="F5" s="827"/>
      <c r="G5" s="828"/>
    </row>
    <row r="6" spans="1:11" ht="18" customHeight="1">
      <c r="B6" s="45" t="s">
        <v>136</v>
      </c>
      <c r="C6" s="847" t="s">
        <v>486</v>
      </c>
      <c r="D6" s="830"/>
      <c r="E6" s="830"/>
      <c r="F6" s="830"/>
      <c r="G6" s="831"/>
    </row>
    <row r="7" spans="1:11" ht="18" customHeight="1">
      <c r="B7" s="45" t="s">
        <v>137</v>
      </c>
      <c r="C7" s="832"/>
      <c r="D7" s="833"/>
      <c r="E7" s="833"/>
      <c r="F7" s="833"/>
      <c r="G7" s="834"/>
    </row>
    <row r="9" spans="1:11" ht="18" customHeight="1">
      <c r="B9" s="45" t="s">
        <v>138</v>
      </c>
      <c r="C9" s="843" t="s">
        <v>487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488</v>
      </c>
      <c r="D10" s="836"/>
      <c r="E10" s="836"/>
      <c r="F10" s="836"/>
      <c r="G10" s="837"/>
    </row>
    <row r="11" spans="1:11" ht="18" customHeight="1">
      <c r="B11" s="45" t="s">
        <v>142</v>
      </c>
      <c r="C11" s="848" t="s">
        <v>489</v>
      </c>
      <c r="D11" s="836"/>
      <c r="E11" s="836"/>
      <c r="F11" s="836"/>
      <c r="G11" s="837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7656768</v>
      </c>
      <c r="I18" s="52">
        <v>0</v>
      </c>
      <c r="J18" s="51">
        <f>+H18-1109275</f>
        <v>6547493</v>
      </c>
      <c r="K18" s="53">
        <f>(H18+I18)-J18</f>
        <v>1109275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10839.7</v>
      </c>
      <c r="G21" s="50">
        <v>56421.453888888893</v>
      </c>
      <c r="H21" s="51">
        <v>916943.58255753713</v>
      </c>
      <c r="I21" s="52">
        <f t="shared" ref="I21:I34" si="0">H21*F$114</f>
        <v>565482.20481725119</v>
      </c>
      <c r="J21" s="51">
        <v>228512.36</v>
      </c>
      <c r="K21" s="53">
        <f t="shared" ref="K21:K34" si="1">(H21+I21)-J21</f>
        <v>1253913.4273747886</v>
      </c>
    </row>
    <row r="22" spans="1:11" ht="18" customHeight="1">
      <c r="A22" s="45" t="s">
        <v>261</v>
      </c>
      <c r="B22" s="40" t="s">
        <v>157</v>
      </c>
      <c r="F22" s="50">
        <v>677.49999999999807</v>
      </c>
      <c r="G22" s="50">
        <v>2641.9444444444443</v>
      </c>
      <c r="H22" s="51">
        <v>74059.206959999996</v>
      </c>
      <c r="I22" s="52">
        <f t="shared" si="0"/>
        <v>45672.563105735077</v>
      </c>
      <c r="J22" s="51">
        <v>0</v>
      </c>
      <c r="K22" s="53">
        <f t="shared" si="1"/>
        <v>119731.77006573507</v>
      </c>
    </row>
    <row r="23" spans="1:11" ht="18" customHeight="1">
      <c r="A23" s="45" t="s">
        <v>262</v>
      </c>
      <c r="B23" s="40" t="s">
        <v>158</v>
      </c>
      <c r="F23" s="50">
        <v>36</v>
      </c>
      <c r="G23" s="50">
        <v>48857.000000000015</v>
      </c>
      <c r="H23" s="51">
        <v>3357.3290399999996</v>
      </c>
      <c r="I23" s="52">
        <f t="shared" si="0"/>
        <v>2070.4761600935858</v>
      </c>
      <c r="J23" s="51">
        <v>0</v>
      </c>
      <c r="K23" s="53">
        <f t="shared" si="1"/>
        <v>5427.8052000935859</v>
      </c>
    </row>
    <row r="24" spans="1:11" ht="18" customHeight="1">
      <c r="A24" s="45" t="s">
        <v>263</v>
      </c>
      <c r="B24" s="40" t="s">
        <v>159</v>
      </c>
      <c r="F24" s="50">
        <v>3206.5199999999977</v>
      </c>
      <c r="G24" s="50">
        <v>3316.666666666667</v>
      </c>
      <c r="H24" s="51">
        <v>320800.90127628401</v>
      </c>
      <c r="I24" s="52">
        <f t="shared" si="0"/>
        <v>197838.9994890349</v>
      </c>
      <c r="J24" s="51">
        <v>80364.524000000005</v>
      </c>
      <c r="K24" s="53">
        <f t="shared" si="1"/>
        <v>438275.37676531891</v>
      </c>
    </row>
    <row r="25" spans="1:11" ht="18" customHeight="1">
      <c r="A25" s="45" t="s">
        <v>264</v>
      </c>
      <c r="B25" s="40" t="s">
        <v>160</v>
      </c>
      <c r="F25" s="50">
        <v>1590.64</v>
      </c>
      <c r="G25" s="50">
        <v>7263</v>
      </c>
      <c r="H25" s="51">
        <v>126587.89188</v>
      </c>
      <c r="I25" s="52">
        <f t="shared" si="0"/>
        <v>78067.180538862056</v>
      </c>
      <c r="J25" s="51">
        <v>60273.392999999996</v>
      </c>
      <c r="K25" s="53">
        <f t="shared" si="1"/>
        <v>144381.67941886204</v>
      </c>
    </row>
    <row r="26" spans="1:11" ht="18" customHeight="1">
      <c r="A26" s="45" t="s">
        <v>265</v>
      </c>
      <c r="B26" s="40" t="s">
        <v>161</v>
      </c>
      <c r="F26" s="50">
        <v>120</v>
      </c>
      <c r="G26" s="50">
        <v>324</v>
      </c>
      <c r="H26" s="51">
        <v>27810.294959999996</v>
      </c>
      <c r="I26" s="52">
        <f t="shared" si="0"/>
        <v>17150.702845572381</v>
      </c>
      <c r="J26" s="51">
        <v>0</v>
      </c>
      <c r="K26" s="53">
        <f t="shared" si="1"/>
        <v>44960.997805572377</v>
      </c>
    </row>
    <row r="27" spans="1:11" ht="18" customHeight="1">
      <c r="A27" s="45" t="s">
        <v>266</v>
      </c>
      <c r="B27" s="40" t="s">
        <v>162</v>
      </c>
      <c r="F27" s="50">
        <v>0</v>
      </c>
      <c r="G27" s="50">
        <v>0</v>
      </c>
      <c r="H27" s="51">
        <v>0</v>
      </c>
      <c r="I27" s="52">
        <f t="shared" si="0"/>
        <v>0</v>
      </c>
      <c r="J27" s="51">
        <v>0</v>
      </c>
      <c r="K27" s="53">
        <f t="shared" si="1"/>
        <v>0</v>
      </c>
    </row>
    <row r="28" spans="1:11" ht="18" customHeight="1">
      <c r="A28" s="45" t="s">
        <v>267</v>
      </c>
      <c r="B28" s="40" t="s">
        <v>163</v>
      </c>
      <c r="F28" s="50">
        <v>0</v>
      </c>
      <c r="G28" s="50">
        <v>0</v>
      </c>
      <c r="H28" s="51">
        <v>0</v>
      </c>
      <c r="I28" s="52">
        <f t="shared" si="0"/>
        <v>0</v>
      </c>
      <c r="J28" s="51">
        <v>0</v>
      </c>
      <c r="K28" s="53">
        <f t="shared" si="1"/>
        <v>0</v>
      </c>
    </row>
    <row r="29" spans="1:11" ht="18" customHeight="1">
      <c r="A29" s="45" t="s">
        <v>268</v>
      </c>
      <c r="B29" s="40" t="s">
        <v>165</v>
      </c>
      <c r="F29" s="50">
        <v>15354.75</v>
      </c>
      <c r="G29" s="50">
        <v>1516</v>
      </c>
      <c r="H29" s="51">
        <v>381681.67031535017</v>
      </c>
      <c r="I29" s="52">
        <f t="shared" si="0"/>
        <v>235384.37541189953</v>
      </c>
      <c r="J29" s="51">
        <v>0</v>
      </c>
      <c r="K29" s="53">
        <f t="shared" si="1"/>
        <v>617066.0457272497</v>
      </c>
    </row>
    <row r="30" spans="1:11" ht="18" customHeight="1">
      <c r="A30" s="45" t="s">
        <v>269</v>
      </c>
      <c r="B30" s="817" t="s">
        <v>490</v>
      </c>
      <c r="C30" s="812"/>
      <c r="D30" s="813"/>
      <c r="F30" s="50">
        <v>0</v>
      </c>
      <c r="G30" s="50">
        <v>0</v>
      </c>
      <c r="H30" s="51">
        <v>34325</v>
      </c>
      <c r="I30" s="52">
        <f t="shared" si="0"/>
        <v>21168.343450546134</v>
      </c>
      <c r="J30" s="51">
        <v>0</v>
      </c>
      <c r="K30" s="53">
        <f t="shared" si="1"/>
        <v>55493.343450546134</v>
      </c>
    </row>
    <row r="31" spans="1:11" ht="18" customHeight="1">
      <c r="A31" s="45" t="s">
        <v>270</v>
      </c>
      <c r="B31" s="811"/>
      <c r="C31" s="812"/>
      <c r="D31" s="813"/>
      <c r="F31" s="50"/>
      <c r="G31" s="50"/>
      <c r="H31" s="51"/>
      <c r="I31" s="52">
        <f t="shared" si="0"/>
        <v>0</v>
      </c>
      <c r="J31" s="51"/>
      <c r="K31" s="53">
        <f t="shared" si="1"/>
        <v>0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0"/>
        <v>0</v>
      </c>
      <c r="J32" s="51"/>
      <c r="K32" s="53">
        <f t="shared" si="1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0"/>
        <v>0</v>
      </c>
      <c r="J33" s="51"/>
      <c r="K33" s="53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0"/>
        <v>0</v>
      </c>
      <c r="J34" s="51"/>
      <c r="K34" s="53">
        <f t="shared" si="1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31825.109999999997</v>
      </c>
      <c r="G36" s="59">
        <f t="shared" si="2"/>
        <v>120340.06500000002</v>
      </c>
      <c r="H36" s="59">
        <f t="shared" si="2"/>
        <v>1885565.8769891714</v>
      </c>
      <c r="I36" s="53">
        <f t="shared" si="2"/>
        <v>1162834.8458189948</v>
      </c>
      <c r="J36" s="53">
        <f t="shared" si="2"/>
        <v>369150.27699999994</v>
      </c>
      <c r="K36" s="53">
        <f t="shared" si="2"/>
        <v>2679250.4458081666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>
        <v>1661</v>
      </c>
      <c r="G40" s="50">
        <v>7867</v>
      </c>
      <c r="H40" s="51">
        <v>153728.60958213368</v>
      </c>
      <c r="I40" s="52">
        <f>+H40*'[11]Indirect Cost Ratio'!$E$23</f>
        <v>31944.538566180836</v>
      </c>
      <c r="J40" s="51">
        <v>0</v>
      </c>
      <c r="K40" s="53">
        <f t="shared" ref="K40:K47" si="3">(H40+I40)-J40</f>
        <v>185673.1481483145</v>
      </c>
    </row>
    <row r="41" spans="1:11" ht="18" customHeight="1">
      <c r="A41" s="45" t="s">
        <v>278</v>
      </c>
      <c r="B41" s="818" t="s">
        <v>172</v>
      </c>
      <c r="C41" s="819"/>
      <c r="F41" s="50">
        <v>16575.5</v>
      </c>
      <c r="G41" s="50">
        <v>4038.25</v>
      </c>
      <c r="H41" s="51">
        <v>2397782.9654986644</v>
      </c>
      <c r="I41" s="52">
        <f>(H41-1252579)*F$114</f>
        <v>706251.15404524724</v>
      </c>
      <c r="J41" s="51">
        <v>0</v>
      </c>
      <c r="K41" s="53">
        <f t="shared" si="3"/>
        <v>3104034.1195439119</v>
      </c>
    </row>
    <row r="42" spans="1:11" ht="18" customHeight="1">
      <c r="A42" s="45" t="s">
        <v>279</v>
      </c>
      <c r="B42" s="49" t="s">
        <v>174</v>
      </c>
      <c r="F42" s="50">
        <v>10647.5</v>
      </c>
      <c r="G42" s="50">
        <v>1508.125</v>
      </c>
      <c r="H42" s="51">
        <v>650541.98851472954</v>
      </c>
      <c r="I42" s="52">
        <f>+H42*'[11]Indirect Cost Ratio'!$E$23</f>
        <v>135181.49742924588</v>
      </c>
      <c r="J42" s="51">
        <v>0</v>
      </c>
      <c r="K42" s="53">
        <f t="shared" si="3"/>
        <v>785723.48594397539</v>
      </c>
    </row>
    <row r="43" spans="1:11" ht="18" customHeight="1">
      <c r="A43" s="45" t="s">
        <v>280</v>
      </c>
      <c r="B43" s="49" t="s">
        <v>176</v>
      </c>
      <c r="F43" s="50">
        <v>0</v>
      </c>
      <c r="G43" s="50">
        <v>0</v>
      </c>
      <c r="H43" s="51">
        <v>0</v>
      </c>
      <c r="I43" s="52">
        <v>0</v>
      </c>
      <c r="J43" s="51">
        <v>0</v>
      </c>
      <c r="K43" s="53">
        <f t="shared" si="3"/>
        <v>0</v>
      </c>
    </row>
    <row r="44" spans="1:11" ht="18" customHeight="1">
      <c r="A44" s="45" t="s">
        <v>281</v>
      </c>
      <c r="B44" s="811" t="s">
        <v>491</v>
      </c>
      <c r="C44" s="812"/>
      <c r="D44" s="813"/>
      <c r="F44" s="50">
        <v>5501.5</v>
      </c>
      <c r="G44" s="50">
        <v>711.125</v>
      </c>
      <c r="H44" s="63">
        <v>352569.04833483824</v>
      </c>
      <c r="I44" s="52">
        <f>+H44*'[11]Indirect Cost Ratio'!$E$23</f>
        <v>73263.237027825569</v>
      </c>
      <c r="J44" s="63">
        <v>0</v>
      </c>
      <c r="K44" s="63">
        <f t="shared" si="3"/>
        <v>425832.2853626638</v>
      </c>
    </row>
    <row r="45" spans="1:11" ht="18" customHeight="1">
      <c r="A45" s="45" t="s">
        <v>283</v>
      </c>
      <c r="B45" s="811" t="s">
        <v>492</v>
      </c>
      <c r="C45" s="812"/>
      <c r="D45" s="813"/>
      <c r="F45" s="50">
        <v>2084</v>
      </c>
      <c r="G45" s="50">
        <v>243</v>
      </c>
      <c r="H45" s="51">
        <v>50446.080000000016</v>
      </c>
      <c r="I45" s="52">
        <f>+H45*'[11]Indirect Cost Ratio'!$E$23</f>
        <v>10482.607970324932</v>
      </c>
      <c r="J45" s="51">
        <v>0</v>
      </c>
      <c r="K45" s="53">
        <f t="shared" si="3"/>
        <v>60928.687970324951</v>
      </c>
    </row>
    <row r="46" spans="1:11" ht="18" customHeight="1">
      <c r="A46" s="45" t="s">
        <v>284</v>
      </c>
      <c r="B46" s="811" t="s">
        <v>493</v>
      </c>
      <c r="C46" s="812"/>
      <c r="D46" s="813"/>
      <c r="F46" s="50">
        <v>3128.5714285714284</v>
      </c>
      <c r="G46" s="50">
        <v>504</v>
      </c>
      <c r="H46" s="51">
        <v>161830.23771428573</v>
      </c>
      <c r="I46" s="52">
        <f>+H46*'[11]Indirect Cost Ratio'!$E$23</f>
        <v>33628.042847003169</v>
      </c>
      <c r="J46" s="51">
        <v>0</v>
      </c>
      <c r="K46" s="53">
        <f t="shared" si="3"/>
        <v>195458.28056128891</v>
      </c>
    </row>
    <row r="47" spans="1:11" ht="18" customHeight="1">
      <c r="A47" s="45" t="s">
        <v>285</v>
      </c>
      <c r="B47" s="811"/>
      <c r="C47" s="812"/>
      <c r="D47" s="813"/>
      <c r="F47" s="50"/>
      <c r="G47" s="50"/>
      <c r="H47" s="51"/>
      <c r="I47" s="52">
        <v>0</v>
      </c>
      <c r="J47" s="51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39598.071428571428</v>
      </c>
      <c r="G49" s="64">
        <f t="shared" si="4"/>
        <v>14871.5</v>
      </c>
      <c r="H49" s="53">
        <f t="shared" si="4"/>
        <v>3766898.9296446517</v>
      </c>
      <c r="I49" s="53">
        <f t="shared" si="4"/>
        <v>990751.07788582763</v>
      </c>
      <c r="J49" s="53">
        <f t="shared" si="4"/>
        <v>0</v>
      </c>
      <c r="K49" s="53">
        <f t="shared" si="4"/>
        <v>4757650.0075304797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46" t="s">
        <v>494</v>
      </c>
      <c r="C53" s="823"/>
      <c r="D53" s="813"/>
      <c r="F53" s="50">
        <v>0</v>
      </c>
      <c r="G53" s="50">
        <v>0</v>
      </c>
      <c r="H53" s="51">
        <v>1537500.56</v>
      </c>
      <c r="I53" s="52">
        <v>0</v>
      </c>
      <c r="J53" s="51">
        <v>700000</v>
      </c>
      <c r="K53" s="53">
        <f t="shared" ref="K53:K62" si="5">(H53+I53)-J53</f>
        <v>837500.56</v>
      </c>
    </row>
    <row r="54" spans="1:11" ht="18" customHeight="1">
      <c r="A54" s="45" t="s">
        <v>289</v>
      </c>
      <c r="B54" s="104" t="s">
        <v>495</v>
      </c>
      <c r="C54" s="105"/>
      <c r="D54" s="106"/>
      <c r="F54" s="50">
        <v>4326.4000000000005</v>
      </c>
      <c r="G54" s="50">
        <v>43325.5</v>
      </c>
      <c r="H54" s="51">
        <v>225310.21</v>
      </c>
      <c r="I54" s="52">
        <v>0</v>
      </c>
      <c r="J54" s="51">
        <v>0</v>
      </c>
      <c r="K54" s="53">
        <f t="shared" si="5"/>
        <v>225310.21</v>
      </c>
    </row>
    <row r="55" spans="1:11" ht="18" customHeight="1">
      <c r="A55" s="45" t="s">
        <v>291</v>
      </c>
      <c r="B55" s="811" t="s">
        <v>496</v>
      </c>
      <c r="C55" s="812"/>
      <c r="D55" s="813"/>
      <c r="F55" s="50">
        <v>2826</v>
      </c>
      <c r="G55" s="50">
        <v>11819</v>
      </c>
      <c r="H55" s="51">
        <v>175658.52000000011</v>
      </c>
      <c r="I55" s="52">
        <f t="shared" ref="I55" si="6">H55*F$114</f>
        <v>108329.2026620431</v>
      </c>
      <c r="J55" s="51">
        <v>42251</v>
      </c>
      <c r="K55" s="53">
        <f t="shared" si="5"/>
        <v>241736.72266204318</v>
      </c>
    </row>
    <row r="56" spans="1:11" ht="18" customHeight="1">
      <c r="A56" s="45" t="s">
        <v>293</v>
      </c>
      <c r="B56" s="811" t="s">
        <v>497</v>
      </c>
      <c r="C56" s="812"/>
      <c r="D56" s="813"/>
      <c r="F56" s="50">
        <v>0</v>
      </c>
      <c r="G56" s="50">
        <v>0</v>
      </c>
      <c r="H56" s="51">
        <v>194700</v>
      </c>
      <c r="I56" s="52">
        <v>0</v>
      </c>
      <c r="J56" s="51">
        <v>0</v>
      </c>
      <c r="K56" s="53">
        <f t="shared" si="5"/>
        <v>194700</v>
      </c>
    </row>
    <row r="57" spans="1:11" ht="18" customHeight="1">
      <c r="A57" s="45" t="s">
        <v>295</v>
      </c>
      <c r="B57" s="811" t="s">
        <v>498</v>
      </c>
      <c r="C57" s="812"/>
      <c r="D57" s="813"/>
      <c r="F57" s="50">
        <v>0</v>
      </c>
      <c r="G57" s="50">
        <v>0</v>
      </c>
      <c r="H57" s="51">
        <v>238300</v>
      </c>
      <c r="I57" s="52">
        <v>0</v>
      </c>
      <c r="J57" s="51">
        <v>0</v>
      </c>
      <c r="K57" s="53">
        <f t="shared" si="5"/>
        <v>238300</v>
      </c>
    </row>
    <row r="58" spans="1:11" ht="18" customHeight="1">
      <c r="A58" s="45" t="s">
        <v>298</v>
      </c>
      <c r="B58" s="104" t="s">
        <v>499</v>
      </c>
      <c r="C58" s="105"/>
      <c r="D58" s="106"/>
      <c r="F58" s="50">
        <v>0</v>
      </c>
      <c r="G58" s="50">
        <v>0</v>
      </c>
      <c r="H58" s="51">
        <v>546320.05000000005</v>
      </c>
      <c r="I58" s="52">
        <v>0</v>
      </c>
      <c r="J58" s="51">
        <v>0</v>
      </c>
      <c r="K58" s="53">
        <f t="shared" si="5"/>
        <v>546320.05000000005</v>
      </c>
    </row>
    <row r="59" spans="1:11" ht="18" customHeight="1">
      <c r="A59" s="45" t="s">
        <v>300</v>
      </c>
      <c r="B59" s="811" t="s">
        <v>500</v>
      </c>
      <c r="C59" s="812"/>
      <c r="D59" s="813"/>
      <c r="F59" s="50">
        <v>0</v>
      </c>
      <c r="G59" s="50">
        <v>0</v>
      </c>
      <c r="H59" s="51">
        <v>226225</v>
      </c>
      <c r="I59" s="52">
        <v>0</v>
      </c>
      <c r="J59" s="51">
        <v>0</v>
      </c>
      <c r="K59" s="53">
        <f t="shared" si="5"/>
        <v>226225</v>
      </c>
    </row>
    <row r="60" spans="1:11" ht="18" customHeight="1">
      <c r="A60" s="45" t="s">
        <v>302</v>
      </c>
      <c r="B60" s="104" t="s">
        <v>501</v>
      </c>
      <c r="C60" s="105"/>
      <c r="D60" s="106"/>
      <c r="F60" s="50">
        <v>0</v>
      </c>
      <c r="G60" s="50">
        <v>0</v>
      </c>
      <c r="H60" s="51">
        <v>279200</v>
      </c>
      <c r="I60" s="52">
        <v>0</v>
      </c>
      <c r="J60" s="51">
        <v>0</v>
      </c>
      <c r="K60" s="53">
        <f t="shared" si="5"/>
        <v>279200</v>
      </c>
    </row>
    <row r="61" spans="1:11" ht="18" customHeight="1">
      <c r="A61" s="45" t="s">
        <v>303</v>
      </c>
      <c r="B61" s="104" t="s">
        <v>502</v>
      </c>
      <c r="C61" s="105"/>
      <c r="D61" s="106"/>
      <c r="F61" s="50">
        <v>0</v>
      </c>
      <c r="G61" s="50">
        <v>0</v>
      </c>
      <c r="H61" s="51">
        <v>429316.5</v>
      </c>
      <c r="I61" s="52">
        <v>0</v>
      </c>
      <c r="J61" s="51">
        <v>0</v>
      </c>
      <c r="K61" s="53">
        <f t="shared" si="5"/>
        <v>429316.5</v>
      </c>
    </row>
    <row r="62" spans="1:11" ht="18" customHeight="1">
      <c r="A62" s="45" t="s">
        <v>304</v>
      </c>
      <c r="B62" s="811" t="s">
        <v>503</v>
      </c>
      <c r="C62" s="812"/>
      <c r="D62" s="813"/>
      <c r="F62" s="50">
        <v>0</v>
      </c>
      <c r="G62" s="50">
        <v>0</v>
      </c>
      <c r="H62" s="51">
        <v>3313340</v>
      </c>
      <c r="I62" s="52">
        <v>0</v>
      </c>
      <c r="J62" s="51">
        <v>0</v>
      </c>
      <c r="K62" s="53">
        <f t="shared" si="5"/>
        <v>3313340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7">SUM(F53:F62)</f>
        <v>7152.4000000000005</v>
      </c>
      <c r="G64" s="59">
        <f t="shared" si="7"/>
        <v>55144.5</v>
      </c>
      <c r="H64" s="53">
        <f t="shared" si="7"/>
        <v>7165870.8399999999</v>
      </c>
      <c r="I64" s="53">
        <f t="shared" si="7"/>
        <v>108329.2026620431</v>
      </c>
      <c r="J64" s="53">
        <f t="shared" si="7"/>
        <v>742251</v>
      </c>
      <c r="K64" s="53">
        <f t="shared" si="7"/>
        <v>6531949.0426620431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236">
        <v>0</v>
      </c>
      <c r="G68" s="78">
        <v>0</v>
      </c>
      <c r="H68" s="63">
        <v>3583169.8899999997</v>
      </c>
      <c r="I68" s="52">
        <v>0</v>
      </c>
      <c r="J68" s="63">
        <f>+H68</f>
        <v>3583169.8899999997</v>
      </c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8">SUM(F68:F72)</f>
        <v>0</v>
      </c>
      <c r="G74" s="86">
        <f t="shared" si="8"/>
        <v>0</v>
      </c>
      <c r="H74" s="53">
        <f t="shared" si="8"/>
        <v>3583169.8899999997</v>
      </c>
      <c r="I74" s="87">
        <f t="shared" si="8"/>
        <v>0</v>
      </c>
      <c r="J74" s="63">
        <f t="shared" si="8"/>
        <v>3583169.8899999997</v>
      </c>
      <c r="K74" s="63">
        <f t="shared" si="8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>
        <v>0.25</v>
      </c>
      <c r="G77" s="50">
        <v>20</v>
      </c>
      <c r="H77" s="51">
        <v>273661.30499999999</v>
      </c>
      <c r="I77" s="52">
        <v>0</v>
      </c>
      <c r="J77" s="51">
        <v>0</v>
      </c>
      <c r="K77" s="53">
        <f>(H77+I77)-J77</f>
        <v>273661.30499999999</v>
      </c>
    </row>
    <row r="78" spans="1:11" ht="18" customHeight="1">
      <c r="A78" s="45" t="s">
        <v>313</v>
      </c>
      <c r="B78" s="49" t="s">
        <v>197</v>
      </c>
      <c r="F78" s="50">
        <v>0</v>
      </c>
      <c r="G78" s="50">
        <v>0</v>
      </c>
      <c r="H78" s="51">
        <v>0</v>
      </c>
      <c r="I78" s="52">
        <v>0</v>
      </c>
      <c r="J78" s="51">
        <v>0</v>
      </c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>
        <v>885.75</v>
      </c>
      <c r="G79" s="50">
        <v>2925</v>
      </c>
      <c r="H79" s="51">
        <v>1064310.1382200534</v>
      </c>
      <c r="I79" s="52">
        <v>0</v>
      </c>
      <c r="J79" s="51">
        <v>0</v>
      </c>
      <c r="K79" s="53">
        <f>(H79+I79)-J79</f>
        <v>1064310.1382200534</v>
      </c>
    </row>
    <row r="80" spans="1:11" ht="18" customHeight="1">
      <c r="A80" s="45" t="s">
        <v>315</v>
      </c>
      <c r="B80" s="49" t="s">
        <v>316</v>
      </c>
      <c r="F80" s="50">
        <v>76</v>
      </c>
      <c r="G80" s="50">
        <v>960</v>
      </c>
      <c r="H80" s="51">
        <v>8431.5988574832663</v>
      </c>
      <c r="I80" s="52">
        <f>+H80*F114</f>
        <v>5199.795497521869</v>
      </c>
      <c r="J80" s="51">
        <v>0</v>
      </c>
      <c r="K80" s="53">
        <f>(H80+I80)-J80</f>
        <v>13631.394355005135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237">
        <f t="shared" ref="F82:K82" si="9">SUM(F77:F80)</f>
        <v>962</v>
      </c>
      <c r="G82" s="86">
        <f t="shared" si="9"/>
        <v>3905</v>
      </c>
      <c r="H82" s="63">
        <f t="shared" si="9"/>
        <v>1346403.0420775367</v>
      </c>
      <c r="I82" s="63">
        <f t="shared" si="9"/>
        <v>5199.795497521869</v>
      </c>
      <c r="J82" s="63">
        <f t="shared" si="9"/>
        <v>0</v>
      </c>
      <c r="K82" s="63">
        <f t="shared" si="9"/>
        <v>1351602.8375750585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>
        <v>0</v>
      </c>
      <c r="G86" s="50">
        <v>0</v>
      </c>
      <c r="H86" s="51">
        <v>0</v>
      </c>
      <c r="I86" s="52">
        <f t="shared" ref="I86:I96" si="10">H86*F$114</f>
        <v>0</v>
      </c>
      <c r="J86" s="51">
        <v>0</v>
      </c>
      <c r="K86" s="53">
        <f t="shared" ref="K86:K96" si="11">(H86+I86)-J86</f>
        <v>0</v>
      </c>
    </row>
    <row r="87" spans="1:11" ht="18" customHeight="1">
      <c r="A87" s="45" t="s">
        <v>320</v>
      </c>
      <c r="B87" s="49" t="s">
        <v>206</v>
      </c>
      <c r="F87" s="50">
        <v>536.5</v>
      </c>
      <c r="G87" s="50">
        <v>973</v>
      </c>
      <c r="H87" s="51">
        <v>74793.117959999858</v>
      </c>
      <c r="I87" s="52">
        <v>0</v>
      </c>
      <c r="J87" s="51">
        <v>0</v>
      </c>
      <c r="K87" s="53">
        <f t="shared" si="11"/>
        <v>74793.117959999858</v>
      </c>
    </row>
    <row r="88" spans="1:11" ht="18" customHeight="1">
      <c r="A88" s="45" t="s">
        <v>321</v>
      </c>
      <c r="B88" s="49" t="s">
        <v>208</v>
      </c>
      <c r="F88" s="50">
        <v>1332.1666666666665</v>
      </c>
      <c r="G88" s="50">
        <v>12545</v>
      </c>
      <c r="H88" s="51">
        <v>111418.80017220751</v>
      </c>
      <c r="I88" s="52">
        <f t="shared" si="10"/>
        <v>68712.350441167</v>
      </c>
      <c r="J88" s="51">
        <v>0</v>
      </c>
      <c r="K88" s="53">
        <f t="shared" si="11"/>
        <v>180131.15061337451</v>
      </c>
    </row>
    <row r="89" spans="1:11" ht="18" customHeight="1">
      <c r="A89" s="45" t="s">
        <v>322</v>
      </c>
      <c r="B89" s="49" t="s">
        <v>210</v>
      </c>
      <c r="F89" s="50">
        <v>9</v>
      </c>
      <c r="G89" s="50">
        <v>50</v>
      </c>
      <c r="H89" s="51">
        <v>33042.234080000002</v>
      </c>
      <c r="I89" s="52">
        <v>0</v>
      </c>
      <c r="J89" s="51">
        <v>0</v>
      </c>
      <c r="K89" s="53">
        <f t="shared" si="11"/>
        <v>33042.234080000002</v>
      </c>
    </row>
    <row r="90" spans="1:11" ht="18" customHeight="1">
      <c r="A90" s="45" t="s">
        <v>323</v>
      </c>
      <c r="B90" s="818" t="s">
        <v>212</v>
      </c>
      <c r="C90" s="819"/>
      <c r="F90" s="50">
        <v>518</v>
      </c>
      <c r="G90" s="50">
        <v>16</v>
      </c>
      <c r="H90" s="51">
        <v>14447.880528000002</v>
      </c>
      <c r="I90" s="52">
        <f t="shared" si="10"/>
        <v>8910.0567268510367</v>
      </c>
      <c r="J90" s="51">
        <v>0</v>
      </c>
      <c r="K90" s="53">
        <f t="shared" si="11"/>
        <v>23357.937254851036</v>
      </c>
    </row>
    <row r="91" spans="1:11" ht="18" customHeight="1">
      <c r="A91" s="45" t="s">
        <v>324</v>
      </c>
      <c r="B91" s="49" t="s">
        <v>214</v>
      </c>
      <c r="F91" s="50">
        <v>658</v>
      </c>
      <c r="G91" s="50">
        <v>5370</v>
      </c>
      <c r="H91" s="51">
        <v>153131.26485100441</v>
      </c>
      <c r="I91" s="52">
        <f t="shared" si="10"/>
        <v>94436.568314132688</v>
      </c>
      <c r="J91" s="51">
        <v>0</v>
      </c>
      <c r="K91" s="53">
        <f t="shared" si="11"/>
        <v>247567.8331651371</v>
      </c>
    </row>
    <row r="92" spans="1:11" ht="18" customHeight="1">
      <c r="A92" s="45" t="s">
        <v>325</v>
      </c>
      <c r="B92" s="49" t="s">
        <v>216</v>
      </c>
      <c r="F92" s="89">
        <v>605.88000000000011</v>
      </c>
      <c r="G92" s="50">
        <v>127</v>
      </c>
      <c r="H92" s="90">
        <v>50766.745320000002</v>
      </c>
      <c r="I92" s="52">
        <f t="shared" si="10"/>
        <v>31308.023329939275</v>
      </c>
      <c r="J92" s="90">
        <v>20091.131000000001</v>
      </c>
      <c r="K92" s="53">
        <f t="shared" si="11"/>
        <v>61983.637649939272</v>
      </c>
    </row>
    <row r="93" spans="1:11" ht="18" customHeight="1">
      <c r="A93" s="45" t="s">
        <v>326</v>
      </c>
      <c r="B93" s="49" t="s">
        <v>218</v>
      </c>
      <c r="F93" s="50">
        <v>459</v>
      </c>
      <c r="G93" s="50">
        <v>1593</v>
      </c>
      <c r="H93" s="51">
        <v>79513.848960000003</v>
      </c>
      <c r="I93" s="52">
        <f t="shared" si="10"/>
        <v>49036.459253026384</v>
      </c>
      <c r="J93" s="51">
        <v>0</v>
      </c>
      <c r="K93" s="53">
        <f t="shared" si="11"/>
        <v>128550.30821302638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si="10"/>
        <v>0</v>
      </c>
      <c r="J94" s="51"/>
      <c r="K94" s="53">
        <f t="shared" si="11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10"/>
        <v>0</v>
      </c>
      <c r="J95" s="51"/>
      <c r="K95" s="53">
        <f t="shared" si="11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10"/>
        <v>0</v>
      </c>
      <c r="J96" s="51"/>
      <c r="K96" s="53">
        <f t="shared" si="11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2">SUM(F86:F96)</f>
        <v>4118.5466666666671</v>
      </c>
      <c r="G98" s="59">
        <f t="shared" si="12"/>
        <v>20674</v>
      </c>
      <c r="H98" s="63">
        <f t="shared" si="12"/>
        <v>517113.8918712117</v>
      </c>
      <c r="I98" s="63">
        <f t="shared" si="12"/>
        <v>252403.4580651164</v>
      </c>
      <c r="J98" s="63">
        <f t="shared" si="12"/>
        <v>20091.131000000001</v>
      </c>
      <c r="K98" s="63">
        <f t="shared" si="12"/>
        <v>749426.21893632819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2278.88</v>
      </c>
      <c r="G102" s="50">
        <v>0</v>
      </c>
      <c r="H102" s="51">
        <v>55495.945682112972</v>
      </c>
      <c r="I102" s="52">
        <f>H102*F$114</f>
        <v>34224.537168589079</v>
      </c>
      <c r="J102" s="51">
        <v>0</v>
      </c>
      <c r="K102" s="53">
        <f>(H102+I102)-J102</f>
        <v>89720.482850702043</v>
      </c>
    </row>
    <row r="103" spans="1:11" ht="18" customHeight="1">
      <c r="A103" s="45" t="s">
        <v>333</v>
      </c>
      <c r="B103" s="818" t="s">
        <v>504</v>
      </c>
      <c r="C103" s="818"/>
      <c r="F103" s="50">
        <v>466.88000000000005</v>
      </c>
      <c r="G103" s="50">
        <v>0</v>
      </c>
      <c r="H103" s="51">
        <v>37609.786852981968</v>
      </c>
      <c r="I103" s="52">
        <f>H103*F$114</f>
        <v>23194.082598856719</v>
      </c>
      <c r="J103" s="51">
        <v>20091.131000000001</v>
      </c>
      <c r="K103" s="53">
        <f>(H103+I103)-J103</f>
        <v>40712.73845183869</v>
      </c>
    </row>
    <row r="104" spans="1:11" ht="18" customHeight="1">
      <c r="A104" s="45" t="s">
        <v>334</v>
      </c>
      <c r="B104" s="817" t="s">
        <v>505</v>
      </c>
      <c r="C104" s="812"/>
      <c r="D104" s="813"/>
      <c r="F104" s="50">
        <v>0</v>
      </c>
      <c r="G104" s="50">
        <v>0</v>
      </c>
      <c r="H104" s="51">
        <v>17711.286</v>
      </c>
      <c r="I104" s="52">
        <f>H104*F$114</f>
        <v>10922.609905283303</v>
      </c>
      <c r="J104" s="51">
        <v>20091.131000000001</v>
      </c>
      <c r="K104" s="53">
        <f>(H104+I104)-J104</f>
        <v>8542.7649052833003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3">SUM(F102:F106)</f>
        <v>2745.76</v>
      </c>
      <c r="G108" s="59">
        <f t="shared" si="13"/>
        <v>0</v>
      </c>
      <c r="H108" s="53">
        <f t="shared" si="13"/>
        <v>110817.01853509495</v>
      </c>
      <c r="I108" s="53">
        <f t="shared" si="13"/>
        <v>68341.229672729096</v>
      </c>
      <c r="J108" s="53">
        <f t="shared" si="13"/>
        <v>40182.262000000002</v>
      </c>
      <c r="K108" s="53">
        <f t="shared" si="13"/>
        <v>138975.98620782403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5177296.2699999996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f>+'[11]Indirect Cost Ratio'!C23</f>
        <v>0.61670337802028063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232349200</v>
      </c>
    </row>
    <row r="118" spans="1:6">
      <c r="A118" s="45" t="s">
        <v>343</v>
      </c>
      <c r="B118" s="40" t="s">
        <v>237</v>
      </c>
      <c r="F118" s="51">
        <v>7003740.0599999968</v>
      </c>
    </row>
    <row r="119" spans="1:6">
      <c r="A119" s="45" t="s">
        <v>344</v>
      </c>
      <c r="B119" s="43" t="s">
        <v>238</v>
      </c>
      <c r="F119" s="63">
        <f>SUM(F117:F118)</f>
        <v>239352940.06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218872187.59999999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f>+F119-F121</f>
        <v>20480752.460000008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0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f>+F123+F125</f>
        <v>20480752.460000008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>
        <v>0</v>
      </c>
      <c r="G131" s="50">
        <v>1</v>
      </c>
      <c r="H131" s="51">
        <v>179377.47</v>
      </c>
      <c r="I131" s="52">
        <f t="shared" ref="I131:I132" si="14">H131*F$114</f>
        <v>110622.69168973155</v>
      </c>
      <c r="J131" s="51">
        <v>0</v>
      </c>
      <c r="K131" s="53">
        <f>(H131+I131)-J131</f>
        <v>290000.16168973153</v>
      </c>
    </row>
    <row r="132" spans="1:11" ht="18" customHeight="1">
      <c r="A132" s="45" t="s">
        <v>354</v>
      </c>
      <c r="B132" s="40" t="s">
        <v>128</v>
      </c>
      <c r="F132" s="50">
        <v>42</v>
      </c>
      <c r="G132" s="50">
        <v>6</v>
      </c>
      <c r="H132" s="51">
        <v>3845.1468000000004</v>
      </c>
      <c r="I132" s="52">
        <f t="shared" si="14"/>
        <v>2371.3150205438728</v>
      </c>
      <c r="J132" s="51">
        <v>0</v>
      </c>
      <c r="K132" s="53">
        <f>(H132+I132)-J132</f>
        <v>6216.4618205438728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5">SUM(F131:F135)</f>
        <v>42</v>
      </c>
      <c r="G137" s="59">
        <f t="shared" si="15"/>
        <v>7</v>
      </c>
      <c r="H137" s="53">
        <f t="shared" si="15"/>
        <v>183222.61679999999</v>
      </c>
      <c r="I137" s="53">
        <f t="shared" si="15"/>
        <v>112994.00671027543</v>
      </c>
      <c r="J137" s="53">
        <f t="shared" si="15"/>
        <v>0</v>
      </c>
      <c r="K137" s="53">
        <f t="shared" si="15"/>
        <v>296216.62351027539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6">F36</f>
        <v>31825.109999999997</v>
      </c>
      <c r="G141" s="95">
        <f t="shared" si="16"/>
        <v>120340.06500000002</v>
      </c>
      <c r="H141" s="95">
        <f t="shared" si="16"/>
        <v>1885565.8769891714</v>
      </c>
      <c r="I141" s="95">
        <f t="shared" si="16"/>
        <v>1162834.8458189948</v>
      </c>
      <c r="J141" s="95">
        <f t="shared" si="16"/>
        <v>369150.27699999994</v>
      </c>
      <c r="K141" s="95">
        <f t="shared" si="16"/>
        <v>2679250.4458081666</v>
      </c>
    </row>
    <row r="142" spans="1:11" ht="18" customHeight="1">
      <c r="A142" s="45" t="s">
        <v>286</v>
      </c>
      <c r="B142" s="43" t="s">
        <v>125</v>
      </c>
      <c r="F142" s="95">
        <f t="shared" ref="F142:K142" si="17">F49</f>
        <v>39598.071428571428</v>
      </c>
      <c r="G142" s="95">
        <f t="shared" si="17"/>
        <v>14871.5</v>
      </c>
      <c r="H142" s="95">
        <f t="shared" si="17"/>
        <v>3766898.9296446517</v>
      </c>
      <c r="I142" s="95">
        <f t="shared" si="17"/>
        <v>990751.07788582763</v>
      </c>
      <c r="J142" s="95">
        <f t="shared" si="17"/>
        <v>0</v>
      </c>
      <c r="K142" s="95">
        <f t="shared" si="17"/>
        <v>4757650.0075304797</v>
      </c>
    </row>
    <row r="143" spans="1:11" ht="18" customHeight="1">
      <c r="A143" s="45" t="s">
        <v>305</v>
      </c>
      <c r="B143" s="43" t="s">
        <v>247</v>
      </c>
      <c r="F143" s="95">
        <f t="shared" ref="F143:K143" si="18">F64</f>
        <v>7152.4000000000005</v>
      </c>
      <c r="G143" s="95">
        <f t="shared" si="18"/>
        <v>55144.5</v>
      </c>
      <c r="H143" s="95">
        <f t="shared" si="18"/>
        <v>7165870.8399999999</v>
      </c>
      <c r="I143" s="95">
        <f t="shared" si="18"/>
        <v>108329.2026620431</v>
      </c>
      <c r="J143" s="95">
        <f t="shared" si="18"/>
        <v>742251</v>
      </c>
      <c r="K143" s="95">
        <f t="shared" si="18"/>
        <v>6531949.0426620431</v>
      </c>
    </row>
    <row r="144" spans="1:11" ht="18" customHeight="1">
      <c r="A144" s="45" t="s">
        <v>311</v>
      </c>
      <c r="B144" s="43" t="s">
        <v>127</v>
      </c>
      <c r="F144" s="95">
        <f t="shared" ref="F144:K144" si="19">F74</f>
        <v>0</v>
      </c>
      <c r="G144" s="95">
        <f t="shared" si="19"/>
        <v>0</v>
      </c>
      <c r="H144" s="95">
        <f t="shared" si="19"/>
        <v>3583169.8899999997</v>
      </c>
      <c r="I144" s="95">
        <f t="shared" si="19"/>
        <v>0</v>
      </c>
      <c r="J144" s="95">
        <f t="shared" si="19"/>
        <v>3583169.8899999997</v>
      </c>
      <c r="K144" s="95">
        <f t="shared" si="19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20">F82</f>
        <v>962</v>
      </c>
      <c r="G145" s="95">
        <f t="shared" si="20"/>
        <v>3905</v>
      </c>
      <c r="H145" s="95">
        <f t="shared" si="20"/>
        <v>1346403.0420775367</v>
      </c>
      <c r="I145" s="95">
        <f t="shared" si="20"/>
        <v>5199.795497521869</v>
      </c>
      <c r="J145" s="95">
        <f t="shared" si="20"/>
        <v>0</v>
      </c>
      <c r="K145" s="95">
        <f t="shared" si="20"/>
        <v>1351602.8375750585</v>
      </c>
    </row>
    <row r="146" spans="1:11" ht="18" customHeight="1">
      <c r="A146" s="45" t="s">
        <v>331</v>
      </c>
      <c r="B146" s="43" t="s">
        <v>249</v>
      </c>
      <c r="F146" s="95">
        <f t="shared" ref="F146:K146" si="21">F98</f>
        <v>4118.5466666666671</v>
      </c>
      <c r="G146" s="95">
        <f t="shared" si="21"/>
        <v>20674</v>
      </c>
      <c r="H146" s="95">
        <f t="shared" si="21"/>
        <v>517113.8918712117</v>
      </c>
      <c r="I146" s="95">
        <f t="shared" si="21"/>
        <v>252403.4580651164</v>
      </c>
      <c r="J146" s="95">
        <f t="shared" si="21"/>
        <v>20091.131000000001</v>
      </c>
      <c r="K146" s="95">
        <f t="shared" si="21"/>
        <v>749426.21893632819</v>
      </c>
    </row>
    <row r="147" spans="1:11" ht="18" customHeight="1">
      <c r="A147" s="45" t="s">
        <v>338</v>
      </c>
      <c r="B147" s="43" t="s">
        <v>129</v>
      </c>
      <c r="F147" s="59">
        <f t="shared" ref="F147:K147" si="22">F108</f>
        <v>2745.76</v>
      </c>
      <c r="G147" s="59">
        <f t="shared" si="22"/>
        <v>0</v>
      </c>
      <c r="H147" s="59">
        <f t="shared" si="22"/>
        <v>110817.01853509495</v>
      </c>
      <c r="I147" s="59">
        <f t="shared" si="22"/>
        <v>68341.229672729096</v>
      </c>
      <c r="J147" s="59">
        <f t="shared" si="22"/>
        <v>40182.262000000002</v>
      </c>
      <c r="K147" s="59">
        <f t="shared" si="22"/>
        <v>138975.98620782403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5177296.2699999996</v>
      </c>
    </row>
    <row r="149" spans="1:11" ht="18" customHeight="1">
      <c r="A149" s="45" t="s">
        <v>358</v>
      </c>
      <c r="B149" s="43" t="s">
        <v>250</v>
      </c>
      <c r="F149" s="59">
        <f t="shared" ref="F149:K149" si="23">F137</f>
        <v>42</v>
      </c>
      <c r="G149" s="59">
        <f t="shared" si="23"/>
        <v>7</v>
      </c>
      <c r="H149" s="59">
        <f t="shared" si="23"/>
        <v>183222.61679999999</v>
      </c>
      <c r="I149" s="59">
        <f t="shared" si="23"/>
        <v>112994.00671027543</v>
      </c>
      <c r="J149" s="59">
        <f t="shared" si="23"/>
        <v>0</v>
      </c>
      <c r="K149" s="59">
        <f t="shared" si="23"/>
        <v>296216.62351027539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7656768</v>
      </c>
      <c r="I150" s="59">
        <f>I18</f>
        <v>0</v>
      </c>
      <c r="J150" s="59">
        <f>J18</f>
        <v>6547493</v>
      </c>
      <c r="K150" s="59">
        <f>K18</f>
        <v>1109275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59">
        <f t="shared" ref="F152:K152" si="24">SUM(F141:F150)</f>
        <v>86443.888095238071</v>
      </c>
      <c r="G152" s="59">
        <f t="shared" si="24"/>
        <v>214942.065</v>
      </c>
      <c r="H152" s="53">
        <f t="shared" si="24"/>
        <v>26215830.105917666</v>
      </c>
      <c r="I152" s="53">
        <f t="shared" si="24"/>
        <v>2700853.6163125085</v>
      </c>
      <c r="J152" s="53">
        <f t="shared" si="24"/>
        <v>11302337.559999999</v>
      </c>
      <c r="K152" s="53">
        <f t="shared" si="24"/>
        <v>22791642.432230175</v>
      </c>
    </row>
    <row r="154" spans="1:11" ht="18" customHeight="1">
      <c r="A154" s="48" t="s">
        <v>361</v>
      </c>
      <c r="B154" s="43" t="s">
        <v>252</v>
      </c>
      <c r="F154" s="165">
        <f>K152/F121</f>
        <v>0.10413220008511569</v>
      </c>
    </row>
    <row r="155" spans="1:11" ht="18" customHeight="1">
      <c r="A155" s="48" t="s">
        <v>362</v>
      </c>
      <c r="B155" s="43" t="s">
        <v>253</v>
      </c>
      <c r="F155" s="165">
        <f>K152/F127</f>
        <v>1.1128322788307439</v>
      </c>
      <c r="G155" s="43"/>
    </row>
    <row r="156" spans="1:11" ht="18" customHeight="1">
      <c r="G156" s="43"/>
    </row>
    <row r="159" spans="1:11">
      <c r="C159" s="49" t="s">
        <v>816</v>
      </c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RowHeight="12.75"/>
  <cols>
    <col min="1" max="1" width="8.28515625" style="135" customWidth="1"/>
    <col min="2" max="2" width="55.42578125" style="49" bestFit="1" customWidth="1"/>
    <col min="3" max="3" width="9.5703125" style="49" customWidth="1"/>
    <col min="4" max="4" width="9.140625" style="49"/>
    <col min="5" max="5" width="12.42578125" style="49" customWidth="1"/>
    <col min="6" max="6" width="18.5703125" style="49" customWidth="1"/>
    <col min="7" max="7" width="23.5703125" style="49" customWidth="1"/>
    <col min="8" max="8" width="17.140625" style="49" customWidth="1"/>
    <col min="9" max="9" width="21.140625" style="49" customWidth="1"/>
    <col min="10" max="10" width="19.85546875" style="49" customWidth="1"/>
    <col min="11" max="11" width="17.5703125" style="49" customWidth="1"/>
    <col min="12" max="16384" width="9.14062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75">
      <c r="D2" s="873" t="s">
        <v>133</v>
      </c>
      <c r="E2" s="873"/>
      <c r="F2" s="873"/>
      <c r="G2" s="873"/>
      <c r="H2" s="873"/>
      <c r="I2" s="384"/>
      <c r="J2" s="384"/>
      <c r="K2" s="384"/>
    </row>
    <row r="3" spans="1:11" ht="15">
      <c r="B3" s="43" t="s">
        <v>134</v>
      </c>
      <c r="F3" s="44"/>
      <c r="H3" s="384"/>
      <c r="I3" s="384"/>
      <c r="J3" s="384"/>
      <c r="K3" s="384"/>
    </row>
    <row r="5" spans="1:11">
      <c r="B5" s="45" t="s">
        <v>135</v>
      </c>
      <c r="C5" s="826" t="s">
        <v>506</v>
      </c>
      <c r="D5" s="874"/>
      <c r="E5" s="874"/>
      <c r="F5" s="874"/>
      <c r="G5" s="875"/>
      <c r="H5" s="384"/>
      <c r="I5" s="384"/>
      <c r="J5" s="384"/>
      <c r="K5" s="384"/>
    </row>
    <row r="6" spans="1:11">
      <c r="B6" s="45" t="s">
        <v>136</v>
      </c>
      <c r="C6" s="829">
        <v>23</v>
      </c>
      <c r="D6" s="876"/>
      <c r="E6" s="876"/>
      <c r="F6" s="876"/>
      <c r="G6" s="877"/>
      <c r="H6" s="384"/>
      <c r="I6" s="384"/>
      <c r="J6" s="384"/>
      <c r="K6" s="384"/>
    </row>
    <row r="7" spans="1:11">
      <c r="B7" s="45" t="s">
        <v>137</v>
      </c>
      <c r="C7" s="878">
        <v>4044</v>
      </c>
      <c r="D7" s="879"/>
      <c r="E7" s="879"/>
      <c r="F7" s="879"/>
      <c r="G7" s="880"/>
      <c r="H7" s="384"/>
      <c r="I7" s="384"/>
      <c r="J7" s="384"/>
      <c r="K7" s="384"/>
    </row>
    <row r="9" spans="1:11">
      <c r="B9" s="45" t="s">
        <v>138</v>
      </c>
      <c r="C9" s="826" t="s">
        <v>507</v>
      </c>
      <c r="D9" s="874"/>
      <c r="E9" s="874"/>
      <c r="F9" s="874"/>
      <c r="G9" s="875"/>
      <c r="H9" s="384"/>
      <c r="I9" s="384"/>
      <c r="J9" s="384"/>
      <c r="K9" s="384"/>
    </row>
    <row r="10" spans="1:11">
      <c r="B10" s="45" t="s">
        <v>140</v>
      </c>
      <c r="C10" s="835" t="s">
        <v>508</v>
      </c>
      <c r="D10" s="881"/>
      <c r="E10" s="881"/>
      <c r="F10" s="881"/>
      <c r="G10" s="882"/>
      <c r="H10" s="384"/>
      <c r="I10" s="384"/>
      <c r="J10" s="384"/>
      <c r="K10" s="384"/>
    </row>
    <row r="11" spans="1:11">
      <c r="B11" s="45" t="s">
        <v>142</v>
      </c>
      <c r="C11" s="838" t="s">
        <v>509</v>
      </c>
      <c r="D11" s="872"/>
      <c r="E11" s="872"/>
      <c r="F11" s="872"/>
      <c r="G11" s="872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5.5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14562440</v>
      </c>
      <c r="I18" s="167">
        <v>0</v>
      </c>
      <c r="J18" s="347">
        <v>12452707</v>
      </c>
      <c r="K18" s="348">
        <f>(H18+I18)-J18</f>
        <v>2109733</v>
      </c>
    </row>
    <row r="19" spans="1:11" ht="25.5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6750</v>
      </c>
      <c r="G21" s="57">
        <v>12006</v>
      </c>
      <c r="H21" s="347">
        <v>916896.13</v>
      </c>
      <c r="I21" s="167">
        <f t="shared" ref="I21:I34" si="0">H21*F$114</f>
        <v>478986.53831199999</v>
      </c>
      <c r="J21" s="347"/>
      <c r="K21" s="348">
        <f t="shared" ref="K21:K34" si="1">(H21+I21)-J21</f>
        <v>1395882.6683120001</v>
      </c>
    </row>
    <row r="22" spans="1:11">
      <c r="A22" s="45" t="s">
        <v>261</v>
      </c>
      <c r="B22" s="49" t="s">
        <v>157</v>
      </c>
      <c r="F22" s="57">
        <v>1339</v>
      </c>
      <c r="G22" s="57">
        <v>4541</v>
      </c>
      <c r="H22" s="347">
        <v>58853.06</v>
      </c>
      <c r="I22" s="167">
        <f t="shared" si="0"/>
        <v>30744.838543999998</v>
      </c>
      <c r="J22" s="347"/>
      <c r="K22" s="348">
        <f t="shared" si="1"/>
        <v>89597.898543999996</v>
      </c>
    </row>
    <row r="23" spans="1:11">
      <c r="A23" s="45" t="s">
        <v>262</v>
      </c>
      <c r="B23" s="49" t="s">
        <v>158</v>
      </c>
      <c r="F23" s="57">
        <v>3235</v>
      </c>
      <c r="G23" s="57">
        <v>6175</v>
      </c>
      <c r="H23" s="347">
        <v>191607.5</v>
      </c>
      <c r="I23" s="167">
        <f t="shared" si="0"/>
        <v>100095.758</v>
      </c>
      <c r="J23" s="347">
        <v>56622</v>
      </c>
      <c r="K23" s="348">
        <f t="shared" si="1"/>
        <v>235081.25800000003</v>
      </c>
    </row>
    <row r="24" spans="1:11">
      <c r="A24" s="45" t="s">
        <v>263</v>
      </c>
      <c r="B24" s="49" t="s">
        <v>159</v>
      </c>
      <c r="F24" s="57">
        <v>315</v>
      </c>
      <c r="G24" s="57">
        <v>3179</v>
      </c>
      <c r="H24" s="347">
        <v>51342</v>
      </c>
      <c r="I24" s="167">
        <f t="shared" si="0"/>
        <v>26821.060799999999</v>
      </c>
      <c r="J24" s="347"/>
      <c r="K24" s="348">
        <f t="shared" si="1"/>
        <v>78163.060800000007</v>
      </c>
    </row>
    <row r="25" spans="1:11">
      <c r="A25" s="45" t="s">
        <v>264</v>
      </c>
      <c r="B25" s="49" t="s">
        <v>160</v>
      </c>
      <c r="F25" s="57">
        <v>8474.5</v>
      </c>
      <c r="G25" s="57">
        <v>9384</v>
      </c>
      <c r="H25" s="347">
        <v>76665.48</v>
      </c>
      <c r="I25" s="167">
        <f t="shared" si="0"/>
        <v>40050.046751999995</v>
      </c>
      <c r="J25" s="347">
        <v>14175</v>
      </c>
      <c r="K25" s="348">
        <f t="shared" si="1"/>
        <v>102540.52675199999</v>
      </c>
    </row>
    <row r="26" spans="1:11">
      <c r="A26" s="45" t="s">
        <v>265</v>
      </c>
      <c r="B26" s="49" t="s">
        <v>161</v>
      </c>
      <c r="F26" s="57">
        <v>75</v>
      </c>
      <c r="G26" s="57">
        <v>928</v>
      </c>
      <c r="H26" s="347">
        <v>5034.17</v>
      </c>
      <c r="I26" s="167">
        <f t="shared" si="0"/>
        <v>2629.8504079999998</v>
      </c>
      <c r="J26" s="347"/>
      <c r="K26" s="348">
        <f t="shared" si="1"/>
        <v>7664.0204080000003</v>
      </c>
    </row>
    <row r="27" spans="1:11">
      <c r="A27" s="45" t="s">
        <v>266</v>
      </c>
      <c r="B27" s="49" t="s">
        <v>162</v>
      </c>
      <c r="F27" s="57">
        <v>154</v>
      </c>
      <c r="G27" s="57">
        <v>644</v>
      </c>
      <c r="H27" s="347">
        <v>8745.44</v>
      </c>
      <c r="I27" s="167">
        <f t="shared" si="0"/>
        <v>4568.6178559999998</v>
      </c>
      <c r="J27" s="347"/>
      <c r="K27" s="348">
        <f t="shared" si="1"/>
        <v>13314.057855999999</v>
      </c>
    </row>
    <row r="28" spans="1:11">
      <c r="A28" s="45" t="s">
        <v>267</v>
      </c>
      <c r="B28" s="49" t="s">
        <v>163</v>
      </c>
      <c r="F28" s="57"/>
      <c r="G28" s="57"/>
      <c r="H28" s="347"/>
      <c r="I28" s="167">
        <f t="shared" si="0"/>
        <v>0</v>
      </c>
      <c r="J28" s="347"/>
      <c r="K28" s="348">
        <f t="shared" si="1"/>
        <v>0</v>
      </c>
    </row>
    <row r="29" spans="1:11">
      <c r="A29" s="45" t="s">
        <v>268</v>
      </c>
      <c r="B29" s="49" t="s">
        <v>165</v>
      </c>
      <c r="F29" s="57">
        <v>20446</v>
      </c>
      <c r="G29" s="57">
        <v>46200</v>
      </c>
      <c r="H29" s="347">
        <v>937443</v>
      </c>
      <c r="I29" s="167">
        <f t="shared" si="0"/>
        <v>489720.22319999995</v>
      </c>
      <c r="J29" s="347"/>
      <c r="K29" s="348">
        <f t="shared" si="1"/>
        <v>1427163.2231999999</v>
      </c>
    </row>
    <row r="30" spans="1:11">
      <c r="A30" s="45" t="s">
        <v>269</v>
      </c>
      <c r="B30" s="814" t="s">
        <v>510</v>
      </c>
      <c r="C30" s="815"/>
      <c r="D30" s="816"/>
      <c r="F30" s="57"/>
      <c r="G30" s="57"/>
      <c r="H30" s="347">
        <v>49035.26</v>
      </c>
      <c r="I30" s="167">
        <f t="shared" si="0"/>
        <v>25616.019823999999</v>
      </c>
      <c r="J30" s="347"/>
      <c r="K30" s="348">
        <f t="shared" si="1"/>
        <v>74651.279823999997</v>
      </c>
    </row>
    <row r="31" spans="1:11">
      <c r="A31" s="45" t="s">
        <v>270</v>
      </c>
      <c r="B31" s="814" t="s">
        <v>511</v>
      </c>
      <c r="C31" s="815"/>
      <c r="D31" s="816"/>
      <c r="F31" s="57"/>
      <c r="G31" s="57"/>
      <c r="H31" s="347">
        <v>12881.55</v>
      </c>
      <c r="I31" s="167">
        <f t="shared" si="0"/>
        <v>6729.321719999999</v>
      </c>
      <c r="J31" s="347"/>
      <c r="K31" s="348">
        <f t="shared" si="1"/>
        <v>19610.871719999999</v>
      </c>
    </row>
    <row r="32" spans="1:11">
      <c r="A32" s="45" t="s">
        <v>271</v>
      </c>
      <c r="B32" s="332" t="s">
        <v>512</v>
      </c>
      <c r="C32" s="333"/>
      <c r="D32" s="334"/>
      <c r="F32" s="57"/>
      <c r="G32" s="57" t="s">
        <v>272</v>
      </c>
      <c r="H32" s="347">
        <v>500.62</v>
      </c>
      <c r="I32" s="167">
        <f t="shared" si="0"/>
        <v>261.523888</v>
      </c>
      <c r="J32" s="347"/>
      <c r="K32" s="348">
        <f t="shared" si="1"/>
        <v>762.14388800000006</v>
      </c>
    </row>
    <row r="33" spans="1:11">
      <c r="A33" s="45" t="s">
        <v>273</v>
      </c>
      <c r="B33" s="332" t="s">
        <v>513</v>
      </c>
      <c r="C33" s="333"/>
      <c r="D33" s="334"/>
      <c r="F33" s="57"/>
      <c r="G33" s="57" t="s">
        <v>272</v>
      </c>
      <c r="H33" s="347">
        <v>13434.28</v>
      </c>
      <c r="I33" s="167">
        <f t="shared" si="0"/>
        <v>7018.0678719999996</v>
      </c>
      <c r="J33" s="347"/>
      <c r="K33" s="348">
        <f t="shared" si="1"/>
        <v>20452.347871999998</v>
      </c>
    </row>
    <row r="34" spans="1:11">
      <c r="A34" s="45" t="s">
        <v>274</v>
      </c>
      <c r="B34" s="814" t="s">
        <v>514</v>
      </c>
      <c r="C34" s="815"/>
      <c r="D34" s="816"/>
      <c r="F34" s="57"/>
      <c r="G34" s="57" t="s">
        <v>272</v>
      </c>
      <c r="H34" s="347">
        <v>350485.67</v>
      </c>
      <c r="I34" s="167">
        <f t="shared" si="0"/>
        <v>183093.71400799998</v>
      </c>
      <c r="J34" s="347"/>
      <c r="K34" s="348">
        <f t="shared" si="1"/>
        <v>533579.38400799991</v>
      </c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2">SUM(F21:F34)</f>
        <v>40788.5</v>
      </c>
      <c r="G36" s="350">
        <f t="shared" si="2"/>
        <v>83057</v>
      </c>
      <c r="H36" s="348">
        <f t="shared" si="2"/>
        <v>2672924.1599999992</v>
      </c>
      <c r="I36" s="348">
        <f t="shared" si="2"/>
        <v>1396335.5811839998</v>
      </c>
      <c r="J36" s="348">
        <f t="shared" si="2"/>
        <v>70797</v>
      </c>
      <c r="K36" s="348">
        <f t="shared" si="2"/>
        <v>3998462.7411839999</v>
      </c>
    </row>
    <row r="37" spans="1:11" ht="13.5" thickBot="1">
      <c r="B37" s="43"/>
      <c r="F37" s="351"/>
      <c r="G37" s="351"/>
      <c r="H37" s="352"/>
      <c r="I37" s="352"/>
      <c r="J37" s="352"/>
      <c r="K37" s="353"/>
    </row>
    <row r="38" spans="1:11" ht="25.5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18985</v>
      </c>
      <c r="G40" s="57">
        <v>15687</v>
      </c>
      <c r="H40" s="347">
        <v>1915170.5</v>
      </c>
      <c r="I40" s="167">
        <v>0</v>
      </c>
      <c r="J40" s="347">
        <v>2500</v>
      </c>
      <c r="K40" s="348">
        <f t="shared" ref="K40:K43" si="3">(H40+I40)-J40</f>
        <v>1912670.5</v>
      </c>
    </row>
    <row r="41" spans="1:11">
      <c r="A41" s="45" t="s">
        <v>278</v>
      </c>
      <c r="B41" s="818" t="s">
        <v>172</v>
      </c>
      <c r="C41" s="818"/>
      <c r="F41" s="57">
        <v>33460</v>
      </c>
      <c r="G41" s="57">
        <v>839</v>
      </c>
      <c r="H41" s="347">
        <v>1172191</v>
      </c>
      <c r="I41" s="167">
        <v>0</v>
      </c>
      <c r="J41" s="347"/>
      <c r="K41" s="348">
        <f t="shared" si="3"/>
        <v>1172191</v>
      </c>
    </row>
    <row r="42" spans="1:11">
      <c r="A42" s="45" t="s">
        <v>279</v>
      </c>
      <c r="B42" s="49" t="s">
        <v>174</v>
      </c>
      <c r="F42" s="57">
        <v>4711</v>
      </c>
      <c r="G42" s="57">
        <v>300</v>
      </c>
      <c r="H42" s="347">
        <v>188668.9</v>
      </c>
      <c r="I42" s="167">
        <v>0</v>
      </c>
      <c r="J42" s="347"/>
      <c r="K42" s="348">
        <f t="shared" si="3"/>
        <v>188668.9</v>
      </c>
    </row>
    <row r="43" spans="1:11">
      <c r="A43" s="45" t="s">
        <v>280</v>
      </c>
      <c r="B43" s="49" t="s">
        <v>176</v>
      </c>
      <c r="F43" s="57">
        <v>554</v>
      </c>
      <c r="G43" s="57">
        <v>487</v>
      </c>
      <c r="H43" s="347">
        <v>19343.2</v>
      </c>
      <c r="I43" s="167">
        <v>0</v>
      </c>
      <c r="J43" s="347"/>
      <c r="K43" s="348">
        <f t="shared" si="3"/>
        <v>19343.2</v>
      </c>
    </row>
    <row r="44" spans="1:11">
      <c r="A44" s="45" t="s">
        <v>281</v>
      </c>
      <c r="B44" s="814"/>
      <c r="C44" s="815"/>
      <c r="D44" s="816"/>
      <c r="F44" s="57"/>
      <c r="G44" s="57"/>
      <c r="H44" s="347"/>
      <c r="I44" s="167"/>
      <c r="J44" s="347"/>
      <c r="K44" s="354"/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4">SUM(F40:F47)</f>
        <v>57710</v>
      </c>
      <c r="G49" s="355">
        <f t="shared" si="4"/>
        <v>17313</v>
      </c>
      <c r="H49" s="348">
        <f t="shared" si="4"/>
        <v>3295373.6</v>
      </c>
      <c r="I49" s="348">
        <f t="shared" si="4"/>
        <v>0</v>
      </c>
      <c r="J49" s="348">
        <f t="shared" si="4"/>
        <v>2500</v>
      </c>
      <c r="K49" s="348">
        <f t="shared" si="4"/>
        <v>3292873.6</v>
      </c>
    </row>
    <row r="50" spans="1:11" ht="13.5" thickBot="1">
      <c r="G50" s="356"/>
      <c r="H50" s="352"/>
      <c r="I50" s="352"/>
      <c r="J50" s="352"/>
      <c r="K50" s="352"/>
    </row>
    <row r="51" spans="1:11" ht="25.5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17" t="s">
        <v>515</v>
      </c>
      <c r="C53" s="864"/>
      <c r="D53" s="865"/>
      <c r="F53" s="57">
        <v>460</v>
      </c>
      <c r="G53" s="57">
        <v>1600</v>
      </c>
      <c r="H53" s="347">
        <v>62000</v>
      </c>
      <c r="I53" s="167">
        <v>0</v>
      </c>
      <c r="J53" s="347">
        <v>27000</v>
      </c>
      <c r="K53" s="348">
        <f t="shared" ref="K53:K62" si="5">(H53+I53)-J53</f>
        <v>35000</v>
      </c>
    </row>
    <row r="54" spans="1:11">
      <c r="A54" s="45" t="s">
        <v>289</v>
      </c>
      <c r="B54" s="335" t="s">
        <v>516</v>
      </c>
      <c r="C54" s="337"/>
      <c r="D54" s="338"/>
      <c r="F54" s="57">
        <v>6500</v>
      </c>
      <c r="G54" s="57">
        <v>5144</v>
      </c>
      <c r="H54" s="347">
        <v>397035</v>
      </c>
      <c r="I54" s="167">
        <v>0</v>
      </c>
      <c r="J54" s="347"/>
      <c r="K54" s="348">
        <f t="shared" si="5"/>
        <v>397035</v>
      </c>
    </row>
    <row r="55" spans="1:11">
      <c r="A55" s="45" t="s">
        <v>291</v>
      </c>
      <c r="B55" s="817" t="s">
        <v>517</v>
      </c>
      <c r="C55" s="864"/>
      <c r="D55" s="865"/>
      <c r="F55" s="57">
        <v>13000</v>
      </c>
      <c r="G55" s="57">
        <v>8201</v>
      </c>
      <c r="H55" s="347">
        <v>282108</v>
      </c>
      <c r="I55" s="167">
        <v>0</v>
      </c>
      <c r="J55" s="347"/>
      <c r="K55" s="348">
        <f t="shared" si="5"/>
        <v>282108</v>
      </c>
    </row>
    <row r="56" spans="1:11">
      <c r="A56" s="45" t="s">
        <v>293</v>
      </c>
      <c r="B56" s="817" t="s">
        <v>518</v>
      </c>
      <c r="C56" s="864"/>
      <c r="D56" s="865"/>
      <c r="F56" s="57"/>
      <c r="G56" s="57"/>
      <c r="H56" s="347">
        <v>50000</v>
      </c>
      <c r="I56" s="167">
        <v>0</v>
      </c>
      <c r="J56" s="347"/>
      <c r="K56" s="348">
        <f t="shared" si="5"/>
        <v>50000</v>
      </c>
    </row>
    <row r="57" spans="1:11">
      <c r="A57" s="45" t="s">
        <v>295</v>
      </c>
      <c r="B57" s="817" t="s">
        <v>519</v>
      </c>
      <c r="C57" s="864"/>
      <c r="D57" s="865"/>
      <c r="F57" s="70">
        <v>1499</v>
      </c>
      <c r="G57" s="57">
        <v>60</v>
      </c>
      <c r="H57" s="347">
        <v>136804.62</v>
      </c>
      <c r="I57" s="167">
        <f>H57*F$114</f>
        <v>71466.733487999998</v>
      </c>
      <c r="J57" s="347"/>
      <c r="K57" s="348">
        <f t="shared" si="5"/>
        <v>208271.35348799999</v>
      </c>
    </row>
    <row r="58" spans="1:11">
      <c r="A58" s="45" t="s">
        <v>298</v>
      </c>
      <c r="B58" s="335" t="s">
        <v>520</v>
      </c>
      <c r="C58" s="337"/>
      <c r="D58" s="338"/>
      <c r="F58" s="70">
        <v>1145</v>
      </c>
      <c r="G58" s="70">
        <v>1225</v>
      </c>
      <c r="H58" s="347">
        <v>111958.55</v>
      </c>
      <c r="I58" s="167">
        <f>H58*F$114</f>
        <v>58487.146520000002</v>
      </c>
      <c r="J58" s="347"/>
      <c r="K58" s="348">
        <f t="shared" si="5"/>
        <v>170445.69652</v>
      </c>
    </row>
    <row r="59" spans="1:11">
      <c r="A59" s="45" t="s">
        <v>300</v>
      </c>
      <c r="B59" s="817" t="s">
        <v>521</v>
      </c>
      <c r="C59" s="864"/>
      <c r="D59" s="865"/>
      <c r="F59" s="70"/>
      <c r="G59" s="70">
        <v>4696</v>
      </c>
      <c r="H59" s="347">
        <v>2721464.86</v>
      </c>
      <c r="I59" s="167">
        <v>0</v>
      </c>
      <c r="J59" s="347">
        <v>804385.2</v>
      </c>
      <c r="K59" s="348">
        <f t="shared" si="5"/>
        <v>1917079.66</v>
      </c>
    </row>
    <row r="60" spans="1:11">
      <c r="A60" s="45" t="s">
        <v>302</v>
      </c>
      <c r="B60" s="335" t="s">
        <v>425</v>
      </c>
      <c r="C60" s="337"/>
      <c r="D60" s="338"/>
      <c r="F60" s="57">
        <v>2420</v>
      </c>
      <c r="G60" s="57">
        <v>693</v>
      </c>
      <c r="H60" s="347">
        <v>82280</v>
      </c>
      <c r="I60" s="167">
        <v>0</v>
      </c>
      <c r="J60" s="347"/>
      <c r="K60" s="348">
        <f t="shared" si="5"/>
        <v>82280</v>
      </c>
    </row>
    <row r="61" spans="1:11">
      <c r="A61" s="45" t="s">
        <v>303</v>
      </c>
      <c r="B61" s="335" t="s">
        <v>522</v>
      </c>
      <c r="C61" s="337"/>
      <c r="D61" s="338"/>
      <c r="F61" s="57"/>
      <c r="G61" s="57"/>
      <c r="H61" s="347">
        <v>166200.26999999999</v>
      </c>
      <c r="I61" s="167">
        <v>0</v>
      </c>
      <c r="J61" s="347"/>
      <c r="K61" s="348">
        <f t="shared" si="5"/>
        <v>166200.26999999999</v>
      </c>
    </row>
    <row r="62" spans="1:11">
      <c r="A62" s="45" t="s">
        <v>304</v>
      </c>
      <c r="B62" s="817" t="s">
        <v>523</v>
      </c>
      <c r="C62" s="864"/>
      <c r="D62" s="865"/>
      <c r="F62" s="57"/>
      <c r="G62" s="57"/>
      <c r="H62" s="347">
        <v>476853.07</v>
      </c>
      <c r="I62" s="167">
        <v>0</v>
      </c>
      <c r="J62" s="347"/>
      <c r="K62" s="348">
        <f t="shared" si="5"/>
        <v>476853.07</v>
      </c>
    </row>
    <row r="63" spans="1:11">
      <c r="A63" s="45" t="s">
        <v>524</v>
      </c>
      <c r="B63" s="461" t="s">
        <v>814</v>
      </c>
      <c r="C63" s="461"/>
      <c r="D63" s="461"/>
      <c r="F63" s="461"/>
      <c r="G63" s="461"/>
      <c r="H63" s="348">
        <v>11162377</v>
      </c>
      <c r="I63" s="354">
        <v>0</v>
      </c>
      <c r="J63" s="348"/>
      <c r="K63" s="348">
        <f>(H63+I63)-J63</f>
        <v>11162377</v>
      </c>
    </row>
    <row r="64" spans="1:11" ht="15">
      <c r="A64" s="45" t="s">
        <v>305</v>
      </c>
      <c r="B64" s="43" t="s">
        <v>184</v>
      </c>
      <c r="E64" s="43" t="s">
        <v>276</v>
      </c>
      <c r="F64" s="240">
        <f t="shared" ref="F64:K64" si="6">SUM(F53:F63)</f>
        <v>25024</v>
      </c>
      <c r="G64" s="240">
        <f t="shared" si="6"/>
        <v>21619</v>
      </c>
      <c r="H64" s="239">
        <f t="shared" si="6"/>
        <v>15649081.370000001</v>
      </c>
      <c r="I64" s="239">
        <f t="shared" si="6"/>
        <v>129953.88000800001</v>
      </c>
      <c r="J64" s="239">
        <f t="shared" si="6"/>
        <v>831385.2</v>
      </c>
      <c r="K64" s="239">
        <f t="shared" si="6"/>
        <v>14947650.050007999</v>
      </c>
    </row>
    <row r="65" spans="1:11">
      <c r="F65" s="358"/>
      <c r="G65" s="358"/>
      <c r="H65" s="394"/>
      <c r="I65" s="394"/>
      <c r="J65" s="394"/>
      <c r="K65" s="394"/>
    </row>
    <row r="66" spans="1:11" ht="25.5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/>
      <c r="G68" s="362"/>
      <c r="H68" s="347">
        <v>1433979</v>
      </c>
      <c r="I68" s="167">
        <v>421657</v>
      </c>
      <c r="J68" s="347">
        <v>772918</v>
      </c>
      <c r="K68" s="348">
        <f>(H68+I68)-J68</f>
        <v>1082718</v>
      </c>
    </row>
    <row r="69" spans="1:11">
      <c r="A69" s="45" t="s">
        <v>307</v>
      </c>
      <c r="B69" s="49" t="s">
        <v>190</v>
      </c>
      <c r="F69" s="362">
        <v>212.25</v>
      </c>
      <c r="G69" s="362"/>
      <c r="H69" s="347">
        <v>6458.25</v>
      </c>
      <c r="I69" s="167">
        <v>0</v>
      </c>
      <c r="J69" s="347"/>
      <c r="K69" s="348">
        <f>(H69+I69)-J69</f>
        <v>6458.25</v>
      </c>
    </row>
    <row r="70" spans="1:11">
      <c r="A70" s="45" t="s">
        <v>308</v>
      </c>
      <c r="B70" s="335"/>
      <c r="C70" s="337"/>
      <c r="D70" s="338"/>
      <c r="E70" s="43"/>
      <c r="F70" s="364"/>
      <c r="G70" s="364"/>
      <c r="H70" s="363"/>
      <c r="I70" s="167">
        <v>0</v>
      </c>
      <c r="J70" s="363"/>
      <c r="K70" s="348">
        <f>(H70+I70)-J70</f>
        <v>0</v>
      </c>
    </row>
    <row r="71" spans="1:11">
      <c r="A71" s="45" t="s">
        <v>309</v>
      </c>
      <c r="B71" s="335"/>
      <c r="C71" s="337"/>
      <c r="D71" s="338"/>
      <c r="E71" s="43"/>
      <c r="F71" s="364"/>
      <c r="G71" s="364"/>
      <c r="H71" s="363"/>
      <c r="I71" s="167">
        <v>0</v>
      </c>
      <c r="J71" s="363"/>
      <c r="K71" s="348">
        <f>(H71+I71)-J71</f>
        <v>0</v>
      </c>
    </row>
    <row r="72" spans="1:11">
      <c r="A72" s="45" t="s">
        <v>310</v>
      </c>
      <c r="B72" s="336"/>
      <c r="C72" s="339"/>
      <c r="D72" s="365"/>
      <c r="E72" s="43"/>
      <c r="F72" s="57"/>
      <c r="G72" s="57"/>
      <c r="H72" s="347"/>
      <c r="I72" s="167">
        <v>0</v>
      </c>
      <c r="J72" s="347"/>
      <c r="K72" s="348">
        <f>(H72+I72)-J72</f>
        <v>0</v>
      </c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7">SUM(F68:F72)</f>
        <v>212.25</v>
      </c>
      <c r="G74" s="368">
        <f t="shared" si="7"/>
        <v>0</v>
      </c>
      <c r="H74" s="354">
        <f t="shared" si="7"/>
        <v>1440437.25</v>
      </c>
      <c r="I74" s="370">
        <f t="shared" si="7"/>
        <v>421657</v>
      </c>
      <c r="J74" s="354">
        <f t="shared" si="7"/>
        <v>772918</v>
      </c>
      <c r="K74" s="354">
        <f t="shared" si="7"/>
        <v>1089176.25</v>
      </c>
    </row>
    <row r="75" spans="1:11" ht="25.5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/>
      <c r="G77" s="57"/>
      <c r="H77" s="347">
        <v>61800</v>
      </c>
      <c r="I77" s="167">
        <v>0</v>
      </c>
      <c r="J77" s="347"/>
      <c r="K77" s="348">
        <f>(H77+I77)-J77</f>
        <v>61800</v>
      </c>
    </row>
    <row r="78" spans="1:11">
      <c r="A78" s="45" t="s">
        <v>313</v>
      </c>
      <c r="B78" s="49" t="s">
        <v>197</v>
      </c>
      <c r="F78" s="57"/>
      <c r="G78" s="57"/>
      <c r="H78" s="347"/>
      <c r="I78" s="167">
        <v>0</v>
      </c>
      <c r="J78" s="347"/>
      <c r="K78" s="348">
        <f>(H78+I78)-J78</f>
        <v>0</v>
      </c>
    </row>
    <row r="79" spans="1:11">
      <c r="A79" s="45" t="s">
        <v>314</v>
      </c>
      <c r="B79" s="49" t="s">
        <v>199</v>
      </c>
      <c r="F79" s="57">
        <v>798</v>
      </c>
      <c r="G79" s="57">
        <v>1235</v>
      </c>
      <c r="H79" s="347">
        <v>696544.16</v>
      </c>
      <c r="I79" s="167">
        <v>0</v>
      </c>
      <c r="J79" s="347"/>
      <c r="K79" s="348">
        <f>(H79+I79)-J79</f>
        <v>696544.16</v>
      </c>
    </row>
    <row r="80" spans="1:11">
      <c r="A80" s="45" t="s">
        <v>315</v>
      </c>
      <c r="B80" s="49" t="s">
        <v>316</v>
      </c>
      <c r="F80" s="57">
        <v>64</v>
      </c>
      <c r="G80" s="57"/>
      <c r="H80" s="347">
        <v>77380</v>
      </c>
      <c r="I80" s="167">
        <v>0</v>
      </c>
      <c r="J80" s="347"/>
      <c r="K80" s="348">
        <f>(H80+I80)-J80</f>
        <v>77380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8">SUM(F77:F80)</f>
        <v>862</v>
      </c>
      <c r="G82" s="455">
        <f t="shared" si="8"/>
        <v>1235</v>
      </c>
      <c r="H82" s="354">
        <f t="shared" si="8"/>
        <v>835724.16</v>
      </c>
      <c r="I82" s="354">
        <f t="shared" si="8"/>
        <v>0</v>
      </c>
      <c r="J82" s="354">
        <f t="shared" si="8"/>
        <v>0</v>
      </c>
      <c r="K82" s="354">
        <f t="shared" si="8"/>
        <v>835724.16</v>
      </c>
    </row>
    <row r="83" spans="1:11" ht="13.5" thickBot="1">
      <c r="A83" s="45"/>
      <c r="F83" s="356"/>
      <c r="G83" s="356"/>
      <c r="H83" s="352"/>
      <c r="I83" s="352"/>
      <c r="J83" s="352"/>
      <c r="K83" s="352"/>
    </row>
    <row r="84" spans="1:11" ht="25.5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144</v>
      </c>
      <c r="G86" s="57">
        <v>250</v>
      </c>
      <c r="H86" s="347">
        <v>964868.58</v>
      </c>
      <c r="I86" s="167">
        <f t="shared" ref="I86:I96" si="9">H86*F$114</f>
        <v>504047.34619199997</v>
      </c>
      <c r="J86" s="347">
        <v>114374</v>
      </c>
      <c r="K86" s="348">
        <f t="shared" ref="K86:K96" si="10">(H86+I86)-J86</f>
        <v>1354541.926192</v>
      </c>
    </row>
    <row r="87" spans="1:11">
      <c r="A87" s="45" t="s">
        <v>320</v>
      </c>
      <c r="B87" s="49" t="s">
        <v>206</v>
      </c>
      <c r="F87" s="57">
        <v>125</v>
      </c>
      <c r="G87" s="57">
        <v>53</v>
      </c>
      <c r="H87" s="347">
        <v>13768.6</v>
      </c>
      <c r="I87" s="167">
        <f t="shared" si="9"/>
        <v>7192.7166399999996</v>
      </c>
      <c r="J87" s="347"/>
      <c r="K87" s="348">
        <f t="shared" si="10"/>
        <v>20961.316640000001</v>
      </c>
    </row>
    <row r="88" spans="1:11">
      <c r="A88" s="45" t="s">
        <v>321</v>
      </c>
      <c r="B88" s="49" t="s">
        <v>208</v>
      </c>
      <c r="F88" s="57">
        <v>2102</v>
      </c>
      <c r="G88" s="57">
        <v>1032</v>
      </c>
      <c r="H88" s="347">
        <v>63060</v>
      </c>
      <c r="I88" s="167">
        <f t="shared" si="9"/>
        <v>32942.544000000002</v>
      </c>
      <c r="J88" s="347"/>
      <c r="K88" s="348">
        <f t="shared" si="10"/>
        <v>96002.543999999994</v>
      </c>
    </row>
    <row r="89" spans="1:11">
      <c r="A89" s="45" t="s">
        <v>322</v>
      </c>
      <c r="B89" s="49" t="s">
        <v>210</v>
      </c>
      <c r="F89" s="57">
        <v>233</v>
      </c>
      <c r="G89" s="57">
        <v>103</v>
      </c>
      <c r="H89" s="347">
        <v>92473.21</v>
      </c>
      <c r="I89" s="167">
        <f t="shared" si="9"/>
        <v>48308.004904000001</v>
      </c>
      <c r="J89" s="347"/>
      <c r="K89" s="348">
        <f t="shared" si="10"/>
        <v>140781.21490399999</v>
      </c>
    </row>
    <row r="90" spans="1:11">
      <c r="A90" s="45" t="s">
        <v>323</v>
      </c>
      <c r="B90" s="818" t="s">
        <v>212</v>
      </c>
      <c r="C90" s="818"/>
      <c r="F90" s="57">
        <v>20</v>
      </c>
      <c r="G90" s="57">
        <v>50</v>
      </c>
      <c r="H90" s="347">
        <v>2000</v>
      </c>
      <c r="I90" s="167">
        <f t="shared" si="9"/>
        <v>1044.8</v>
      </c>
      <c r="J90" s="347"/>
      <c r="K90" s="348">
        <f t="shared" si="10"/>
        <v>3044.8</v>
      </c>
    </row>
    <row r="91" spans="1:11">
      <c r="A91" s="45" t="s">
        <v>324</v>
      </c>
      <c r="B91" s="49" t="s">
        <v>214</v>
      </c>
      <c r="F91" s="57">
        <v>1799.5</v>
      </c>
      <c r="G91" s="57">
        <v>812</v>
      </c>
      <c r="H91" s="347">
        <v>104380.95</v>
      </c>
      <c r="I91" s="167">
        <f t="shared" si="9"/>
        <v>54528.608279999993</v>
      </c>
      <c r="J91" s="347"/>
      <c r="K91" s="348">
        <f t="shared" si="10"/>
        <v>158909.55828</v>
      </c>
    </row>
    <row r="92" spans="1:11">
      <c r="A92" s="45" t="s">
        <v>325</v>
      </c>
      <c r="B92" s="49" t="s">
        <v>216</v>
      </c>
      <c r="F92" s="372">
        <v>417</v>
      </c>
      <c r="G92" s="372">
        <v>347</v>
      </c>
      <c r="H92" s="373">
        <v>22067.56</v>
      </c>
      <c r="I92" s="167">
        <f t="shared" si="9"/>
        <v>11528.093344000001</v>
      </c>
      <c r="J92" s="373"/>
      <c r="K92" s="348">
        <f t="shared" si="10"/>
        <v>33595.653344000006</v>
      </c>
    </row>
    <row r="93" spans="1:11">
      <c r="A93" s="45" t="s">
        <v>326</v>
      </c>
      <c r="B93" s="49" t="s">
        <v>218</v>
      </c>
      <c r="F93" s="57">
        <v>924</v>
      </c>
      <c r="G93" s="57">
        <v>450</v>
      </c>
      <c r="H93" s="347">
        <v>28002.48</v>
      </c>
      <c r="I93" s="167">
        <f t="shared" si="9"/>
        <v>14628.495551999998</v>
      </c>
      <c r="J93" s="347"/>
      <c r="K93" s="348">
        <f t="shared" si="10"/>
        <v>42630.975551999996</v>
      </c>
    </row>
    <row r="94" spans="1:11">
      <c r="A94" s="45" t="s">
        <v>327</v>
      </c>
      <c r="B94" s="817" t="s">
        <v>525</v>
      </c>
      <c r="C94" s="864"/>
      <c r="D94" s="865"/>
      <c r="F94" s="57">
        <v>200</v>
      </c>
      <c r="G94" s="57">
        <v>228808</v>
      </c>
      <c r="H94" s="347">
        <v>44621.8</v>
      </c>
      <c r="I94" s="167">
        <f t="shared" si="9"/>
        <v>23310.428319999999</v>
      </c>
      <c r="J94" s="347"/>
      <c r="K94" s="348">
        <f t="shared" si="10"/>
        <v>67932.228319999995</v>
      </c>
    </row>
    <row r="95" spans="1:11">
      <c r="A95" s="45" t="s">
        <v>329</v>
      </c>
      <c r="B95" s="817" t="s">
        <v>526</v>
      </c>
      <c r="C95" s="864"/>
      <c r="D95" s="865"/>
      <c r="F95" s="57">
        <v>1200</v>
      </c>
      <c r="G95" s="57"/>
      <c r="H95" s="347">
        <v>50400</v>
      </c>
      <c r="I95" s="167">
        <f t="shared" si="9"/>
        <v>26328.959999999999</v>
      </c>
      <c r="J95" s="347"/>
      <c r="K95" s="348">
        <f t="shared" si="10"/>
        <v>76728.959999999992</v>
      </c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>
        <f t="shared" si="9"/>
        <v>0</v>
      </c>
      <c r="J96" s="347"/>
      <c r="K96" s="348">
        <f t="shared" si="10"/>
        <v>0</v>
      </c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11">SUM(F86:F96)</f>
        <v>7164.5</v>
      </c>
      <c r="G98" s="350">
        <f t="shared" si="11"/>
        <v>231905</v>
      </c>
      <c r="H98" s="348">
        <f t="shared" si="11"/>
        <v>1385643.18</v>
      </c>
      <c r="I98" s="348">
        <f t="shared" si="11"/>
        <v>723859.99723199999</v>
      </c>
      <c r="J98" s="348">
        <f t="shared" si="11"/>
        <v>114374</v>
      </c>
      <c r="K98" s="348">
        <f t="shared" si="11"/>
        <v>1995129.1772320003</v>
      </c>
    </row>
    <row r="99" spans="1:11" ht="13.5" thickBot="1">
      <c r="B99" s="43"/>
      <c r="F99" s="356"/>
      <c r="G99" s="356"/>
      <c r="H99" s="352"/>
      <c r="I99" s="352"/>
      <c r="J99" s="352"/>
      <c r="K99" s="352"/>
    </row>
    <row r="100" spans="1:11" ht="25.5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1120</v>
      </c>
      <c r="G102" s="57"/>
      <c r="H102" s="347">
        <v>38080</v>
      </c>
      <c r="I102" s="167">
        <f>H102*F$114</f>
        <v>19892.991999999998</v>
      </c>
      <c r="J102" s="347"/>
      <c r="K102" s="348">
        <f>(H102+I102)-J102</f>
        <v>57972.991999999998</v>
      </c>
    </row>
    <row r="103" spans="1:11">
      <c r="A103" s="45" t="s">
        <v>333</v>
      </c>
      <c r="B103" s="818" t="s">
        <v>226</v>
      </c>
      <c r="C103" s="818"/>
      <c r="F103" s="57"/>
      <c r="G103" s="57"/>
      <c r="H103" s="347"/>
      <c r="I103" s="167">
        <f>H103*F$114</f>
        <v>0</v>
      </c>
      <c r="J103" s="347"/>
      <c r="K103" s="348">
        <f>(H103+I103)-J103</f>
        <v>0</v>
      </c>
    </row>
    <row r="104" spans="1:11">
      <c r="A104" s="45" t="s">
        <v>334</v>
      </c>
      <c r="B104" s="817" t="s">
        <v>527</v>
      </c>
      <c r="C104" s="864"/>
      <c r="D104" s="865"/>
      <c r="F104" s="57"/>
      <c r="G104" s="57"/>
      <c r="H104" s="347">
        <v>900</v>
      </c>
      <c r="I104" s="167">
        <f>H104*F$114</f>
        <v>470.15999999999997</v>
      </c>
      <c r="J104" s="347"/>
      <c r="K104" s="348">
        <f>(H104+I104)-J104</f>
        <v>1370.1599999999999</v>
      </c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>
        <f>H105*F$114</f>
        <v>0</v>
      </c>
      <c r="J105" s="347"/>
      <c r="K105" s="348">
        <f>(H105+I105)-J105</f>
        <v>0</v>
      </c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>
        <f>H106*F$114</f>
        <v>0</v>
      </c>
      <c r="J106" s="347"/>
      <c r="K106" s="348">
        <f>(H106+I106)-J106</f>
        <v>0</v>
      </c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12">SUM(F102:F106)</f>
        <v>1120</v>
      </c>
      <c r="G108" s="350">
        <f t="shared" si="12"/>
        <v>0</v>
      </c>
      <c r="H108" s="348">
        <f t="shared" si="12"/>
        <v>38980</v>
      </c>
      <c r="I108" s="348">
        <f t="shared" si="12"/>
        <v>20363.151999999998</v>
      </c>
      <c r="J108" s="348">
        <f t="shared" si="12"/>
        <v>0</v>
      </c>
      <c r="K108" s="348">
        <f t="shared" si="12"/>
        <v>59343.152000000002</v>
      </c>
    </row>
    <row r="109" spans="1:11" ht="13.5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8859700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0.52239999999999998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508509000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15468000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f>SUM(F117:F118)</f>
        <v>523977000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516696000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7281000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38061000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45342000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5.5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/>
      <c r="G131" s="57"/>
      <c r="H131" s="347"/>
      <c r="I131" s="167">
        <v>0</v>
      </c>
      <c r="J131" s="347"/>
      <c r="K131" s="348">
        <f>(H131+I131)-J131</f>
        <v>0</v>
      </c>
    </row>
    <row r="132" spans="1:11">
      <c r="A132" s="45" t="s">
        <v>354</v>
      </c>
      <c r="B132" s="49" t="s">
        <v>128</v>
      </c>
      <c r="F132" s="57"/>
      <c r="G132" s="57"/>
      <c r="H132" s="347"/>
      <c r="I132" s="167">
        <v>0</v>
      </c>
      <c r="J132" s="347"/>
      <c r="K132" s="348">
        <f>(H132+I132)-J132</f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13">SUM(F131:F135)</f>
        <v>0</v>
      </c>
      <c r="G137" s="350">
        <f t="shared" si="13"/>
        <v>0</v>
      </c>
      <c r="H137" s="348">
        <f t="shared" si="13"/>
        <v>0</v>
      </c>
      <c r="I137" s="348">
        <f t="shared" si="13"/>
        <v>0</v>
      </c>
      <c r="J137" s="348">
        <f t="shared" si="13"/>
        <v>0</v>
      </c>
      <c r="K137" s="348">
        <f t="shared" si="13"/>
        <v>0</v>
      </c>
    </row>
    <row r="138" spans="1:11">
      <c r="A138" s="49"/>
      <c r="H138" s="384"/>
      <c r="I138" s="384"/>
      <c r="J138" s="384"/>
      <c r="K138" s="384"/>
    </row>
    <row r="139" spans="1:11" ht="25.5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14">F36</f>
        <v>40788.5</v>
      </c>
      <c r="G141" s="377">
        <f t="shared" si="14"/>
        <v>83057</v>
      </c>
      <c r="H141" s="380">
        <f t="shared" si="14"/>
        <v>2672924.1599999992</v>
      </c>
      <c r="I141" s="380">
        <f t="shared" si="14"/>
        <v>1396335.5811839998</v>
      </c>
      <c r="J141" s="380">
        <f t="shared" si="14"/>
        <v>70797</v>
      </c>
      <c r="K141" s="380">
        <f t="shared" si="14"/>
        <v>3998462.7411839999</v>
      </c>
    </row>
    <row r="142" spans="1:11">
      <c r="A142" s="45" t="s">
        <v>286</v>
      </c>
      <c r="B142" s="43" t="s">
        <v>125</v>
      </c>
      <c r="F142" s="456">
        <f t="shared" ref="F142:K142" si="15">F49</f>
        <v>57710</v>
      </c>
      <c r="G142" s="456">
        <f t="shared" si="15"/>
        <v>17313</v>
      </c>
      <c r="H142" s="380">
        <f t="shared" si="15"/>
        <v>3295373.6</v>
      </c>
      <c r="I142" s="380">
        <f t="shared" si="15"/>
        <v>0</v>
      </c>
      <c r="J142" s="380">
        <f t="shared" si="15"/>
        <v>2500</v>
      </c>
      <c r="K142" s="380">
        <f t="shared" si="15"/>
        <v>3292873.6</v>
      </c>
    </row>
    <row r="143" spans="1:11">
      <c r="A143" s="45" t="s">
        <v>305</v>
      </c>
      <c r="B143" s="43" t="s">
        <v>247</v>
      </c>
      <c r="F143" s="377">
        <f t="shared" ref="F143:K143" si="16">F64</f>
        <v>25024</v>
      </c>
      <c r="G143" s="377">
        <f t="shared" si="16"/>
        <v>21619</v>
      </c>
      <c r="H143" s="380">
        <f t="shared" si="16"/>
        <v>15649081.370000001</v>
      </c>
      <c r="I143" s="380">
        <f t="shared" si="16"/>
        <v>129953.88000800001</v>
      </c>
      <c r="J143" s="380">
        <f t="shared" si="16"/>
        <v>831385.2</v>
      </c>
      <c r="K143" s="380">
        <f t="shared" si="16"/>
        <v>14947650.050007999</v>
      </c>
    </row>
    <row r="144" spans="1:11">
      <c r="A144" s="45" t="s">
        <v>311</v>
      </c>
      <c r="B144" s="43" t="s">
        <v>127</v>
      </c>
      <c r="F144" s="377">
        <f t="shared" ref="F144:K144" si="17">F74</f>
        <v>212.25</v>
      </c>
      <c r="G144" s="377">
        <f t="shared" si="17"/>
        <v>0</v>
      </c>
      <c r="H144" s="380">
        <f t="shared" si="17"/>
        <v>1440437.25</v>
      </c>
      <c r="I144" s="380">
        <f t="shared" si="17"/>
        <v>421657</v>
      </c>
      <c r="J144" s="380">
        <f t="shared" si="17"/>
        <v>772918</v>
      </c>
      <c r="K144" s="380">
        <f t="shared" si="17"/>
        <v>1089176.25</v>
      </c>
    </row>
    <row r="145" spans="1:11">
      <c r="A145" s="45" t="s">
        <v>317</v>
      </c>
      <c r="B145" s="43" t="s">
        <v>248</v>
      </c>
      <c r="F145" s="377">
        <f t="shared" ref="F145:K145" si="18">F82</f>
        <v>862</v>
      </c>
      <c r="G145" s="377">
        <f t="shared" si="18"/>
        <v>1235</v>
      </c>
      <c r="H145" s="380">
        <f t="shared" si="18"/>
        <v>835724.16</v>
      </c>
      <c r="I145" s="380">
        <f t="shared" si="18"/>
        <v>0</v>
      </c>
      <c r="J145" s="380">
        <f t="shared" si="18"/>
        <v>0</v>
      </c>
      <c r="K145" s="380">
        <f t="shared" si="18"/>
        <v>835724.16</v>
      </c>
    </row>
    <row r="146" spans="1:11">
      <c r="A146" s="45" t="s">
        <v>331</v>
      </c>
      <c r="B146" s="43" t="s">
        <v>249</v>
      </c>
      <c r="F146" s="377">
        <f t="shared" ref="F146:K146" si="19">F98</f>
        <v>7164.5</v>
      </c>
      <c r="G146" s="377">
        <f t="shared" si="19"/>
        <v>231905</v>
      </c>
      <c r="H146" s="380">
        <f t="shared" si="19"/>
        <v>1385643.18</v>
      </c>
      <c r="I146" s="380">
        <f t="shared" si="19"/>
        <v>723859.99723199999</v>
      </c>
      <c r="J146" s="380">
        <f t="shared" si="19"/>
        <v>114374</v>
      </c>
      <c r="K146" s="380">
        <f t="shared" si="19"/>
        <v>1995129.1772320003</v>
      </c>
    </row>
    <row r="147" spans="1:11">
      <c r="A147" s="45" t="s">
        <v>338</v>
      </c>
      <c r="B147" s="43" t="s">
        <v>129</v>
      </c>
      <c r="F147" s="350">
        <f t="shared" ref="F147:K147" si="20">F108</f>
        <v>1120</v>
      </c>
      <c r="G147" s="350">
        <f t="shared" si="20"/>
        <v>0</v>
      </c>
      <c r="H147" s="348">
        <f t="shared" si="20"/>
        <v>38980</v>
      </c>
      <c r="I147" s="348">
        <f t="shared" si="20"/>
        <v>20363.151999999998</v>
      </c>
      <c r="J147" s="348">
        <f t="shared" si="20"/>
        <v>0</v>
      </c>
      <c r="K147" s="348">
        <f t="shared" si="20"/>
        <v>59343.152000000002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8859700</v>
      </c>
    </row>
    <row r="149" spans="1:11">
      <c r="A149" s="45" t="s">
        <v>358</v>
      </c>
      <c r="B149" s="43" t="s">
        <v>250</v>
      </c>
      <c r="F149" s="350">
        <f t="shared" ref="F149:K149" si="21">F137</f>
        <v>0</v>
      </c>
      <c r="G149" s="350">
        <f t="shared" si="21"/>
        <v>0</v>
      </c>
      <c r="H149" s="348">
        <f t="shared" si="21"/>
        <v>0</v>
      </c>
      <c r="I149" s="348">
        <f t="shared" si="21"/>
        <v>0</v>
      </c>
      <c r="J149" s="348">
        <f t="shared" si="21"/>
        <v>0</v>
      </c>
      <c r="K149" s="348">
        <f t="shared" si="21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14562440</v>
      </c>
      <c r="I150" s="348">
        <f>I18</f>
        <v>0</v>
      </c>
      <c r="J150" s="348">
        <f>J18</f>
        <v>12452707</v>
      </c>
      <c r="K150" s="348">
        <f>K18</f>
        <v>2109733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22">SUM(F141:F150)</f>
        <v>132881.25</v>
      </c>
      <c r="G152" s="381">
        <f t="shared" si="22"/>
        <v>355129</v>
      </c>
      <c r="H152" s="482">
        <f t="shared" si="22"/>
        <v>39880603.719999999</v>
      </c>
      <c r="I152" s="482">
        <f t="shared" si="22"/>
        <v>2692169.6104239994</v>
      </c>
      <c r="J152" s="482">
        <f t="shared" si="22"/>
        <v>14244681.199999999</v>
      </c>
      <c r="K152" s="482">
        <f t="shared" si="22"/>
        <v>37187792.130423993</v>
      </c>
    </row>
    <row r="154" spans="1:11">
      <c r="A154" s="48" t="s">
        <v>361</v>
      </c>
      <c r="B154" s="43" t="s">
        <v>252</v>
      </c>
      <c r="F154" s="459">
        <f>K152/F121</f>
        <v>7.1972285696858485E-2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0.8201621483486391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B62:D62"/>
    <mergeCell ref="B90:C90"/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53:D53"/>
    <mergeCell ref="B55:D55"/>
    <mergeCell ref="B56:D56"/>
    <mergeCell ref="B57:D57"/>
    <mergeCell ref="B59:D59"/>
    <mergeCell ref="B44:D44"/>
    <mergeCell ref="B45:D45"/>
    <mergeCell ref="B46:D46"/>
    <mergeCell ref="B47:D47"/>
    <mergeCell ref="B52:C52"/>
    <mergeCell ref="B135:D135"/>
    <mergeCell ref="B96:D96"/>
    <mergeCell ref="B106:D106"/>
    <mergeCell ref="B133:D133"/>
    <mergeCell ref="B134:D134"/>
    <mergeCell ref="B94:D94"/>
    <mergeCell ref="B95:D95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Z54"/>
  <sheetViews>
    <sheetView zoomScale="87" zoomScaleNormal="87" workbookViewId="0">
      <pane xSplit="2" ySplit="2" topLeftCell="C15" activePane="bottomRight" state="frozen"/>
      <selection pane="topRight" activeCell="C1" sqref="C1"/>
      <selection pane="bottomLeft" activeCell="A3" sqref="A3"/>
      <selection pane="bottomRight" activeCell="F29" sqref="F29"/>
    </sheetView>
  </sheetViews>
  <sheetFormatPr defaultColWidth="12.42578125" defaultRowHeight="15"/>
  <cols>
    <col min="1" max="1" width="12.42578125" style="12" customWidth="1"/>
    <col min="2" max="2" width="41.28515625" style="12" customWidth="1"/>
    <col min="3" max="3" width="32.28515625" style="12" customWidth="1"/>
    <col min="4" max="4" width="18.85546875" style="12" customWidth="1"/>
    <col min="5" max="5" width="19.5703125" style="14" customWidth="1"/>
    <col min="6" max="6" width="19" style="14" customWidth="1"/>
    <col min="7" max="8" width="14.28515625" style="14" customWidth="1"/>
    <col min="9" max="10" width="19" style="12" customWidth="1"/>
    <col min="11" max="11" width="14.28515625" style="12" customWidth="1"/>
    <col min="12" max="12" width="41.5703125" style="12" customWidth="1"/>
    <col min="13" max="13" width="19" style="12" customWidth="1"/>
    <col min="14" max="15" width="17.7109375" style="12" customWidth="1"/>
    <col min="16" max="16" width="12.42578125" style="12" customWidth="1"/>
    <col min="17" max="17" width="16.42578125" style="12" customWidth="1"/>
    <col min="18" max="18" width="12.42578125" style="12" customWidth="1"/>
    <col min="19" max="19" width="16" style="12" customWidth="1"/>
    <col min="20" max="20" width="12.42578125" style="12" customWidth="1"/>
    <col min="21" max="22" width="18.42578125" style="12" customWidth="1"/>
    <col min="23" max="23" width="21.42578125" style="12" customWidth="1"/>
    <col min="24" max="25" width="12.42578125" style="12"/>
    <col min="26" max="26" width="13.28515625" style="12" bestFit="1" customWidth="1"/>
    <col min="27" max="27" width="12.42578125" style="12"/>
    <col min="28" max="29" width="13.28515625" style="12" bestFit="1" customWidth="1"/>
    <col min="30" max="16384" width="12.42578125" style="12"/>
  </cols>
  <sheetData>
    <row r="1" spans="1:260" ht="71.25" customHeight="1" thickBot="1">
      <c r="A1" s="18" t="s">
        <v>916</v>
      </c>
      <c r="B1" s="18"/>
      <c r="C1" s="18"/>
      <c r="D1" s="18"/>
      <c r="E1" s="18"/>
      <c r="F1" s="18"/>
      <c r="G1" t="s">
        <v>1030</v>
      </c>
      <c r="H1"/>
      <c r="I1"/>
      <c r="J1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</row>
    <row r="2" spans="1:260" ht="61.5" thickBot="1">
      <c r="A2" s="29" t="s">
        <v>70</v>
      </c>
      <c r="B2" s="30" t="s">
        <v>71</v>
      </c>
      <c r="C2" s="720" t="s">
        <v>1026</v>
      </c>
      <c r="D2" s="23" t="s">
        <v>1025</v>
      </c>
      <c r="E2" s="31" t="s">
        <v>72</v>
      </c>
      <c r="F2" s="32" t="s">
        <v>73</v>
      </c>
      <c r="G2" s="33" t="s">
        <v>1032</v>
      </c>
      <c r="H2" s="33" t="s">
        <v>1031</v>
      </c>
      <c r="I2" s="723" t="s">
        <v>74</v>
      </c>
      <c r="J2" s="712" t="s">
        <v>1027</v>
      </c>
      <c r="L2" s="12" t="s">
        <v>69</v>
      </c>
      <c r="U2" s="710" t="s">
        <v>1024</v>
      </c>
      <c r="V2" s="710" t="s">
        <v>1029</v>
      </c>
      <c r="X2" s="714" t="s">
        <v>1028</v>
      </c>
      <c r="Z2" s="12" t="s">
        <v>1040</v>
      </c>
    </row>
    <row r="3" spans="1:260" ht="15.75">
      <c r="A3" s="24">
        <v>210001</v>
      </c>
      <c r="B3" s="25" t="s">
        <v>75</v>
      </c>
      <c r="C3" s="721">
        <f>+AC3*1000</f>
        <v>10647300</v>
      </c>
      <c r="D3" s="718">
        <f>+W3</f>
        <v>301350700</v>
      </c>
      <c r="E3" s="26">
        <f>+T3</f>
        <v>7.2348324456190619E-2</v>
      </c>
      <c r="F3" s="27">
        <f t="shared" ref="F3:F49" si="0">E3*D3</f>
        <v>21802218.218700163</v>
      </c>
      <c r="G3" s="28">
        <v>0.51166308521192871</v>
      </c>
      <c r="H3" s="26">
        <f>+X3</f>
        <v>0.49106179262251987</v>
      </c>
      <c r="I3" s="724">
        <f>+F3*H3</f>
        <v>10706236.361622265</v>
      </c>
      <c r="J3" s="713"/>
      <c r="K3">
        <v>1</v>
      </c>
      <c r="L3" t="s">
        <v>55</v>
      </c>
      <c r="M3" s="17">
        <v>10280147.23472365</v>
      </c>
      <c r="O3" s="38">
        <v>1</v>
      </c>
      <c r="P3" s="38" t="s">
        <v>980</v>
      </c>
      <c r="Q3" s="707">
        <v>286941698.55777085</v>
      </c>
      <c r="R3" s="708">
        <v>1.1302622865732692</v>
      </c>
      <c r="S3" s="707">
        <v>253871779.9987126</v>
      </c>
      <c r="T3" s="709">
        <v>7.2348324456190619E-2</v>
      </c>
      <c r="U3" s="711">
        <f>VLOOKUP(O3,[5]Sheet1!$B$2:$I$52,8,)</f>
        <v>301350.7</v>
      </c>
      <c r="V3" s="711">
        <f>VLOOKUP(O3,'[6]PDA Data 2013'!$A$9:$E$56,5,)</f>
        <v>301350.69999999995</v>
      </c>
      <c r="W3" s="711">
        <f>+U3*1000</f>
        <v>301350700</v>
      </c>
      <c r="X3" s="715">
        <f>VLOOKUP(O3,[5]Sheet1!$B$2:$N$51,13,)</f>
        <v>0.49106179262251987</v>
      </c>
      <c r="Z3" s="711">
        <f>VLOOKUP(O3,[5]Sheet1!$B$2:$K$52,10,)</f>
        <v>10647.3</v>
      </c>
      <c r="AB3" s="711">
        <f>VLOOKUP(O3,'[6]PDA Data 2013'!$A$9:$V$56,22,)</f>
        <v>21682.2</v>
      </c>
      <c r="AC3" s="711">
        <f>+Z3</f>
        <v>10647.3</v>
      </c>
    </row>
    <row r="4" spans="1:260" ht="15.75">
      <c r="A4" s="19">
        <v>210002</v>
      </c>
      <c r="B4" s="20" t="s">
        <v>76</v>
      </c>
      <c r="C4" s="721">
        <f t="shared" ref="C4:C49" si="1">+AC4*1000</f>
        <v>43850000</v>
      </c>
      <c r="D4" s="512">
        <v>1179258000</v>
      </c>
      <c r="E4" s="26">
        <f t="shared" ref="E4:E49" si="2">+T4</f>
        <v>8.1935077256350825E-2</v>
      </c>
      <c r="F4" s="22">
        <f t="shared" si="0"/>
        <v>96622595.335169762</v>
      </c>
      <c r="G4" s="21">
        <v>0.79553361682391377</v>
      </c>
      <c r="H4" s="26">
        <f>+X4</f>
        <v>0.65441378017497231</v>
      </c>
      <c r="I4" s="725">
        <f t="shared" ref="I4:I49" si="3">+F4*H4</f>
        <v>63231157.863605089</v>
      </c>
      <c r="J4" s="713"/>
      <c r="K4">
        <v>2</v>
      </c>
      <c r="L4" t="s">
        <v>50</v>
      </c>
      <c r="M4" s="17">
        <v>82640595.802019924</v>
      </c>
      <c r="N4" s="16"/>
      <c r="O4" s="38">
        <v>2</v>
      </c>
      <c r="P4" s="38" t="s">
        <v>981</v>
      </c>
      <c r="Q4" s="707">
        <v>1159047283.4071405</v>
      </c>
      <c r="R4" s="708">
        <v>1.1427447341619814</v>
      </c>
      <c r="S4" s="707">
        <v>1014266133.7723112</v>
      </c>
      <c r="T4" s="709">
        <v>8.1935077256350825E-2</v>
      </c>
      <c r="U4" s="711">
        <f>VLOOKUP(O4,[5]Sheet1!$B$2:$I$52,8,)</f>
        <v>1241601.5</v>
      </c>
      <c r="V4" s="711">
        <f>VLOOKUP(O4,'[6]PDA Data 2013'!$A$9:$E$56,5,)</f>
        <v>1241601.4639800009</v>
      </c>
      <c r="W4" s="711">
        <f t="shared" ref="W4:W49" si="4">+U4*1000</f>
        <v>1241601500</v>
      </c>
      <c r="X4" s="715">
        <f>VLOOKUP(O4,[5]Sheet1!$B$2:$N$51,13,)</f>
        <v>0.65441378017497231</v>
      </c>
      <c r="Z4" s="711">
        <f>VLOOKUP(O4,[5]Sheet1!$B$2:$K$52,10,)</f>
        <v>43850</v>
      </c>
      <c r="AB4" s="711">
        <f>VLOOKUP(O4,'[6]PDA Data 2013'!$A$9:$V$56,22,)</f>
        <v>67006.53520510481</v>
      </c>
      <c r="AC4" s="711">
        <f t="shared" ref="AC4:AC49" si="5">+Z4</f>
        <v>43850</v>
      </c>
    </row>
    <row r="5" spans="1:260" ht="15.75">
      <c r="A5" s="19">
        <v>210003</v>
      </c>
      <c r="B5" s="20" t="s">
        <v>77</v>
      </c>
      <c r="C5" s="721">
        <f t="shared" si="1"/>
        <v>21929912.420000002</v>
      </c>
      <c r="D5" s="512">
        <v>255903800</v>
      </c>
      <c r="E5" s="26">
        <f t="shared" si="2"/>
        <v>0.13690993821587658</v>
      </c>
      <c r="F5" s="22">
        <f t="shared" si="0"/>
        <v>35035773.447208039</v>
      </c>
      <c r="G5" s="21">
        <v>0.62045021403604605</v>
      </c>
      <c r="H5" s="26">
        <f t="shared" ref="H5:H49" si="6">+X5</f>
        <v>0.56755143283168019</v>
      </c>
      <c r="I5" s="725">
        <f t="shared" si="3"/>
        <v>19884603.420329057</v>
      </c>
      <c r="J5" s="713"/>
      <c r="K5">
        <v>3</v>
      </c>
      <c r="L5" t="s">
        <v>36</v>
      </c>
      <c r="M5" s="17">
        <v>20958374.907708153</v>
      </c>
      <c r="O5" s="38">
        <v>3</v>
      </c>
      <c r="P5" s="38" t="s">
        <v>982</v>
      </c>
      <c r="Q5" s="707">
        <v>278177315.25157589</v>
      </c>
      <c r="R5" s="708">
        <v>1.216144608681224</v>
      </c>
      <c r="S5" s="707">
        <v>228737037.7386525</v>
      </c>
      <c r="T5" s="709">
        <v>0.13690993821587658</v>
      </c>
      <c r="U5" s="711">
        <f>VLOOKUP(O5,[5]Sheet1!$B$2:$I$52,8,)</f>
        <v>249192.55458999999</v>
      </c>
      <c r="V5" s="711">
        <f>VLOOKUP(O5,'[6]PDA Data 2013'!$A$9:$E$56,5,)</f>
        <v>249192.55458999999</v>
      </c>
      <c r="W5" s="711">
        <f t="shared" si="4"/>
        <v>249192554.58999997</v>
      </c>
      <c r="X5" s="715">
        <f>VLOOKUP(O5,[5]Sheet1!$B$2:$N$51,13,)</f>
        <v>0.56755143283168019</v>
      </c>
      <c r="Z5" s="711">
        <f>VLOOKUP(O5,[5]Sheet1!$B$2:$K$52,10,)</f>
        <v>21929.912420000001</v>
      </c>
      <c r="AB5" s="711">
        <f>VLOOKUP(O5,'[6]PDA Data 2013'!$A$9:$V$56,22,)</f>
        <v>38639.51556</v>
      </c>
      <c r="AC5" s="711">
        <f t="shared" si="5"/>
        <v>21929.912420000001</v>
      </c>
    </row>
    <row r="6" spans="1:260" ht="15.75">
      <c r="A6" s="19">
        <v>210004</v>
      </c>
      <c r="B6" s="20" t="s">
        <v>78</v>
      </c>
      <c r="C6" s="721">
        <f t="shared" si="1"/>
        <v>23411700</v>
      </c>
      <c r="D6" s="512">
        <v>453731600</v>
      </c>
      <c r="E6" s="26">
        <f t="shared" si="2"/>
        <v>8.192364241354165E-2</v>
      </c>
      <c r="F6" s="22">
        <f t="shared" si="0"/>
        <v>37171345.350124113</v>
      </c>
      <c r="G6" s="21">
        <v>0.48547308206855194</v>
      </c>
      <c r="H6" s="26">
        <f t="shared" si="6"/>
        <v>0.54802540256225984</v>
      </c>
      <c r="I6" s="725">
        <f t="shared" si="3"/>
        <v>20370841.499282554</v>
      </c>
      <c r="J6" s="713"/>
      <c r="K6">
        <v>4</v>
      </c>
      <c r="L6" t="s">
        <v>24</v>
      </c>
      <c r="M6" s="17">
        <v>15044746.866790054</v>
      </c>
      <c r="O6" s="38">
        <v>4</v>
      </c>
      <c r="P6" s="38" t="s">
        <v>983</v>
      </c>
      <c r="Q6" s="707">
        <v>457736990.84689105</v>
      </c>
      <c r="R6" s="708">
        <v>1.1357995937850658</v>
      </c>
      <c r="S6" s="707">
        <v>403008588.26817948</v>
      </c>
      <c r="T6" s="709">
        <v>8.192364241354165E-2</v>
      </c>
      <c r="U6" s="711">
        <f>VLOOKUP(O6,[5]Sheet1!$B$2:$I$52,8,)</f>
        <v>461351.2</v>
      </c>
      <c r="V6" s="711">
        <f>VLOOKUP(O6,'[6]PDA Data 2013'!$A$9:$E$56,5,)</f>
        <v>461351.2</v>
      </c>
      <c r="W6" s="711">
        <f t="shared" si="4"/>
        <v>461351200</v>
      </c>
      <c r="X6" s="715">
        <f>VLOOKUP(O6,[5]Sheet1!$B$2:$N$51,13,)</f>
        <v>0.54802540256225984</v>
      </c>
      <c r="Z6" s="711">
        <f>VLOOKUP(O6,[5]Sheet1!$B$2:$K$52,10,)</f>
        <v>23411.7</v>
      </c>
      <c r="AB6" s="711">
        <f>VLOOKUP(O6,'[6]PDA Data 2013'!$A$9:$V$56,22,)</f>
        <v>42720.1</v>
      </c>
      <c r="AC6" s="711">
        <f t="shared" si="5"/>
        <v>23411.7</v>
      </c>
    </row>
    <row r="7" spans="1:260" ht="15.75">
      <c r="A7" s="19">
        <v>210005</v>
      </c>
      <c r="B7" s="20" t="s">
        <v>79</v>
      </c>
      <c r="C7" s="721">
        <f t="shared" si="1"/>
        <v>8974555.5700000003</v>
      </c>
      <c r="D7" s="512">
        <v>334410300.00000006</v>
      </c>
      <c r="E7" s="26">
        <f t="shared" si="2"/>
        <v>5.1562863515880047E-2</v>
      </c>
      <c r="F7" s="22">
        <f t="shared" si="0"/>
        <v>17243152.657204505</v>
      </c>
      <c r="G7" s="21">
        <v>0.36826433236523293</v>
      </c>
      <c r="H7" s="26">
        <f t="shared" si="6"/>
        <v>0.44169173233886144</v>
      </c>
      <c r="I7" s="725">
        <f t="shared" si="3"/>
        <v>7616157.9681441002</v>
      </c>
      <c r="J7" s="713"/>
      <c r="K7">
        <v>5</v>
      </c>
      <c r="L7" t="s">
        <v>19</v>
      </c>
      <c r="M7" s="17">
        <v>6490078.0351148685</v>
      </c>
      <c r="O7" s="38">
        <v>5</v>
      </c>
      <c r="P7" s="38" t="s">
        <v>984</v>
      </c>
      <c r="Q7" s="707">
        <v>321583240.86664742</v>
      </c>
      <c r="R7" s="708">
        <v>1.1002213417633466</v>
      </c>
      <c r="S7" s="707">
        <v>292289586.34018093</v>
      </c>
      <c r="T7" s="709">
        <v>5.1562863515880047E-2</v>
      </c>
      <c r="U7" s="711">
        <f>VLOOKUP(O7,[5]Sheet1!$B$2:$I$52,8,)</f>
        <v>337093.7</v>
      </c>
      <c r="V7" s="711">
        <f>VLOOKUP(O7,'[6]PDA Data 2013'!$A$9:$E$56,5,)</f>
        <v>337093.73676</v>
      </c>
      <c r="W7" s="711">
        <f t="shared" si="4"/>
        <v>337093700</v>
      </c>
      <c r="X7" s="715">
        <f>VLOOKUP(O7,[5]Sheet1!$B$2:$N$51,13,)</f>
        <v>0.44169173233886144</v>
      </c>
      <c r="Z7" s="711">
        <f>VLOOKUP(O7,[5]Sheet1!$B$2:$K$52,10,)</f>
        <v>8974.5555700000004</v>
      </c>
      <c r="AB7" s="711">
        <f>VLOOKUP(O7,'[6]PDA Data 2013'!$A$9:$V$56,22,)</f>
        <v>20318.595330000004</v>
      </c>
      <c r="AC7" s="711">
        <f t="shared" si="5"/>
        <v>8974.5555700000004</v>
      </c>
    </row>
    <row r="8" spans="1:260" ht="15.75">
      <c r="A8" s="741">
        <v>210006</v>
      </c>
      <c r="B8" s="742" t="s">
        <v>80</v>
      </c>
      <c r="C8" s="721">
        <f t="shared" si="1"/>
        <v>3830710.61</v>
      </c>
      <c r="D8" s="743">
        <v>104773100</v>
      </c>
      <c r="E8" s="744">
        <f t="shared" si="2"/>
        <v>8.9446243318177535E-2</v>
      </c>
      <c r="F8" s="745">
        <f t="shared" si="0"/>
        <v>9371560.1957997475</v>
      </c>
      <c r="G8" s="750">
        <v>0.25092667115168454</v>
      </c>
      <c r="H8" s="744">
        <f t="shared" si="6"/>
        <v>0.29749946293640195</v>
      </c>
      <c r="I8" s="725">
        <f t="shared" si="3"/>
        <v>2788034.1251265868</v>
      </c>
      <c r="J8" s="713"/>
      <c r="K8">
        <v>6</v>
      </c>
      <c r="L8" t="s">
        <v>46</v>
      </c>
      <c r="M8" s="17">
        <v>2316181.1749342694</v>
      </c>
      <c r="O8" s="38">
        <v>6</v>
      </c>
      <c r="P8" s="38" t="s">
        <v>985</v>
      </c>
      <c r="Q8" s="707">
        <v>104011833.96048248</v>
      </c>
      <c r="R8" s="708">
        <v>1.147455571347489</v>
      </c>
      <c r="S8" s="707">
        <v>90645630.696043849</v>
      </c>
      <c r="T8" s="709">
        <v>8.9446243318177535E-2</v>
      </c>
      <c r="U8" s="711">
        <f>VLOOKUP(O8,[5]Sheet1!$B$2:$I$52,8,)</f>
        <v>103499.3</v>
      </c>
      <c r="V8" s="711">
        <f>VLOOKUP(O8,'[6]PDA Data 2013'!$A$9:$E$56,5,)</f>
        <v>103499.31249999999</v>
      </c>
      <c r="W8" s="711">
        <f>+V8*1000</f>
        <v>103499312.49999999</v>
      </c>
      <c r="X8" s="715">
        <f>VLOOKUP(O8,[5]Sheet1!$B$2:$N$51,13,)</f>
        <v>0.29749946293640195</v>
      </c>
      <c r="Z8" s="711">
        <f>VLOOKUP(O8,[5]Sheet1!$B$2:$K$52,10,)</f>
        <v>3830.7106100000001</v>
      </c>
      <c r="AB8" s="711">
        <f>VLOOKUP(O8,'[6]PDA Data 2013'!$A$9:$V$56,22,)</f>
        <v>12876.361429999997</v>
      </c>
      <c r="AC8" s="711">
        <f t="shared" si="5"/>
        <v>3830.7106100000001</v>
      </c>
    </row>
    <row r="9" spans="1:260" ht="15.75">
      <c r="A9" s="746">
        <v>210007</v>
      </c>
      <c r="B9" s="747" t="s">
        <v>81</v>
      </c>
      <c r="C9" s="721">
        <f t="shared" si="1"/>
        <v>6346816.8399999989</v>
      </c>
      <c r="D9" s="748">
        <v>354785600</v>
      </c>
      <c r="E9" s="717">
        <f t="shared" si="2"/>
        <v>3.8304649873857635E-2</v>
      </c>
      <c r="F9" s="749">
        <f t="shared" si="0"/>
        <v>13589938.188286506</v>
      </c>
      <c r="G9" s="716">
        <v>0.35253096094782893</v>
      </c>
      <c r="H9" s="717">
        <f t="shared" si="6"/>
        <v>0.36675211226247051</v>
      </c>
      <c r="I9" s="725">
        <f t="shared" si="3"/>
        <v>4984138.5360704875</v>
      </c>
      <c r="J9" s="713"/>
      <c r="K9">
        <v>63</v>
      </c>
      <c r="L9" t="s">
        <v>43</v>
      </c>
      <c r="M9" s="17">
        <v>3977318.4902507756</v>
      </c>
      <c r="O9" s="38">
        <v>63</v>
      </c>
      <c r="P9" s="38" t="s">
        <v>986</v>
      </c>
      <c r="Q9" s="707">
        <v>346599355.97998494</v>
      </c>
      <c r="R9" s="708">
        <v>1.0844449748020206</v>
      </c>
      <c r="S9" s="707">
        <v>319609905.55861175</v>
      </c>
      <c r="T9" s="709">
        <v>3.8304649873857635E-2</v>
      </c>
      <c r="U9" s="711">
        <f>VLOOKUP(O9,[5]Sheet1!$B$2:$I$52,8,)</f>
        <v>337661.5</v>
      </c>
      <c r="V9" s="711" t="e">
        <f>VLOOKUP(O9,'[6]PDA Data 2013'!$A$9:$E$56,5,)</f>
        <v>#N/A</v>
      </c>
      <c r="W9" s="711" t="e">
        <f>+V9*1000</f>
        <v>#N/A</v>
      </c>
      <c r="X9" s="715">
        <f>VLOOKUP(O9,[5]Sheet1!$B$2:$N$51,13,)</f>
        <v>0.36675211226247051</v>
      </c>
      <c r="Z9" s="711">
        <f>VLOOKUP(O9,[5]Sheet1!$B$2:$K$52,10,)</f>
        <v>6346.8168399999986</v>
      </c>
      <c r="AB9" s="711" t="e">
        <f>VLOOKUP(O9,'[6]PDA Data 2013'!$A$9:$V$56,22,)</f>
        <v>#N/A</v>
      </c>
      <c r="AC9" s="711">
        <f t="shared" si="5"/>
        <v>6346.8168399999986</v>
      </c>
    </row>
    <row r="10" spans="1:260" ht="15.75">
      <c r="A10" s="19">
        <v>210008</v>
      </c>
      <c r="B10" s="20" t="s">
        <v>82</v>
      </c>
      <c r="C10" s="721">
        <f t="shared" si="1"/>
        <v>17220770</v>
      </c>
      <c r="D10" s="512">
        <v>459265699.99999994</v>
      </c>
      <c r="E10" s="26">
        <f t="shared" si="2"/>
        <v>6.8652254693906858E-2</v>
      </c>
      <c r="F10" s="22">
        <f t="shared" si="0"/>
        <v>31529625.808575414</v>
      </c>
      <c r="G10" s="21">
        <v>0.44311933736251047</v>
      </c>
      <c r="H10" s="26">
        <f t="shared" si="6"/>
        <v>0.44146685544811626</v>
      </c>
      <c r="I10" s="725">
        <f t="shared" si="3"/>
        <v>13919284.759167558</v>
      </c>
      <c r="J10" s="713"/>
      <c r="K10">
        <v>8</v>
      </c>
      <c r="L10" t="s">
        <v>32</v>
      </c>
      <c r="M10" s="17">
        <v>13390925.932852281</v>
      </c>
      <c r="O10" s="38">
        <v>8</v>
      </c>
      <c r="P10" s="38" t="s">
        <v>987</v>
      </c>
      <c r="Q10" s="707">
        <v>431664028.10366315</v>
      </c>
      <c r="R10" s="708">
        <v>1.1218465395177402</v>
      </c>
      <c r="S10" s="707">
        <v>384779925.6832642</v>
      </c>
      <c r="T10" s="709">
        <v>6.8652254693906858E-2</v>
      </c>
      <c r="U10" s="711">
        <f>VLOOKUP(O10,[5]Sheet1!$B$2:$I$52,8,)</f>
        <v>470759.6</v>
      </c>
      <c r="V10" s="711">
        <f>VLOOKUP(O10,'[6]PDA Data 2013'!$A$9:$E$56,5,)</f>
        <v>470759.6</v>
      </c>
      <c r="W10" s="711">
        <f t="shared" si="4"/>
        <v>470759600</v>
      </c>
      <c r="X10" s="715">
        <f>VLOOKUP(O10,[5]Sheet1!$B$2:$N$51,13,)</f>
        <v>0.44146685544811626</v>
      </c>
      <c r="Z10" s="711">
        <f>VLOOKUP(O10,[5]Sheet1!$B$2:$K$52,10,)</f>
        <v>17220.77</v>
      </c>
      <c r="AB10" s="711">
        <f>VLOOKUP(O10,'[6]PDA Data 2013'!$A$9:$V$56,22,)</f>
        <v>39008.07</v>
      </c>
      <c r="AC10" s="711">
        <f t="shared" si="5"/>
        <v>17220.77</v>
      </c>
    </row>
    <row r="11" spans="1:260" ht="15.75">
      <c r="A11" s="19">
        <v>210009</v>
      </c>
      <c r="B11" s="20" t="s">
        <v>83</v>
      </c>
      <c r="C11" s="721">
        <f t="shared" si="1"/>
        <v>31611500</v>
      </c>
      <c r="D11" s="512">
        <v>1851351500</v>
      </c>
      <c r="E11" s="26">
        <f t="shared" si="2"/>
        <v>4.9541377417425606E-2</v>
      </c>
      <c r="F11" s="22">
        <f t="shared" si="0"/>
        <v>91718503.393817022</v>
      </c>
      <c r="G11" s="21">
        <v>0.48780419735764108</v>
      </c>
      <c r="H11" s="26">
        <f t="shared" si="6"/>
        <v>0.34756474336843635</v>
      </c>
      <c r="I11" s="725">
        <f t="shared" si="3"/>
        <v>31878118.094209071</v>
      </c>
      <c r="J11" s="713"/>
      <c r="K11">
        <v>9</v>
      </c>
      <c r="L11" t="s">
        <v>27</v>
      </c>
      <c r="M11" s="17">
        <v>43890515.77874013</v>
      </c>
      <c r="O11" s="38">
        <v>9</v>
      </c>
      <c r="P11" s="38" t="s">
        <v>988</v>
      </c>
      <c r="Q11" s="707">
        <v>1845497378.3540955</v>
      </c>
      <c r="R11" s="708">
        <v>1.0962254626181325</v>
      </c>
      <c r="S11" s="707">
        <v>1683501652.9779058</v>
      </c>
      <c r="T11" s="709">
        <v>4.9541377417425606E-2</v>
      </c>
      <c r="U11" s="711">
        <f>VLOOKUP(O11,[5]Sheet1!$B$2:$I$52,8,)</f>
        <v>2132419</v>
      </c>
      <c r="V11" s="711">
        <f>VLOOKUP(O11,'[6]PDA Data 2013'!$A$9:$E$56,5,)</f>
        <v>2132419</v>
      </c>
      <c r="W11" s="711">
        <f t="shared" si="4"/>
        <v>2132419000</v>
      </c>
      <c r="X11" s="715">
        <f>VLOOKUP(O11,[5]Sheet1!$B$2:$N$51,13,)</f>
        <v>0.34756474336843635</v>
      </c>
      <c r="Z11" s="711">
        <f>VLOOKUP(O11,[5]Sheet1!$B$2:$K$52,10,)</f>
        <v>31611.5</v>
      </c>
      <c r="AB11" s="711">
        <f>VLOOKUP(O11,'[6]PDA Data 2013'!$A$9:$V$56,22,)</f>
        <v>90951.4</v>
      </c>
      <c r="AC11" s="711">
        <f t="shared" si="5"/>
        <v>31611.5</v>
      </c>
    </row>
    <row r="12" spans="1:260" ht="15.75">
      <c r="A12" s="19">
        <v>210010</v>
      </c>
      <c r="B12" s="20" t="s">
        <v>84</v>
      </c>
      <c r="C12" s="721">
        <f t="shared" si="1"/>
        <v>2673346.61</v>
      </c>
      <c r="D12" s="512">
        <v>59359900</v>
      </c>
      <c r="E12" s="26">
        <f t="shared" si="2"/>
        <v>6.9075912135650036E-2</v>
      </c>
      <c r="F12" s="22">
        <f t="shared" si="0"/>
        <v>4100339.2367809727</v>
      </c>
      <c r="G12" s="21">
        <v>0.97637472315788998</v>
      </c>
      <c r="H12" s="26">
        <f t="shared" si="6"/>
        <v>0.6386204640528641</v>
      </c>
      <c r="I12" s="725">
        <f t="shared" si="3"/>
        <v>2618560.5461672312</v>
      </c>
      <c r="J12" s="713"/>
      <c r="K12">
        <v>10</v>
      </c>
      <c r="L12" t="s">
        <v>39</v>
      </c>
      <c r="M12" s="17">
        <v>3622344.1205737516</v>
      </c>
      <c r="O12" s="38">
        <v>10</v>
      </c>
      <c r="P12" s="38" t="s">
        <v>989</v>
      </c>
      <c r="Q12" s="707">
        <v>57694599.468403898</v>
      </c>
      <c r="R12" s="708">
        <v>1.130220634485821</v>
      </c>
      <c r="S12" s="707">
        <v>51047200.615525216</v>
      </c>
      <c r="T12" s="709">
        <v>6.9075912135650036E-2</v>
      </c>
      <c r="U12" s="711">
        <f>VLOOKUP(O12,[5]Sheet1!$B$2:$I$52,8,)</f>
        <v>59897.899999999994</v>
      </c>
      <c r="V12" s="711">
        <f>VLOOKUP(O12,'[6]PDA Data 2013'!$A$9:$E$56,5,)</f>
        <v>59897.899999999994</v>
      </c>
      <c r="W12" s="711">
        <f t="shared" si="4"/>
        <v>59897899.999999993</v>
      </c>
      <c r="X12" s="715">
        <f>VLOOKUP(O12,[5]Sheet1!$B$2:$N$51,13,)</f>
        <v>0.6386204640528641</v>
      </c>
      <c r="Z12" s="711">
        <f>VLOOKUP(O12,[5]Sheet1!$B$2:$K$52,10,)</f>
        <v>2673.3466100000001</v>
      </c>
      <c r="AB12" s="711">
        <f>VLOOKUP(O12,'[6]PDA Data 2013'!$A$9:$V$56,22,)</f>
        <v>4186.1273799999999</v>
      </c>
      <c r="AC12" s="711">
        <f t="shared" si="5"/>
        <v>2673.3466100000001</v>
      </c>
    </row>
    <row r="13" spans="1:260" ht="15.75">
      <c r="A13" s="19">
        <v>210011</v>
      </c>
      <c r="B13" s="20" t="s">
        <v>85</v>
      </c>
      <c r="C13" s="721">
        <f t="shared" si="1"/>
        <v>17426897.109999999</v>
      </c>
      <c r="D13" s="512">
        <v>401564200</v>
      </c>
      <c r="E13" s="26">
        <f t="shared" si="2"/>
        <v>6.6808144602954631E-2</v>
      </c>
      <c r="F13" s="22">
        <f t="shared" si="0"/>
        <v>26827759.140969794</v>
      </c>
      <c r="G13" s="21">
        <v>0.66273972476686815</v>
      </c>
      <c r="H13" s="26">
        <f t="shared" si="6"/>
        <v>0.54114119938773431</v>
      </c>
      <c r="I13" s="725">
        <f t="shared" si="3"/>
        <v>14517605.758429646</v>
      </c>
      <c r="J13" s="713"/>
      <c r="K13">
        <v>11</v>
      </c>
      <c r="L13" t="s">
        <v>42</v>
      </c>
      <c r="M13" s="17">
        <v>17112322.796805836</v>
      </c>
      <c r="O13" s="38">
        <v>11</v>
      </c>
      <c r="P13" s="38" t="s">
        <v>990</v>
      </c>
      <c r="Q13" s="707">
        <v>392638249.41196495</v>
      </c>
      <c r="R13" s="708">
        <v>1.1235743504940092</v>
      </c>
      <c r="S13" s="707">
        <v>349454621.52934617</v>
      </c>
      <c r="T13" s="709">
        <v>6.6808144602954631E-2</v>
      </c>
      <c r="U13" s="711">
        <f>VLOOKUP(O13,[5]Sheet1!$B$2:$I$52,8,)</f>
        <v>404669.9</v>
      </c>
      <c r="V13" s="711">
        <f>VLOOKUP(O13,'[6]PDA Data 2013'!$A$9:$E$56,5,)</f>
        <v>404669.94996</v>
      </c>
      <c r="W13" s="711">
        <f t="shared" si="4"/>
        <v>404669900</v>
      </c>
      <c r="X13" s="715">
        <f>VLOOKUP(O13,[5]Sheet1!$B$2:$N$51,13,)</f>
        <v>0.54114119938773431</v>
      </c>
      <c r="Z13" s="711">
        <f>VLOOKUP(O13,[5]Sheet1!$B$2:$K$52,10,)</f>
        <v>17426.897109999998</v>
      </c>
      <c r="AB13" s="711">
        <f>VLOOKUP(O13,'[6]PDA Data 2013'!$A$9:$V$56,22,)</f>
        <v>32203.973989999999</v>
      </c>
      <c r="AC13" s="711">
        <f t="shared" si="5"/>
        <v>17426.897109999998</v>
      </c>
    </row>
    <row r="14" spans="1:260" ht="15.75">
      <c r="A14" s="19">
        <v>210012</v>
      </c>
      <c r="B14" s="20" t="s">
        <v>86</v>
      </c>
      <c r="C14" s="721">
        <f t="shared" si="1"/>
        <v>10254200</v>
      </c>
      <c r="D14" s="512">
        <v>676602700.00000012</v>
      </c>
      <c r="E14" s="26">
        <f t="shared" si="2"/>
        <v>6.1787135469276507E-2</v>
      </c>
      <c r="F14" s="22">
        <f t="shared" si="0"/>
        <v>41805342.683778256</v>
      </c>
      <c r="G14" s="21">
        <v>0.38689596498244588</v>
      </c>
      <c r="H14" s="26">
        <f t="shared" si="6"/>
        <v>0.27669259765946486</v>
      </c>
      <c r="I14" s="725">
        <f t="shared" si="3"/>
        <v>11567228.86321871</v>
      </c>
      <c r="J14" s="713"/>
      <c r="K14">
        <v>12</v>
      </c>
      <c r="L14" t="s">
        <v>40</v>
      </c>
      <c r="M14" s="17">
        <v>15601781.329763209</v>
      </c>
      <c r="O14" s="38">
        <v>12</v>
      </c>
      <c r="P14" s="38" t="s">
        <v>991</v>
      </c>
      <c r="Q14" s="707">
        <v>672400703.52442384</v>
      </c>
      <c r="R14" s="708">
        <v>1.1162661186501626</v>
      </c>
      <c r="S14" s="707">
        <v>602365952.2493794</v>
      </c>
      <c r="T14" s="709">
        <v>6.1787135469276507E-2</v>
      </c>
      <c r="U14" s="711">
        <f>VLOOKUP(O14,[5]Sheet1!$B$2:$I$52,8,)</f>
        <v>684516.8</v>
      </c>
      <c r="V14" s="711">
        <f>VLOOKUP(O14,'[6]PDA Data 2013'!$A$9:$E$56,5,)</f>
        <v>684516.8</v>
      </c>
      <c r="W14" s="711">
        <f t="shared" si="4"/>
        <v>684516800</v>
      </c>
      <c r="X14" s="715">
        <f>VLOOKUP(O14,[5]Sheet1!$B$2:$N$51,13,)</f>
        <v>0.27669259765946486</v>
      </c>
      <c r="Z14" s="711">
        <f>VLOOKUP(O14,[5]Sheet1!$B$2:$K$52,10,)</f>
        <v>10254.200000000001</v>
      </c>
      <c r="AB14" s="711">
        <f>VLOOKUP(O14,'[6]PDA Data 2013'!$A$9:$V$56,22,)</f>
        <v>37059.899999999994</v>
      </c>
      <c r="AC14" s="711">
        <f t="shared" si="5"/>
        <v>10254.200000000001</v>
      </c>
    </row>
    <row r="15" spans="1:260" ht="15.75">
      <c r="A15" s="19">
        <v>210013</v>
      </c>
      <c r="B15" s="20" t="s">
        <v>87</v>
      </c>
      <c r="C15" s="721">
        <f t="shared" si="1"/>
        <v>11884572.52</v>
      </c>
      <c r="D15" s="512">
        <v>130651800</v>
      </c>
      <c r="E15" s="26">
        <f t="shared" si="2"/>
        <v>0.15498744510541732</v>
      </c>
      <c r="F15" s="22">
        <f t="shared" si="0"/>
        <v>20249388.680423964</v>
      </c>
      <c r="G15" s="21">
        <v>0.43842371355357018</v>
      </c>
      <c r="H15" s="26">
        <f t="shared" si="6"/>
        <v>0.54181742154144208</v>
      </c>
      <c r="I15" s="725">
        <f t="shared" si="3"/>
        <v>10971471.562617777</v>
      </c>
      <c r="J15" s="713"/>
      <c r="K15">
        <v>13</v>
      </c>
      <c r="L15" t="s">
        <v>11</v>
      </c>
      <c r="M15" s="17">
        <v>9795024.8948763758</v>
      </c>
      <c r="O15" s="38">
        <v>13</v>
      </c>
      <c r="P15" s="38" t="s">
        <v>992</v>
      </c>
      <c r="Q15" s="707">
        <v>144665833.94838095</v>
      </c>
      <c r="R15" s="708">
        <v>1.2457190182215037</v>
      </c>
      <c r="S15" s="707">
        <v>116130388.82148433</v>
      </c>
      <c r="T15" s="709">
        <v>0.15498744510541732</v>
      </c>
      <c r="U15" s="711">
        <f>VLOOKUP(O15,[5]Sheet1!$B$2:$I$52,8,)</f>
        <v>121044.1</v>
      </c>
      <c r="V15" s="711">
        <f>VLOOKUP(O15,'[6]PDA Data 2013'!$A$9:$E$56,5,)</f>
        <v>121044.137</v>
      </c>
      <c r="W15" s="711">
        <f t="shared" si="4"/>
        <v>121044100</v>
      </c>
      <c r="X15" s="715">
        <f>VLOOKUP(O15,[5]Sheet1!$B$2:$N$51,13,)</f>
        <v>0.54181742154144208</v>
      </c>
      <c r="Z15" s="711">
        <f>VLOOKUP(O15,[5]Sheet1!$B$2:$K$52,10,)</f>
        <v>11884.57252</v>
      </c>
      <c r="AB15" s="711">
        <f>VLOOKUP(O15,'[6]PDA Data 2013'!$A$9:$V$56,22,)</f>
        <v>21934.644489999999</v>
      </c>
      <c r="AC15" s="711">
        <f t="shared" si="5"/>
        <v>11884.57252</v>
      </c>
    </row>
    <row r="16" spans="1:260" ht="15.75">
      <c r="A16" s="19">
        <v>210015</v>
      </c>
      <c r="B16" s="20" t="s">
        <v>88</v>
      </c>
      <c r="C16" s="721">
        <f t="shared" si="1"/>
        <v>14943857</v>
      </c>
      <c r="D16" s="512">
        <v>477082000</v>
      </c>
      <c r="E16" s="26">
        <f t="shared" si="2"/>
        <v>7.0591793844008655E-2</v>
      </c>
      <c r="F16" s="22">
        <f t="shared" si="0"/>
        <v>33678074.190687336</v>
      </c>
      <c r="G16" s="21">
        <v>0.3692022020946969</v>
      </c>
      <c r="H16" s="26">
        <f t="shared" si="6"/>
        <v>0.45057820736420195</v>
      </c>
      <c r="I16" s="725">
        <f t="shared" si="3"/>
        <v>15174606.296318496</v>
      </c>
      <c r="J16" s="713"/>
      <c r="K16">
        <v>15</v>
      </c>
      <c r="L16" t="s">
        <v>18</v>
      </c>
      <c r="M16" s="17">
        <v>10797365.141258199</v>
      </c>
      <c r="O16" s="38">
        <v>15</v>
      </c>
      <c r="P16" s="38" t="s">
        <v>993</v>
      </c>
      <c r="Q16" s="707">
        <v>458908794.86968946</v>
      </c>
      <c r="R16" s="708">
        <v>1.1296593660485852</v>
      </c>
      <c r="S16" s="707">
        <v>406236436.09922707</v>
      </c>
      <c r="T16" s="709">
        <v>7.0591793844008655E-2</v>
      </c>
      <c r="U16" s="711">
        <f>VLOOKUP(O16,[5]Sheet1!$B$2:$I$52,8,)</f>
        <v>469792.19999999995</v>
      </c>
      <c r="V16" s="711">
        <f>VLOOKUP(O16,'[6]PDA Data 2013'!$A$9:$E$56,5,)</f>
        <v>469792.18475000001</v>
      </c>
      <c r="W16" s="711">
        <f t="shared" si="4"/>
        <v>469792199.99999994</v>
      </c>
      <c r="X16" s="715">
        <f>VLOOKUP(O16,[5]Sheet1!$B$2:$N$51,13,)</f>
        <v>0.45057820736420195</v>
      </c>
      <c r="Z16" s="711">
        <f>VLOOKUP(O16,[5]Sheet1!$B$2:$K$52,10,)</f>
        <v>14943.857</v>
      </c>
      <c r="AB16" s="711">
        <f>VLOOKUP(O16,'[6]PDA Data 2013'!$A$9:$V$56,22,)</f>
        <v>33165.955999999998</v>
      </c>
      <c r="AC16" s="711">
        <f t="shared" si="5"/>
        <v>14943.857</v>
      </c>
    </row>
    <row r="17" spans="1:29" ht="15.75">
      <c r="A17" s="741">
        <v>210016</v>
      </c>
      <c r="B17" s="742" t="s">
        <v>89</v>
      </c>
      <c r="C17" s="721">
        <f t="shared" si="1"/>
        <v>14404325</v>
      </c>
      <c r="D17" s="743">
        <v>260716099.99999997</v>
      </c>
      <c r="E17" s="744">
        <f t="shared" si="2"/>
        <v>8.2751422172386457E-2</v>
      </c>
      <c r="F17" s="745">
        <f t="shared" si="0"/>
        <v>21574628.058238123</v>
      </c>
      <c r="G17" s="750">
        <v>0.16823828923072837</v>
      </c>
      <c r="H17" s="744">
        <f t="shared" si="6"/>
        <v>0.41598085329887124</v>
      </c>
      <c r="I17" s="725">
        <f t="shared" si="3"/>
        <v>8974632.1892716642</v>
      </c>
      <c r="J17" s="713"/>
      <c r="K17">
        <v>16</v>
      </c>
      <c r="L17" t="s">
        <v>51</v>
      </c>
      <c r="M17" s="17">
        <v>3430042.0759625663</v>
      </c>
      <c r="O17" s="38">
        <v>16</v>
      </c>
      <c r="P17" s="38" t="s">
        <v>994</v>
      </c>
      <c r="Q17" s="707">
        <v>269902673.73736209</v>
      </c>
      <c r="R17" s="708">
        <v>1.1450440453186679</v>
      </c>
      <c r="S17" s="707">
        <v>235713791.83256456</v>
      </c>
      <c r="T17" s="709">
        <v>8.2751422172386457E-2</v>
      </c>
      <c r="U17" s="711">
        <f>VLOOKUP(O17,[5]Sheet1!$B$2:$I$52,8,)</f>
        <v>245900.4</v>
      </c>
      <c r="V17" s="711">
        <f>VLOOKUP(O17,'[6]PDA Data 2013'!$A$9:$E$56,5,)</f>
        <v>245900.40999999997</v>
      </c>
      <c r="W17" s="711">
        <f>+V17*1000</f>
        <v>245900409.99999997</v>
      </c>
      <c r="X17" s="715">
        <f>VLOOKUP(O17,[5]Sheet1!$B$2:$N$51,13,)</f>
        <v>0.41598085329887124</v>
      </c>
      <c r="Z17" s="711">
        <f>VLOOKUP(O17,[5]Sheet1!$B$2:$K$52,10,)</f>
        <v>14404.325000000001</v>
      </c>
      <c r="AB17" s="711">
        <f>VLOOKUP(O17,'[6]PDA Data 2013'!$A$9:$V$56,22,)</f>
        <v>34627.375</v>
      </c>
      <c r="AC17" s="711">
        <f t="shared" si="5"/>
        <v>14404.325000000001</v>
      </c>
    </row>
    <row r="18" spans="1:29" ht="15.75">
      <c r="A18" s="19">
        <v>210017</v>
      </c>
      <c r="B18" s="20" t="s">
        <v>90</v>
      </c>
      <c r="C18" s="721">
        <f t="shared" si="1"/>
        <v>2656069.6277308455</v>
      </c>
      <c r="D18" s="512">
        <v>42709900</v>
      </c>
      <c r="E18" s="26">
        <f t="shared" si="2"/>
        <v>9.2575519825191577E-2</v>
      </c>
      <c r="F18" s="22">
        <f t="shared" si="0"/>
        <v>3953891.1941819498</v>
      </c>
      <c r="G18" s="21">
        <v>0.56154440620964863</v>
      </c>
      <c r="H18" s="26">
        <f t="shared" si="6"/>
        <v>0.578234037012894</v>
      </c>
      <c r="I18" s="725">
        <f t="shared" si="3"/>
        <v>2286274.4671215611</v>
      </c>
      <c r="J18" s="713"/>
      <c r="K18">
        <v>17</v>
      </c>
      <c r="L18" t="s">
        <v>20</v>
      </c>
      <c r="M18" s="17">
        <v>1604496.5135863456</v>
      </c>
      <c r="O18" s="38">
        <v>17</v>
      </c>
      <c r="P18" s="38" t="s">
        <v>995</v>
      </c>
      <c r="Q18" s="707">
        <v>44810448.523834698</v>
      </c>
      <c r="R18" s="708">
        <v>1.1618786572293036</v>
      </c>
      <c r="S18" s="707">
        <v>38567236.126613081</v>
      </c>
      <c r="T18" s="709">
        <v>9.2575519825191577E-2</v>
      </c>
      <c r="U18" s="711">
        <f>VLOOKUP(O18,[5]Sheet1!$B$2:$I$52,8,)</f>
        <v>42302.399999999994</v>
      </c>
      <c r="V18" s="711">
        <f>VLOOKUP(O18,'[6]PDA Data 2013'!$A$9:$E$56,5,)</f>
        <v>42302.379000000001</v>
      </c>
      <c r="W18" s="711">
        <f t="shared" si="4"/>
        <v>42302399.999999993</v>
      </c>
      <c r="X18" s="715">
        <f>VLOOKUP(O18,[5]Sheet1!$B$2:$N$51,13,)</f>
        <v>0.578234037012894</v>
      </c>
      <c r="Z18" s="711">
        <f>VLOOKUP(O18,[5]Sheet1!$B$2:$K$52,10,)</f>
        <v>2656.0696277308452</v>
      </c>
      <c r="AB18" s="711">
        <f>VLOOKUP(O18,'[6]PDA Data 2013'!$A$9:$V$56,22,)</f>
        <v>4593.4162600525315</v>
      </c>
      <c r="AC18" s="711">
        <f t="shared" si="5"/>
        <v>2656.0696277308452</v>
      </c>
    </row>
    <row r="19" spans="1:29" ht="15.75">
      <c r="A19" s="19">
        <v>210018</v>
      </c>
      <c r="B19" s="20" t="s">
        <v>91</v>
      </c>
      <c r="C19" s="721">
        <f t="shared" si="1"/>
        <v>5999259</v>
      </c>
      <c r="D19" s="512">
        <v>165915000</v>
      </c>
      <c r="E19" s="26">
        <f t="shared" si="2"/>
        <v>6.1636676296870647E-2</v>
      </c>
      <c r="F19" s="22">
        <f t="shared" si="0"/>
        <v>10226449.147795293</v>
      </c>
      <c r="G19" s="21">
        <v>0.54848851660853959</v>
      </c>
      <c r="H19" s="26">
        <f t="shared" si="6"/>
        <v>0.5455010849242643</v>
      </c>
      <c r="I19" s="725">
        <f t="shared" si="3"/>
        <v>5578539.105045151</v>
      </c>
      <c r="J19" s="713"/>
      <c r="K19">
        <v>18</v>
      </c>
      <c r="L19" t="s">
        <v>33</v>
      </c>
      <c r="M19" s="17">
        <v>5305444.1311900718</v>
      </c>
      <c r="O19" s="38">
        <v>18</v>
      </c>
      <c r="P19" s="38" t="s">
        <v>996</v>
      </c>
      <c r="Q19" s="707">
        <v>163565109.70805448</v>
      </c>
      <c r="R19" s="708">
        <v>1.1186041600888668</v>
      </c>
      <c r="S19" s="707">
        <v>146222511.5406867</v>
      </c>
      <c r="T19" s="709">
        <v>6.1636676296870647E-2</v>
      </c>
      <c r="U19" s="711">
        <f>VLOOKUP(O19,[5]Sheet1!$B$2:$I$52,8,)</f>
        <v>166869.1</v>
      </c>
      <c r="V19" s="711">
        <f>VLOOKUP(O19,'[6]PDA Data 2013'!$A$9:$E$56,5,)</f>
        <v>166869.09188154779</v>
      </c>
      <c r="W19" s="711">
        <f t="shared" si="4"/>
        <v>166869100</v>
      </c>
      <c r="X19" s="715">
        <f>VLOOKUP(O19,[5]Sheet1!$B$2:$N$51,13,)</f>
        <v>0.5455010849242643</v>
      </c>
      <c r="Z19" s="711">
        <f>VLOOKUP(O19,[5]Sheet1!$B$2:$K$52,10,)</f>
        <v>5999.259</v>
      </c>
      <c r="AB19" s="711">
        <f>VLOOKUP(O19,'[6]PDA Data 2013'!$A$9:$V$56,22,)</f>
        <v>10997.703149999999</v>
      </c>
      <c r="AC19" s="711">
        <f t="shared" si="5"/>
        <v>5999.259</v>
      </c>
    </row>
    <row r="20" spans="1:29" ht="15.75">
      <c r="A20" s="19">
        <v>210019</v>
      </c>
      <c r="B20" s="20" t="s">
        <v>92</v>
      </c>
      <c r="C20" s="721">
        <f t="shared" si="1"/>
        <v>14186400.000000002</v>
      </c>
      <c r="D20" s="512">
        <v>414765500</v>
      </c>
      <c r="E20" s="26">
        <f t="shared" si="2"/>
        <v>5.4626514842402128E-2</v>
      </c>
      <c r="F20" s="22">
        <f t="shared" si="0"/>
        <v>22657193.741866339</v>
      </c>
      <c r="G20" s="21">
        <v>0.43925339087328868</v>
      </c>
      <c r="H20" s="26">
        <f t="shared" si="6"/>
        <v>0.50067585452363728</v>
      </c>
      <c r="I20" s="725">
        <f t="shared" si="3"/>
        <v>11343909.837816536</v>
      </c>
      <c r="J20" s="713"/>
      <c r="K20">
        <v>19</v>
      </c>
      <c r="L20" t="s">
        <v>35</v>
      </c>
      <c r="M20" s="17">
        <v>9437294.4887388088</v>
      </c>
      <c r="O20" s="38">
        <v>19</v>
      </c>
      <c r="P20" s="38" t="s">
        <v>997</v>
      </c>
      <c r="Q20" s="707">
        <v>408748976.41564357</v>
      </c>
      <c r="R20" s="708">
        <v>1.1090750543836045</v>
      </c>
      <c r="S20" s="707">
        <v>368549427.56134367</v>
      </c>
      <c r="T20" s="709">
        <v>5.4626514842402128E-2</v>
      </c>
      <c r="U20" s="711">
        <f>VLOOKUP(O20,[5]Sheet1!$B$2:$I$52,8,)</f>
        <v>412641.5</v>
      </c>
      <c r="V20" s="711">
        <f>VLOOKUP(O20,'[6]PDA Data 2013'!$A$9:$E$56,5,)</f>
        <v>412641.5</v>
      </c>
      <c r="W20" s="711">
        <f t="shared" si="4"/>
        <v>412641500</v>
      </c>
      <c r="X20" s="715">
        <f>VLOOKUP(O20,[5]Sheet1!$B$2:$N$51,13,)</f>
        <v>0.50067585452363728</v>
      </c>
      <c r="Z20" s="711">
        <f>VLOOKUP(O20,[5]Sheet1!$B$2:$K$52,10,)</f>
        <v>14186.400000000001</v>
      </c>
      <c r="AB20" s="711">
        <f>VLOOKUP(O20,'[6]PDA Data 2013'!$A$9:$V$56,22,)</f>
        <v>28334.500000000004</v>
      </c>
      <c r="AC20" s="711">
        <f t="shared" si="5"/>
        <v>14186.400000000001</v>
      </c>
    </row>
    <row r="21" spans="1:29" ht="15.75">
      <c r="A21" s="19">
        <v>210022</v>
      </c>
      <c r="B21" s="20" t="s">
        <v>93</v>
      </c>
      <c r="C21" s="721">
        <f t="shared" si="1"/>
        <v>5070540</v>
      </c>
      <c r="D21" s="512">
        <v>272892400</v>
      </c>
      <c r="E21" s="26">
        <f t="shared" si="2"/>
        <v>4.2597988807317903E-2</v>
      </c>
      <c r="F21" s="22">
        <f t="shared" si="0"/>
        <v>11624667.400802121</v>
      </c>
      <c r="G21" s="21">
        <v>0.35040760593664549</v>
      </c>
      <c r="H21" s="26">
        <f t="shared" si="6"/>
        <v>0.35649833581519741</v>
      </c>
      <c r="I21" s="725">
        <f t="shared" si="3"/>
        <v>4144174.5827911324</v>
      </c>
      <c r="J21" s="713"/>
      <c r="K21">
        <v>22</v>
      </c>
      <c r="L21" t="s">
        <v>45</v>
      </c>
      <c r="M21" s="17">
        <v>4178750.1209727484</v>
      </c>
      <c r="O21" s="38">
        <v>22</v>
      </c>
      <c r="P21" s="38" t="s">
        <v>998</v>
      </c>
      <c r="Q21" s="707">
        <v>269639955.63753325</v>
      </c>
      <c r="R21" s="708">
        <v>1.0898038101845922</v>
      </c>
      <c r="S21" s="707">
        <v>247420639.49277377</v>
      </c>
      <c r="T21" s="709">
        <v>4.2597988807317903E-2</v>
      </c>
      <c r="U21" s="711">
        <f>VLOOKUP(O21,[5]Sheet1!$B$2:$I$52,8,)</f>
        <v>280578.5</v>
      </c>
      <c r="V21" s="711">
        <f>VLOOKUP(O21,'[6]PDA Data 2013'!$A$9:$E$56,5,)</f>
        <v>280578.549</v>
      </c>
      <c r="W21" s="711">
        <f t="shared" si="4"/>
        <v>280578500</v>
      </c>
      <c r="X21" s="715">
        <f>VLOOKUP(O21,[5]Sheet1!$B$2:$N$51,13,)</f>
        <v>0.35649833581519741</v>
      </c>
      <c r="Z21" s="711">
        <f>VLOOKUP(O21,[5]Sheet1!$B$2:$K$52,10,)</f>
        <v>5070.54</v>
      </c>
      <c r="AB21" s="711">
        <f>VLOOKUP(O21,'[6]PDA Data 2013'!$A$9:$V$56,22,)</f>
        <v>14223.18</v>
      </c>
      <c r="AC21" s="711">
        <f t="shared" si="5"/>
        <v>5070.54</v>
      </c>
    </row>
    <row r="22" spans="1:29" ht="15.75">
      <c r="A22" s="19">
        <v>210023</v>
      </c>
      <c r="B22" s="20" t="s">
        <v>94</v>
      </c>
      <c r="C22" s="721">
        <f t="shared" si="1"/>
        <v>8859700</v>
      </c>
      <c r="D22" s="512">
        <v>523717000</v>
      </c>
      <c r="E22" s="26">
        <f t="shared" si="2"/>
        <v>3.8972403161119405E-2</v>
      </c>
      <c r="F22" s="22">
        <f t="shared" si="0"/>
        <v>20410510.066331971</v>
      </c>
      <c r="G22" s="21">
        <v>0.26579175693332685</v>
      </c>
      <c r="H22" s="26">
        <f t="shared" si="6"/>
        <v>0.31384766891137933</v>
      </c>
      <c r="I22" s="725">
        <f t="shared" si="3"/>
        <v>6405791.0056105312</v>
      </c>
      <c r="J22" s="713"/>
      <c r="K22">
        <v>23</v>
      </c>
      <c r="L22" t="s">
        <v>8</v>
      </c>
      <c r="M22" s="17">
        <v>5206067.3425628329</v>
      </c>
      <c r="O22" s="38">
        <v>23</v>
      </c>
      <c r="P22" s="38" t="s">
        <v>999</v>
      </c>
      <c r="Q22" s="707">
        <v>504164927.69961125</v>
      </c>
      <c r="R22" s="708">
        <v>1.0844034628741379</v>
      </c>
      <c r="S22" s="707">
        <v>464923752.97599685</v>
      </c>
      <c r="T22" s="709">
        <v>3.8972403161119405E-2</v>
      </c>
      <c r="U22" s="711">
        <f>VLOOKUP(O22,[5]Sheet1!$B$2:$I$52,8,)</f>
        <v>541867.80000000005</v>
      </c>
      <c r="V22" s="711">
        <f>VLOOKUP(O22,'[6]PDA Data 2013'!$A$9:$E$56,5,)</f>
        <v>541867.80000000005</v>
      </c>
      <c r="W22" s="711">
        <f t="shared" si="4"/>
        <v>541867800</v>
      </c>
      <c r="X22" s="715">
        <f>VLOOKUP(O22,[5]Sheet1!$B$2:$N$51,13,)</f>
        <v>0.31384766891137933</v>
      </c>
      <c r="Z22" s="711">
        <f>VLOOKUP(O22,[5]Sheet1!$B$2:$K$52,10,)</f>
        <v>8859.7000000000007</v>
      </c>
      <c r="AB22" s="711">
        <f>VLOOKUP(O22,'[6]PDA Data 2013'!$A$9:$V$56,22,)</f>
        <v>28229.299999999996</v>
      </c>
      <c r="AC22" s="711">
        <f t="shared" si="5"/>
        <v>8859.7000000000007</v>
      </c>
    </row>
    <row r="23" spans="1:29" ht="15.75">
      <c r="A23" s="19">
        <v>210024</v>
      </c>
      <c r="B23" s="20" t="s">
        <v>95</v>
      </c>
      <c r="C23" s="721">
        <f t="shared" si="1"/>
        <v>17514686.969999999</v>
      </c>
      <c r="D23" s="512">
        <v>422530700.00000006</v>
      </c>
      <c r="E23" s="26">
        <f t="shared" si="2"/>
        <v>5.518131297056536E-2</v>
      </c>
      <c r="F23" s="22">
        <f t="shared" si="0"/>
        <v>23315798.796372063</v>
      </c>
      <c r="G23" s="21">
        <v>0.49453162131892631</v>
      </c>
      <c r="H23" s="26">
        <f t="shared" si="6"/>
        <v>0.52955263583659251</v>
      </c>
      <c r="I23" s="725">
        <f t="shared" si="3"/>
        <v>12346942.709254477</v>
      </c>
      <c r="J23" s="713"/>
      <c r="K23">
        <v>24</v>
      </c>
      <c r="L23" t="s">
        <v>49</v>
      </c>
      <c r="M23" s="17">
        <v>10343262.210337033</v>
      </c>
      <c r="O23" s="38">
        <v>24</v>
      </c>
      <c r="P23" s="38" t="s">
        <v>1000</v>
      </c>
      <c r="Q23" s="707">
        <v>404394480.93626601</v>
      </c>
      <c r="R23" s="708">
        <v>1.1095855498747886</v>
      </c>
      <c r="S23" s="707">
        <v>364455432.01414257</v>
      </c>
      <c r="T23" s="709">
        <v>5.518131297056536E-2</v>
      </c>
      <c r="U23" s="711">
        <f>VLOOKUP(O23,[5]Sheet1!$B$2:$I$52,8,)</f>
        <v>406581.9</v>
      </c>
      <c r="V23" s="711">
        <f>VLOOKUP(O23,'[6]PDA Data 2013'!$A$9:$E$56,5,)</f>
        <v>406581.94366000028</v>
      </c>
      <c r="W23" s="711">
        <f t="shared" si="4"/>
        <v>406581900</v>
      </c>
      <c r="X23" s="715">
        <f>VLOOKUP(O23,[5]Sheet1!$B$2:$N$51,13,)</f>
        <v>0.52955263583659251</v>
      </c>
      <c r="Z23" s="711">
        <f>VLOOKUP(O23,[5]Sheet1!$B$2:$K$52,10,)</f>
        <v>17514.686969999999</v>
      </c>
      <c r="AB23" s="711">
        <f>VLOOKUP(O23,'[6]PDA Data 2013'!$A$9:$V$56,22,)</f>
        <v>33074.49682</v>
      </c>
      <c r="AC23" s="711">
        <f t="shared" si="5"/>
        <v>17514.686969999999</v>
      </c>
    </row>
    <row r="24" spans="1:29" ht="15.75">
      <c r="A24" s="19">
        <v>210027</v>
      </c>
      <c r="B24" s="20" t="s">
        <v>96</v>
      </c>
      <c r="C24" s="721">
        <f t="shared" si="1"/>
        <v>15448500</v>
      </c>
      <c r="D24" s="512">
        <v>308555800</v>
      </c>
      <c r="E24" s="26">
        <f t="shared" si="2"/>
        <v>5.2439173487761066E-2</v>
      </c>
      <c r="F24" s="22">
        <f t="shared" si="0"/>
        <v>16180411.126854906</v>
      </c>
      <c r="G24" s="21">
        <v>0.75702668147806595</v>
      </c>
      <c r="H24" s="26">
        <f t="shared" si="6"/>
        <v>0.71395560567337857</v>
      </c>
      <c r="I24" s="725">
        <f t="shared" si="3"/>
        <v>11552095.226117969</v>
      </c>
      <c r="J24" s="713"/>
      <c r="K24">
        <v>27</v>
      </c>
      <c r="L24" t="s">
        <v>56</v>
      </c>
      <c r="M24" s="17">
        <v>8385700.5423606718</v>
      </c>
      <c r="O24" s="38">
        <v>27</v>
      </c>
      <c r="P24" s="38" t="s">
        <v>1001</v>
      </c>
      <c r="Q24" s="707">
        <v>295608837.67709374</v>
      </c>
      <c r="R24" s="708">
        <v>1.109182774600979</v>
      </c>
      <c r="S24" s="707">
        <v>266510483.61568454</v>
      </c>
      <c r="T24" s="709">
        <v>5.2439173487761066E-2</v>
      </c>
      <c r="U24" s="711">
        <f>VLOOKUP(O24,[5]Sheet1!$B$2:$I$52,8,)</f>
        <v>314237.3</v>
      </c>
      <c r="V24" s="711">
        <f>VLOOKUP(O24,'[6]PDA Data 2013'!$A$9:$E$56,5,)</f>
        <v>314237.40000000002</v>
      </c>
      <c r="W24" s="711">
        <f t="shared" si="4"/>
        <v>314237300</v>
      </c>
      <c r="X24" s="715">
        <f>VLOOKUP(O24,[5]Sheet1!$B$2:$N$51,13,)</f>
        <v>0.71395560567337857</v>
      </c>
      <c r="Z24" s="711">
        <f>VLOOKUP(O24,[5]Sheet1!$B$2:$K$52,10,)</f>
        <v>15448.5</v>
      </c>
      <c r="AB24" s="711">
        <f>VLOOKUP(O24,'[6]PDA Data 2013'!$A$9:$V$56,22,)</f>
        <v>21637.9</v>
      </c>
      <c r="AC24" s="711">
        <f t="shared" si="5"/>
        <v>15448.5</v>
      </c>
    </row>
    <row r="25" spans="1:29" ht="15.75">
      <c r="A25" s="19">
        <v>210028</v>
      </c>
      <c r="B25" s="20" t="s">
        <v>97</v>
      </c>
      <c r="C25" s="721">
        <f t="shared" si="1"/>
        <v>6012461.3399999999</v>
      </c>
      <c r="D25" s="512">
        <v>151897000</v>
      </c>
      <c r="E25" s="26">
        <f t="shared" si="2"/>
        <v>6.5399136701744173E-2</v>
      </c>
      <c r="F25" s="22">
        <f t="shared" si="0"/>
        <v>9933932.6675848346</v>
      </c>
      <c r="G25" s="21">
        <v>0.50565396548771091</v>
      </c>
      <c r="H25" s="26">
        <f t="shared" si="6"/>
        <v>0.45899069665641357</v>
      </c>
      <c r="I25" s="725">
        <f t="shared" si="3"/>
        <v>4559582.6756326677</v>
      </c>
      <c r="J25" s="713"/>
      <c r="K25">
        <v>28</v>
      </c>
      <c r="L25" t="s">
        <v>44</v>
      </c>
      <c r="M25" s="17">
        <v>4846541.9169678381</v>
      </c>
      <c r="O25" s="38">
        <v>28</v>
      </c>
      <c r="P25" s="38" t="s">
        <v>1002</v>
      </c>
      <c r="Q25" s="707">
        <v>144726506.85819647</v>
      </c>
      <c r="R25" s="708">
        <v>1.1170858316097652</v>
      </c>
      <c r="S25" s="707">
        <v>129557194.94681963</v>
      </c>
      <c r="T25" s="709">
        <v>6.5399136701744173E-2</v>
      </c>
      <c r="U25" s="711">
        <f>VLOOKUP(O25,[5]Sheet1!$B$2:$I$52,8,)</f>
        <v>154603</v>
      </c>
      <c r="V25" s="711">
        <f>VLOOKUP(O25,'[6]PDA Data 2013'!$A$9:$E$56,5,)</f>
        <v>154603.02799999999</v>
      </c>
      <c r="W25" s="711">
        <f t="shared" si="4"/>
        <v>154603000</v>
      </c>
      <c r="X25" s="715">
        <f>VLOOKUP(O25,[5]Sheet1!$B$2:$N$51,13,)</f>
        <v>0.45899069665641357</v>
      </c>
      <c r="Z25" s="711">
        <f>VLOOKUP(O25,[5]Sheet1!$B$2:$K$52,10,)</f>
        <v>6012.4613399999998</v>
      </c>
      <c r="AB25" s="711">
        <f>VLOOKUP(O25,'[6]PDA Data 2013'!$A$9:$V$56,22,)</f>
        <v>13099.30982</v>
      </c>
      <c r="AC25" s="711">
        <f t="shared" si="5"/>
        <v>6012.4613399999998</v>
      </c>
    </row>
    <row r="26" spans="1:29" ht="15.75">
      <c r="A26" s="19">
        <v>210029</v>
      </c>
      <c r="B26" s="20" t="s">
        <v>98</v>
      </c>
      <c r="C26" s="721">
        <f t="shared" si="1"/>
        <v>26118000</v>
      </c>
      <c r="D26" s="512">
        <v>584860100</v>
      </c>
      <c r="E26" s="26">
        <f t="shared" si="2"/>
        <v>8.3078571128687495E-2</v>
      </c>
      <c r="F26" s="22">
        <f t="shared" si="0"/>
        <v>48589341.418181278</v>
      </c>
      <c r="G26" s="21">
        <v>0.47294514665997273</v>
      </c>
      <c r="H26" s="26">
        <f t="shared" si="6"/>
        <v>0.4714100064977258</v>
      </c>
      <c r="I26" s="725">
        <f t="shared" si="3"/>
        <v>22905501.753665052</v>
      </c>
      <c r="J26" s="713"/>
      <c r="K26">
        <v>29</v>
      </c>
      <c r="L26" t="s">
        <v>26</v>
      </c>
      <c r="M26" s="17">
        <v>20745505.932754971</v>
      </c>
      <c r="O26" s="38">
        <v>29</v>
      </c>
      <c r="P26" s="38" t="s">
        <v>1003</v>
      </c>
      <c r="Q26" s="707">
        <v>584388468.6993407</v>
      </c>
      <c r="R26" s="708">
        <v>1.1443211079685109</v>
      </c>
      <c r="S26" s="707">
        <v>510685737.27246296</v>
      </c>
      <c r="T26" s="709">
        <v>8.3078571128687495E-2</v>
      </c>
      <c r="U26" s="711">
        <f>VLOOKUP(O26,[5]Sheet1!$B$2:$I$52,8,)</f>
        <v>596807.29999999993</v>
      </c>
      <c r="V26" s="711">
        <f>VLOOKUP(O26,'[6]PDA Data 2013'!$A$9:$E$56,5,)</f>
        <v>596807.30000000005</v>
      </c>
      <c r="W26" s="711">
        <f t="shared" si="4"/>
        <v>596807299.99999988</v>
      </c>
      <c r="X26" s="715">
        <f>VLOOKUP(O26,[5]Sheet1!$B$2:$N$51,13,)</f>
        <v>0.4714100064977258</v>
      </c>
      <c r="Z26" s="711">
        <f>VLOOKUP(O26,[5]Sheet1!$B$2:$K$52,10,)</f>
        <v>26118</v>
      </c>
      <c r="AB26" s="711">
        <f>VLOOKUP(O26,'[6]PDA Data 2013'!$A$9:$V$56,22,)</f>
        <v>55404</v>
      </c>
      <c r="AC26" s="711">
        <f t="shared" si="5"/>
        <v>26118</v>
      </c>
    </row>
    <row r="27" spans="1:29" ht="15.75">
      <c r="A27" s="19">
        <v>210030</v>
      </c>
      <c r="B27" s="20" t="s">
        <v>99</v>
      </c>
      <c r="C27" s="721">
        <f t="shared" si="1"/>
        <v>3946024.22</v>
      </c>
      <c r="D27" s="512">
        <v>65051700</v>
      </c>
      <c r="E27" s="26">
        <f t="shared" si="2"/>
        <v>8.282002644233058E-2</v>
      </c>
      <c r="F27" s="22">
        <f t="shared" si="0"/>
        <v>5387583.5141185559</v>
      </c>
      <c r="G27" s="21">
        <v>0.8458385964414713</v>
      </c>
      <c r="H27" s="26">
        <f t="shared" si="6"/>
        <v>0.62010603273491371</v>
      </c>
      <c r="I27" s="725">
        <f t="shared" si="3"/>
        <v>3340873.0389680825</v>
      </c>
      <c r="J27" s="713"/>
      <c r="K27">
        <v>30</v>
      </c>
      <c r="L27" t="s">
        <v>14</v>
      </c>
      <c r="M27" s="17">
        <v>3912152.2661757609</v>
      </c>
      <c r="O27" s="38">
        <v>30</v>
      </c>
      <c r="P27" s="38" t="s">
        <v>1004</v>
      </c>
      <c r="Q27" s="707">
        <v>65107758.185429744</v>
      </c>
      <c r="R27" s="708">
        <v>1.1474669482773536</v>
      </c>
      <c r="S27" s="707">
        <v>56740421.397909045</v>
      </c>
      <c r="T27" s="709">
        <v>8.282002644233058E-2</v>
      </c>
      <c r="U27" s="711">
        <f>VLOOKUP(O27,[5]Sheet1!$B$2:$I$52,8,)</f>
        <v>62791.8</v>
      </c>
      <c r="V27" s="711">
        <f>VLOOKUP(O27,'[6]PDA Data 2013'!$A$9:$E$56,5,)</f>
        <v>62791.801080000121</v>
      </c>
      <c r="W27" s="711">
        <f t="shared" si="4"/>
        <v>62791800</v>
      </c>
      <c r="X27" s="715">
        <f>VLOOKUP(O27,[5]Sheet1!$B$2:$N$51,13,)</f>
        <v>0.62010603273491371</v>
      </c>
      <c r="Z27" s="711">
        <f>VLOOKUP(O27,[5]Sheet1!$B$2:$K$52,10,)</f>
        <v>3946.0242200000002</v>
      </c>
      <c r="AB27" s="711">
        <f>VLOOKUP(O27,'[6]PDA Data 2013'!$A$9:$V$56,22,)</f>
        <v>6363.4669100000001</v>
      </c>
      <c r="AC27" s="711">
        <f t="shared" si="5"/>
        <v>3946.0242200000002</v>
      </c>
    </row>
    <row r="28" spans="1:29" ht="15.75">
      <c r="A28" s="19">
        <v>210032</v>
      </c>
      <c r="B28" s="20" t="s">
        <v>100</v>
      </c>
      <c r="C28" s="721">
        <f t="shared" si="1"/>
        <v>3747200</v>
      </c>
      <c r="D28" s="512">
        <v>148428400.00000003</v>
      </c>
      <c r="E28" s="26">
        <f t="shared" si="2"/>
        <v>8.5455751378966646E-2</v>
      </c>
      <c r="F28" s="22">
        <f t="shared" si="0"/>
        <v>12684060.447977815</v>
      </c>
      <c r="G28" s="21">
        <v>0.23636659194743417</v>
      </c>
      <c r="H28" s="26">
        <f t="shared" si="6"/>
        <v>0.28124530907562523</v>
      </c>
      <c r="I28" s="725">
        <f t="shared" si="3"/>
        <v>3567332.5010254341</v>
      </c>
      <c r="J28" s="713"/>
      <c r="K28">
        <v>32</v>
      </c>
      <c r="L28" t="s">
        <v>48</v>
      </c>
      <c r="M28" s="17">
        <v>2389187.3753279378</v>
      </c>
      <c r="O28" s="38">
        <v>32</v>
      </c>
      <c r="P28" s="38" t="s">
        <v>1005</v>
      </c>
      <c r="Q28" s="707">
        <v>143455646.78202301</v>
      </c>
      <c r="R28" s="708">
        <v>1.1466981944727228</v>
      </c>
      <c r="S28" s="707">
        <v>125103228.96949105</v>
      </c>
      <c r="T28" s="709">
        <v>8.5455751378966646E-2</v>
      </c>
      <c r="U28" s="711">
        <f>VLOOKUP(O28,[5]Sheet1!$B$2:$I$52,8,)</f>
        <v>153372.9</v>
      </c>
      <c r="V28" s="711">
        <f>VLOOKUP(O28,'[6]PDA Data 2013'!$A$9:$E$56,5,)</f>
        <v>153372.9</v>
      </c>
      <c r="W28" s="711">
        <f t="shared" si="4"/>
        <v>153372900</v>
      </c>
      <c r="X28" s="715">
        <f>VLOOKUP(O28,[5]Sheet1!$B$2:$N$51,13,)</f>
        <v>0.28124530907562523</v>
      </c>
      <c r="Z28" s="711">
        <f>VLOOKUP(O28,[5]Sheet1!$B$2:$K$52,10,)</f>
        <v>3747.2</v>
      </c>
      <c r="AB28" s="711">
        <f>VLOOKUP(O28,'[6]PDA Data 2013'!$A$9:$V$56,22,)</f>
        <v>13323.599999999999</v>
      </c>
      <c r="AC28" s="711">
        <f t="shared" si="5"/>
        <v>3747.2</v>
      </c>
    </row>
    <row r="29" spans="1:29" ht="15.75">
      <c r="A29" s="19">
        <v>210033</v>
      </c>
      <c r="B29" s="20" t="s">
        <v>101</v>
      </c>
      <c r="C29" s="721">
        <f t="shared" si="1"/>
        <v>6199000</v>
      </c>
      <c r="D29" s="512">
        <v>243424400</v>
      </c>
      <c r="E29" s="26">
        <f t="shared" si="2"/>
        <v>4.5288472253862337E-2</v>
      </c>
      <c r="F29" s="22">
        <f t="shared" si="0"/>
        <v>11024319.185313087</v>
      </c>
      <c r="G29" s="21">
        <v>0.25021301893083986</v>
      </c>
      <c r="H29" s="26">
        <f t="shared" si="6"/>
        <v>0.53007370923332131</v>
      </c>
      <c r="I29" s="725">
        <f t="shared" si="3"/>
        <v>5843701.7623309754</v>
      </c>
      <c r="J29" s="713"/>
      <c r="K29">
        <v>33</v>
      </c>
      <c r="L29" t="s">
        <v>13</v>
      </c>
      <c r="M29" s="17">
        <v>2746948.7256448176</v>
      </c>
      <c r="O29" s="38">
        <v>33</v>
      </c>
      <c r="P29" s="38" t="s">
        <v>1006</v>
      </c>
      <c r="Q29" s="707">
        <v>227938110.29801443</v>
      </c>
      <c r="R29" s="708">
        <v>1.0953171181989203</v>
      </c>
      <c r="S29" s="707">
        <v>208102390.17611942</v>
      </c>
      <c r="T29" s="709">
        <v>4.5288472253862337E-2</v>
      </c>
      <c r="U29" s="711">
        <f>VLOOKUP(O29,[5]Sheet1!$B$2:$I$52,8,)</f>
        <v>249075.20000000001</v>
      </c>
      <c r="V29" s="711">
        <f>VLOOKUP(O29,'[6]PDA Data 2013'!$A$9:$E$56,5,)</f>
        <v>249075.22199999995</v>
      </c>
      <c r="W29" s="711">
        <f t="shared" si="4"/>
        <v>249075200</v>
      </c>
      <c r="X29" s="715">
        <f>VLOOKUP(O29,[5]Sheet1!$B$2:$N$51,13,)</f>
        <v>0.53007370923332131</v>
      </c>
      <c r="Z29" s="711">
        <f>VLOOKUP(O29,[5]Sheet1!$B$2:$K$52,10,)</f>
        <v>6199</v>
      </c>
      <c r="AB29" s="711">
        <f>VLOOKUP(O29,'[6]PDA Data 2013'!$A$9:$V$56,22,)</f>
        <v>11694.599999999999</v>
      </c>
      <c r="AC29" s="711">
        <f t="shared" si="5"/>
        <v>6199</v>
      </c>
    </row>
    <row r="30" spans="1:29" ht="15.75">
      <c r="A30" s="19">
        <v>210034</v>
      </c>
      <c r="B30" s="20" t="s">
        <v>102</v>
      </c>
      <c r="C30" s="721">
        <f t="shared" si="1"/>
        <v>8102570</v>
      </c>
      <c r="D30" s="512">
        <v>209694300.00000003</v>
      </c>
      <c r="E30" s="26">
        <f t="shared" si="2"/>
        <v>8.5908310860243656E-2</v>
      </c>
      <c r="F30" s="22">
        <f t="shared" si="0"/>
        <v>18014483.110021193</v>
      </c>
      <c r="G30" s="21">
        <v>0.42274206290692756</v>
      </c>
      <c r="H30" s="26">
        <f t="shared" si="6"/>
        <v>0.4690187772020582</v>
      </c>
      <c r="I30" s="725">
        <f t="shared" si="3"/>
        <v>8449130.8401892707</v>
      </c>
      <c r="J30" s="713"/>
      <c r="K30">
        <v>34</v>
      </c>
      <c r="L30" t="s">
        <v>23</v>
      </c>
      <c r="M30" s="17">
        <v>6471201.8702131612</v>
      </c>
      <c r="O30" s="38">
        <v>34</v>
      </c>
      <c r="P30" s="38" t="s">
        <v>1007</v>
      </c>
      <c r="Q30" s="707">
        <v>209966684.80323097</v>
      </c>
      <c r="R30" s="708">
        <v>1.1501541613621811</v>
      </c>
      <c r="S30" s="707">
        <v>182555253.77098811</v>
      </c>
      <c r="T30" s="709">
        <v>8.5908310860243656E-2</v>
      </c>
      <c r="U30" s="711">
        <f>VLOOKUP(O30,[5]Sheet1!$B$2:$I$52,8,)</f>
        <v>201141</v>
      </c>
      <c r="V30" s="711">
        <f>VLOOKUP(O30,'[6]PDA Data 2013'!$A$9:$E$56,5,)</f>
        <v>201141.00700000001</v>
      </c>
      <c r="W30" s="711">
        <f t="shared" si="4"/>
        <v>201141000</v>
      </c>
      <c r="X30" s="715">
        <f>VLOOKUP(O30,[5]Sheet1!$B$2:$N$51,13,)</f>
        <v>0.4690187772020582</v>
      </c>
      <c r="Z30" s="711">
        <f>VLOOKUP(O30,[5]Sheet1!$B$2:$K$52,10,)</f>
        <v>8102.57</v>
      </c>
      <c r="AB30" s="711">
        <f>VLOOKUP(O30,'[6]PDA Data 2013'!$A$9:$V$56,22,)</f>
        <v>17275.576999999997</v>
      </c>
      <c r="AC30" s="711">
        <f t="shared" si="5"/>
        <v>8102.57</v>
      </c>
    </row>
    <row r="31" spans="1:29" ht="15.75">
      <c r="A31" s="19">
        <v>210035</v>
      </c>
      <c r="B31" s="20" t="s">
        <v>103</v>
      </c>
      <c r="C31" s="721">
        <f t="shared" si="1"/>
        <v>5199200</v>
      </c>
      <c r="D31" s="512">
        <v>126393900</v>
      </c>
      <c r="E31" s="26">
        <f t="shared" si="2"/>
        <v>7.3207329162967572E-2</v>
      </c>
      <c r="F31" s="22">
        <f t="shared" si="0"/>
        <v>9252959.8414912075</v>
      </c>
      <c r="G31" s="21">
        <v>0.14953097022854536</v>
      </c>
      <c r="H31" s="26">
        <f t="shared" si="6"/>
        <v>0.50876724405081697</v>
      </c>
      <c r="I31" s="725">
        <f t="shared" si="3"/>
        <v>4707602.8778683655</v>
      </c>
      <c r="J31" s="713"/>
      <c r="K31">
        <v>35</v>
      </c>
      <c r="L31" t="s">
        <v>15</v>
      </c>
      <c r="M31" s="17">
        <v>1181237.6561231087</v>
      </c>
      <c r="O31" s="38">
        <v>35</v>
      </c>
      <c r="P31" s="38" t="s">
        <v>1008</v>
      </c>
      <c r="Q31" s="707">
        <v>124291711.72347739</v>
      </c>
      <c r="R31" s="708">
        <v>1.128026701381353</v>
      </c>
      <c r="S31" s="707">
        <v>110185079.45891078</v>
      </c>
      <c r="T31" s="709">
        <v>7.3207329162967572E-2</v>
      </c>
      <c r="U31" s="711">
        <f>VLOOKUP(O31,[5]Sheet1!$B$2:$I$52,8,)</f>
        <v>137003.90000000002</v>
      </c>
      <c r="V31" s="711">
        <f>VLOOKUP(O31,'[6]PDA Data 2013'!$A$9:$E$56,5,)</f>
        <v>137003.90249439282</v>
      </c>
      <c r="W31" s="711">
        <f t="shared" si="4"/>
        <v>137003900.00000003</v>
      </c>
      <c r="X31" s="715">
        <f>VLOOKUP(O31,[5]Sheet1!$B$2:$N$51,13,)</f>
        <v>0.50876724405081697</v>
      </c>
      <c r="Z31" s="711">
        <f>VLOOKUP(O31,[5]Sheet1!$B$2:$K$52,10,)</f>
        <v>5199.2</v>
      </c>
      <c r="AB31" s="711">
        <f>VLOOKUP(O31,'[6]PDA Data 2013'!$A$9:$V$56,22,)</f>
        <v>10219.211359999999</v>
      </c>
      <c r="AC31" s="711">
        <f t="shared" si="5"/>
        <v>5199.2</v>
      </c>
    </row>
    <row r="32" spans="1:29" ht="15.75">
      <c r="A32" s="19">
        <v>210037</v>
      </c>
      <c r="B32" s="20" t="s">
        <v>104</v>
      </c>
      <c r="C32" s="721">
        <f t="shared" si="1"/>
        <v>6971800.29</v>
      </c>
      <c r="D32" s="512">
        <v>184647500</v>
      </c>
      <c r="E32" s="26">
        <f t="shared" si="2"/>
        <v>4.9321098775761588E-2</v>
      </c>
      <c r="F32" s="22">
        <f t="shared" si="0"/>
        <v>9107017.5861974377</v>
      </c>
      <c r="G32" s="21">
        <v>0.98815747730817161</v>
      </c>
      <c r="H32" s="26">
        <f t="shared" si="6"/>
        <v>0.63862046308478515</v>
      </c>
      <c r="I32" s="725">
        <f t="shared" si="3"/>
        <v>5815927.7882186901</v>
      </c>
      <c r="J32" s="713"/>
      <c r="K32">
        <v>37</v>
      </c>
      <c r="L32" t="s">
        <v>38</v>
      </c>
      <c r="M32" s="17">
        <v>8247228.5121649792</v>
      </c>
      <c r="O32" s="38">
        <v>37</v>
      </c>
      <c r="P32" s="38" t="s">
        <v>1009</v>
      </c>
      <c r="Q32" s="707">
        <v>180694831.17574093</v>
      </c>
      <c r="R32" s="708">
        <v>1.1057333988239397</v>
      </c>
      <c r="S32" s="707">
        <v>163416273.18839091</v>
      </c>
      <c r="T32" s="709">
        <v>4.9321098775761588E-2</v>
      </c>
      <c r="U32" s="711">
        <f>VLOOKUP(O32,[5]Sheet1!$B$2:$I$52,8,)</f>
        <v>186358.59999999998</v>
      </c>
      <c r="V32" s="711">
        <f>VLOOKUP(O32,'[6]PDA Data 2013'!$A$9:$E$56,5,)</f>
        <v>186358.60000000003</v>
      </c>
      <c r="W32" s="711">
        <f t="shared" si="4"/>
        <v>186358599.99999997</v>
      </c>
      <c r="X32" s="715">
        <f>VLOOKUP(O32,[5]Sheet1!$B$2:$N$51,13,)</f>
        <v>0.63862046308478515</v>
      </c>
      <c r="Z32" s="711">
        <f>VLOOKUP(O32,[5]Sheet1!$B$2:$K$52,10,)</f>
        <v>6971.8002900000001</v>
      </c>
      <c r="AB32" s="711">
        <f>VLOOKUP(O32,'[6]PDA Data 2013'!$A$9:$V$56,22,)</f>
        <v>10916.96977</v>
      </c>
      <c r="AC32" s="711">
        <f t="shared" si="5"/>
        <v>6971.8002900000001</v>
      </c>
    </row>
    <row r="33" spans="1:29" ht="15.75">
      <c r="A33" s="19">
        <v>210038</v>
      </c>
      <c r="B33" s="20" t="s">
        <v>105</v>
      </c>
      <c r="C33" s="721">
        <f t="shared" si="1"/>
        <v>23597304.379999999</v>
      </c>
      <c r="D33" s="512">
        <v>185438390</v>
      </c>
      <c r="E33" s="26">
        <f t="shared" si="2"/>
        <v>0.115207367265638</v>
      </c>
      <c r="F33" s="22">
        <f t="shared" si="0"/>
        <v>21363868.701878615</v>
      </c>
      <c r="G33" s="21">
        <v>0.6806684550387524</v>
      </c>
      <c r="H33" s="26">
        <f t="shared" si="6"/>
        <v>0.71715617566216472</v>
      </c>
      <c r="I33" s="725">
        <f t="shared" si="3"/>
        <v>15321230.375587882</v>
      </c>
      <c r="J33" s="713"/>
      <c r="K33">
        <v>38</v>
      </c>
      <c r="L33" t="s">
        <v>30</v>
      </c>
      <c r="M33" s="17">
        <v>13947537.898092186</v>
      </c>
      <c r="O33" s="38">
        <v>38</v>
      </c>
      <c r="P33" s="38" t="s">
        <v>1010</v>
      </c>
      <c r="Q33" s="707">
        <v>209397148.89967737</v>
      </c>
      <c r="R33" s="708">
        <v>1.1974054482898484</v>
      </c>
      <c r="S33" s="707">
        <v>174875727.51463705</v>
      </c>
      <c r="T33" s="709">
        <v>0.115207367265638</v>
      </c>
      <c r="U33" s="711">
        <f>VLOOKUP(O33,[5]Sheet1!$B$2:$I$52,8,)</f>
        <v>216173.8</v>
      </c>
      <c r="V33" s="711">
        <f>VLOOKUP(O33,'[6]PDA Data 2013'!$A$9:$E$56,5,)</f>
        <v>216173.78299999997</v>
      </c>
      <c r="W33" s="711">
        <f t="shared" si="4"/>
        <v>216173800</v>
      </c>
      <c r="X33" s="715">
        <f>VLOOKUP(O33,[5]Sheet1!$B$2:$N$51,13,)</f>
        <v>0.71715617566216472</v>
      </c>
      <c r="Z33" s="711">
        <f>VLOOKUP(O33,[5]Sheet1!$B$2:$K$52,10,)</f>
        <v>23597.304379999998</v>
      </c>
      <c r="AB33" s="711">
        <f>VLOOKUP(O33,'[6]PDA Data 2013'!$A$9:$V$56,22,)</f>
        <v>32903.996620000005</v>
      </c>
      <c r="AC33" s="711">
        <f t="shared" si="5"/>
        <v>23597.304379999998</v>
      </c>
    </row>
    <row r="34" spans="1:29" ht="15.75">
      <c r="A34" s="19">
        <v>210039</v>
      </c>
      <c r="B34" s="20" t="s">
        <v>106</v>
      </c>
      <c r="C34" s="721">
        <f t="shared" si="1"/>
        <v>7045876.5199999996</v>
      </c>
      <c r="D34" s="512">
        <v>135740500</v>
      </c>
      <c r="E34" s="26">
        <f t="shared" si="2"/>
        <v>6.4007544616812143E-2</v>
      </c>
      <c r="F34" s="22">
        <f t="shared" si="0"/>
        <v>8688416.1100583877</v>
      </c>
      <c r="G34" s="21">
        <v>0.87523269652529823</v>
      </c>
      <c r="H34" s="26">
        <f t="shared" si="6"/>
        <v>0.82425649404679791</v>
      </c>
      <c r="I34" s="725">
        <f t="shared" si="3"/>
        <v>7161483.4016964445</v>
      </c>
      <c r="J34" s="713"/>
      <c r="K34">
        <v>39</v>
      </c>
      <c r="L34" t="s">
        <v>12</v>
      </c>
      <c r="M34" s="17">
        <v>6664933.7875750344</v>
      </c>
      <c r="O34" s="38">
        <v>39</v>
      </c>
      <c r="P34" s="38" t="s">
        <v>1011</v>
      </c>
      <c r="Q34" s="707">
        <v>129448075.40388826</v>
      </c>
      <c r="R34" s="708">
        <v>1.1137114550801599</v>
      </c>
      <c r="S34" s="707">
        <v>116231250.75477576</v>
      </c>
      <c r="T34" s="709">
        <v>6.4007544616812143E-2</v>
      </c>
      <c r="U34" s="711">
        <f>VLOOKUP(O34,[5]Sheet1!$B$2:$I$52,8,)</f>
        <v>138862.9</v>
      </c>
      <c r="V34" s="711">
        <f>VLOOKUP(O34,'[6]PDA Data 2013'!$A$9:$E$56,5,)</f>
        <v>138862.90628999998</v>
      </c>
      <c r="W34" s="711">
        <f t="shared" si="4"/>
        <v>138862900</v>
      </c>
      <c r="X34" s="715">
        <f>VLOOKUP(O34,[5]Sheet1!$B$2:$N$51,13,)</f>
        <v>0.82425649404679791</v>
      </c>
      <c r="Z34" s="711">
        <f>VLOOKUP(O34,[5]Sheet1!$B$2:$K$52,10,)</f>
        <v>7045.8765199999998</v>
      </c>
      <c r="AB34" s="711">
        <f>VLOOKUP(O34,'[6]PDA Data 2013'!$A$9:$V$56,22,)</f>
        <v>8548.1601551081803</v>
      </c>
      <c r="AC34" s="711">
        <f t="shared" si="5"/>
        <v>7045.8765199999998</v>
      </c>
    </row>
    <row r="35" spans="1:29" ht="15.75">
      <c r="A35" s="19">
        <v>210040</v>
      </c>
      <c r="B35" s="20" t="s">
        <v>107</v>
      </c>
      <c r="C35" s="721">
        <f t="shared" si="1"/>
        <v>3958000</v>
      </c>
      <c r="D35" s="512">
        <v>238730100.00000003</v>
      </c>
      <c r="E35" s="26">
        <f t="shared" si="2"/>
        <v>6.9115553119896408E-2</v>
      </c>
      <c r="F35" s="22">
        <f t="shared" si="0"/>
        <v>16499962.907868184</v>
      </c>
      <c r="G35" s="21">
        <v>0.19334883462750638</v>
      </c>
      <c r="H35" s="26">
        <f t="shared" si="6"/>
        <v>0.18954320136360001</v>
      </c>
      <c r="I35" s="725">
        <f t="shared" si="3"/>
        <v>3127455.7919379901</v>
      </c>
      <c r="J35" s="713"/>
      <c r="K35">
        <v>40</v>
      </c>
      <c r="L35" t="s">
        <v>34</v>
      </c>
      <c r="M35" s="17">
        <v>3060287.7732711844</v>
      </c>
      <c r="O35" s="38">
        <v>40</v>
      </c>
      <c r="P35" s="38" t="s">
        <v>1012</v>
      </c>
      <c r="Q35" s="707">
        <v>237285301.93534487</v>
      </c>
      <c r="R35" s="708">
        <v>1.127711460238378</v>
      </c>
      <c r="S35" s="707">
        <v>210413133.41374311</v>
      </c>
      <c r="T35" s="709">
        <v>6.9115553119896408E-2</v>
      </c>
      <c r="U35" s="711">
        <f>VLOOKUP(O35,[5]Sheet1!$B$2:$I$52,8,)</f>
        <v>248252.7</v>
      </c>
      <c r="V35" s="711">
        <f>VLOOKUP(O35,'[6]PDA Data 2013'!$A$9:$E$56,5,)</f>
        <v>248252.7</v>
      </c>
      <c r="W35" s="711">
        <f t="shared" si="4"/>
        <v>248252700</v>
      </c>
      <c r="X35" s="715">
        <f>VLOOKUP(O35,[5]Sheet1!$B$2:$N$51,13,)</f>
        <v>0.18954320136360001</v>
      </c>
      <c r="Z35" s="711">
        <f>VLOOKUP(O35,[5]Sheet1!$B$2:$K$52,10,)</f>
        <v>3958</v>
      </c>
      <c r="AB35" s="711">
        <f>VLOOKUP(O35,'[6]PDA Data 2013'!$A$9:$V$56,22,)</f>
        <v>20881.783000000003</v>
      </c>
      <c r="AC35" s="711">
        <f t="shared" si="5"/>
        <v>3958</v>
      </c>
    </row>
    <row r="36" spans="1:29" ht="15.75">
      <c r="A36" s="19">
        <v>210043</v>
      </c>
      <c r="B36" s="20" t="s">
        <v>10</v>
      </c>
      <c r="C36" s="721">
        <f t="shared" si="1"/>
        <v>25709000.000000007</v>
      </c>
      <c r="D36" s="512">
        <v>381065300</v>
      </c>
      <c r="E36" s="26">
        <f t="shared" si="2"/>
        <v>7.4179002074336212E-2</v>
      </c>
      <c r="F36" s="22">
        <f t="shared" si="0"/>
        <v>28267043.679157551</v>
      </c>
      <c r="G36" s="21">
        <v>0.64930596675749896</v>
      </c>
      <c r="H36" s="26">
        <f t="shared" si="6"/>
        <v>0.69777414688296424</v>
      </c>
      <c r="I36" s="725">
        <f t="shared" si="3"/>
        <v>19724012.288127646</v>
      </c>
      <c r="J36" s="713"/>
      <c r="K36">
        <v>43</v>
      </c>
      <c r="L36" t="s">
        <v>10</v>
      </c>
      <c r="M36" s="17">
        <v>16503445.800049562</v>
      </c>
      <c r="O36" s="38">
        <v>43</v>
      </c>
      <c r="P36" s="38" t="s">
        <v>1013</v>
      </c>
      <c r="Q36" s="707">
        <v>364521140.39161998</v>
      </c>
      <c r="R36" s="708">
        <v>1.1264059350841318</v>
      </c>
      <c r="S36" s="707">
        <v>323614364.09192371</v>
      </c>
      <c r="T36" s="709">
        <v>7.4179002074336212E-2</v>
      </c>
      <c r="U36" s="711">
        <f>VLOOKUP(O36,[5]Sheet1!$B$2:$I$52,8,)</f>
        <v>376812.79999999999</v>
      </c>
      <c r="V36" s="711">
        <f>VLOOKUP(O36,'[6]PDA Data 2013'!$A$9:$E$56,5,)</f>
        <v>376812.78599999996</v>
      </c>
      <c r="W36" s="711">
        <f t="shared" si="4"/>
        <v>376812800</v>
      </c>
      <c r="X36" s="715">
        <f>VLOOKUP(O36,[5]Sheet1!$B$2:$N$51,13,)</f>
        <v>0.69777414688296424</v>
      </c>
      <c r="Z36" s="711">
        <f>VLOOKUP(O36,[5]Sheet1!$B$2:$K$52,10,)</f>
        <v>25709.000000000007</v>
      </c>
      <c r="AB36" s="711">
        <f>VLOOKUP(O36,'[6]PDA Data 2013'!$A$9:$V$56,22,)</f>
        <v>36844.300000000003</v>
      </c>
      <c r="AC36" s="711">
        <f t="shared" si="5"/>
        <v>25709.000000000007</v>
      </c>
    </row>
    <row r="37" spans="1:29" ht="15.75">
      <c r="A37" s="19">
        <v>210044</v>
      </c>
      <c r="B37" s="20" t="s">
        <v>108</v>
      </c>
      <c r="C37" s="721">
        <f t="shared" si="1"/>
        <v>4628900</v>
      </c>
      <c r="D37" s="512">
        <v>426432400</v>
      </c>
      <c r="E37" s="26">
        <f t="shared" si="2"/>
        <v>3.3559073985648391E-2</v>
      </c>
      <c r="F37" s="22">
        <f t="shared" si="0"/>
        <v>14310676.461477609</v>
      </c>
      <c r="G37" s="21">
        <v>0.37277450905478721</v>
      </c>
      <c r="H37" s="26">
        <f t="shared" si="6"/>
        <v>0.35239617829545888</v>
      </c>
      <c r="I37" s="725">
        <f t="shared" si="3"/>
        <v>5043027.6938474905</v>
      </c>
      <c r="J37" s="713"/>
      <c r="K37">
        <v>44</v>
      </c>
      <c r="L37" t="s">
        <v>21</v>
      </c>
      <c r="M37" s="17">
        <v>5213990.6166057922</v>
      </c>
      <c r="O37" s="38">
        <v>44</v>
      </c>
      <c r="P37" s="38" t="s">
        <v>1014</v>
      </c>
      <c r="Q37" s="707">
        <v>412500990.9851104</v>
      </c>
      <c r="R37" s="708">
        <v>1.0763638083174252</v>
      </c>
      <c r="S37" s="707">
        <v>383235656.7524628</v>
      </c>
      <c r="T37" s="709">
        <v>3.3559073985648391E-2</v>
      </c>
      <c r="U37" s="711">
        <f>VLOOKUP(O37,[5]Sheet1!$B$2:$I$52,8,)</f>
        <v>421137.7</v>
      </c>
      <c r="V37" s="711">
        <f>VLOOKUP(O37,'[6]PDA Data 2013'!$A$9:$E$56,5,)</f>
        <v>421137.69999999995</v>
      </c>
      <c r="W37" s="711">
        <f t="shared" si="4"/>
        <v>421137700</v>
      </c>
      <c r="X37" s="715">
        <f>VLOOKUP(O37,[5]Sheet1!$B$2:$N$51,13,)</f>
        <v>0.35239617829545888</v>
      </c>
      <c r="Z37" s="711">
        <f>VLOOKUP(O37,[5]Sheet1!$B$2:$K$52,10,)</f>
        <v>4628.8999999999996</v>
      </c>
      <c r="AB37" s="711">
        <f>VLOOKUP(O37,'[6]PDA Data 2013'!$A$9:$V$56,22,)</f>
        <v>13135.5</v>
      </c>
      <c r="AC37" s="711">
        <f t="shared" si="5"/>
        <v>4628.8999999999996</v>
      </c>
    </row>
    <row r="38" spans="1:29" ht="15.75">
      <c r="A38" s="19">
        <v>210045</v>
      </c>
      <c r="B38" s="20" t="s">
        <v>109</v>
      </c>
      <c r="C38" s="721">
        <f t="shared" si="1"/>
        <v>630083</v>
      </c>
      <c r="D38" s="512">
        <v>17710400</v>
      </c>
      <c r="E38" s="26">
        <f t="shared" si="2"/>
        <v>9.3160807737153364E-2</v>
      </c>
      <c r="F38" s="22">
        <f t="shared" si="0"/>
        <v>1649915.1693480809</v>
      </c>
      <c r="G38" s="21">
        <v>0.47577390469052183</v>
      </c>
      <c r="H38" s="26">
        <f t="shared" si="6"/>
        <v>0.42138494329106441</v>
      </c>
      <c r="I38" s="725">
        <f t="shared" si="3"/>
        <v>695249.41007080802</v>
      </c>
      <c r="J38" s="713"/>
      <c r="K38">
        <v>45</v>
      </c>
      <c r="L38" t="s">
        <v>31</v>
      </c>
      <c r="M38" s="17">
        <v>693471.8291022327</v>
      </c>
      <c r="O38" s="38">
        <v>45</v>
      </c>
      <c r="P38" s="38" t="s">
        <v>1015</v>
      </c>
      <c r="Q38" s="707">
        <v>18411318.328182995</v>
      </c>
      <c r="R38" s="708">
        <v>1.1640821244393815</v>
      </c>
      <c r="S38" s="707">
        <v>15816167.898849774</v>
      </c>
      <c r="T38" s="709">
        <v>9.3160807737153364E-2</v>
      </c>
      <c r="U38" s="711">
        <f>VLOOKUP(O38,[5]Sheet1!$B$2:$I$52,8,)</f>
        <v>17975.599999999999</v>
      </c>
      <c r="V38" s="711">
        <f>VLOOKUP(O38,'[6]PDA Data 2013'!$A$9:$E$56,5,)</f>
        <v>17975.599999999999</v>
      </c>
      <c r="W38" s="711">
        <f t="shared" si="4"/>
        <v>17975600</v>
      </c>
      <c r="X38" s="715">
        <f>VLOOKUP(O38,[5]Sheet1!$B$2:$N$51,13,)</f>
        <v>0.42138494329106441</v>
      </c>
      <c r="Z38" s="711">
        <f>VLOOKUP(O38,[5]Sheet1!$B$2:$K$52,10,)</f>
        <v>630.08299999999997</v>
      </c>
      <c r="AB38" s="711">
        <f>VLOOKUP(O38,'[6]PDA Data 2013'!$A$9:$V$56,22,)</f>
        <v>1495.2669999999998</v>
      </c>
      <c r="AC38" s="711">
        <f t="shared" si="5"/>
        <v>630.08299999999997</v>
      </c>
    </row>
    <row r="39" spans="1:29" ht="15.75">
      <c r="A39" s="19">
        <v>210048</v>
      </c>
      <c r="B39" s="20" t="s">
        <v>110</v>
      </c>
      <c r="C39" s="721">
        <f t="shared" si="1"/>
        <v>6093352.0000000009</v>
      </c>
      <c r="D39" s="512">
        <v>275201899.99999994</v>
      </c>
      <c r="E39" s="26">
        <f t="shared" si="2"/>
        <v>6.4778725536990253E-2</v>
      </c>
      <c r="F39" s="22">
        <f t="shared" si="0"/>
        <v>17827228.347358234</v>
      </c>
      <c r="G39" s="21">
        <v>0.36076982872106245</v>
      </c>
      <c r="H39" s="26">
        <f t="shared" si="6"/>
        <v>0.36483109290207727</v>
      </c>
      <c r="I39" s="725">
        <f t="shared" si="3"/>
        <v>6503927.2013815977</v>
      </c>
      <c r="J39" s="713"/>
      <c r="K39">
        <v>48</v>
      </c>
      <c r="L39" t="s">
        <v>25</v>
      </c>
      <c r="M39" s="17">
        <v>5609576.6414591679</v>
      </c>
      <c r="O39" s="38">
        <v>48</v>
      </c>
      <c r="P39" s="38" t="s">
        <v>1016</v>
      </c>
      <c r="Q39" s="707">
        <v>264149052.86806279</v>
      </c>
      <c r="R39" s="708">
        <v>1.1129342924182459</v>
      </c>
      <c r="S39" s="707">
        <v>237344697.40716225</v>
      </c>
      <c r="T39" s="709">
        <v>6.4778725536990253E-2</v>
      </c>
      <c r="U39" s="711">
        <f>VLOOKUP(O39,[5]Sheet1!$B$2:$I$52,8,)</f>
        <v>278901.59999999998</v>
      </c>
      <c r="V39" s="711">
        <f>VLOOKUP(O39,'[6]PDA Data 2013'!$A$9:$E$56,5,)</f>
        <v>278901.685</v>
      </c>
      <c r="W39" s="711">
        <f t="shared" si="4"/>
        <v>278901600</v>
      </c>
      <c r="X39" s="715">
        <f>VLOOKUP(O39,[5]Sheet1!$B$2:$N$51,13,)</f>
        <v>0.36483109290207727</v>
      </c>
      <c r="Z39" s="711">
        <f>VLOOKUP(O39,[5]Sheet1!$B$2:$K$52,10,)</f>
        <v>6093.3520000000008</v>
      </c>
      <c r="AB39" s="711">
        <f>VLOOKUP(O39,'[6]PDA Data 2013'!$A$9:$V$56,22,)</f>
        <v>16701.844000000001</v>
      </c>
      <c r="AC39" s="711">
        <f t="shared" si="5"/>
        <v>6093.3520000000008</v>
      </c>
    </row>
    <row r="40" spans="1:29" ht="15.75">
      <c r="A40" s="741">
        <v>210049</v>
      </c>
      <c r="B40" s="742" t="s">
        <v>111</v>
      </c>
      <c r="C40" s="721">
        <f t="shared" si="1"/>
        <v>5568300</v>
      </c>
      <c r="D40" s="743">
        <v>284670000</v>
      </c>
      <c r="E40" s="744">
        <f t="shared" si="2"/>
        <v>6.2771623071442628E-2</v>
      </c>
      <c r="F40" s="745">
        <f t="shared" si="0"/>
        <v>17869197.939747572</v>
      </c>
      <c r="G40" s="750">
        <v>0.28335684545752193</v>
      </c>
      <c r="H40" s="744">
        <f t="shared" si="6"/>
        <v>0.31565610757125695</v>
      </c>
      <c r="I40" s="725">
        <f t="shared" si="3"/>
        <v>5640521.4670810429</v>
      </c>
      <c r="J40" s="713"/>
      <c r="K40">
        <v>49</v>
      </c>
      <c r="L40" t="s">
        <v>47</v>
      </c>
      <c r="M40" s="17">
        <v>4533271.4576372728</v>
      </c>
      <c r="O40" s="38">
        <v>49</v>
      </c>
      <c r="P40" s="38" t="s">
        <v>1017</v>
      </c>
      <c r="Q40" s="707">
        <v>270258228.46967459</v>
      </c>
      <c r="R40" s="708">
        <v>1.1115208139937462</v>
      </c>
      <c r="S40" s="707">
        <v>243142750.96534103</v>
      </c>
      <c r="T40" s="709">
        <v>6.2771623071442628E-2</v>
      </c>
      <c r="U40" s="711">
        <f>VLOOKUP(O40,[5]Sheet1!$B$2:$I$52,8,)</f>
        <v>290000.8</v>
      </c>
      <c r="V40" s="711">
        <f>VLOOKUP(O40,'[6]PDA Data 2013'!$A$9:$E$56,5,)</f>
        <v>290000.8</v>
      </c>
      <c r="W40" s="711">
        <f>+V40*1000</f>
        <v>290000800</v>
      </c>
      <c r="X40" s="715">
        <f>VLOOKUP(O40,[5]Sheet1!$B$2:$N$51,13,)</f>
        <v>0.31565610757125695</v>
      </c>
      <c r="Z40" s="711">
        <f>VLOOKUP(O40,[5]Sheet1!$B$2:$K$52,10,)</f>
        <v>5568.3</v>
      </c>
      <c r="AB40" s="711">
        <f>VLOOKUP(O40,'[6]PDA Data 2013'!$A$9:$V$56,22,)</f>
        <v>17640.399999999998</v>
      </c>
      <c r="AC40" s="711">
        <f t="shared" si="5"/>
        <v>5568.3</v>
      </c>
    </row>
    <row r="41" spans="1:29" ht="15.75">
      <c r="A41" s="19">
        <v>210051</v>
      </c>
      <c r="B41" s="20" t="s">
        <v>112</v>
      </c>
      <c r="C41" s="721">
        <f t="shared" si="1"/>
        <v>15861543.000000002</v>
      </c>
      <c r="D41" s="512">
        <v>214285300</v>
      </c>
      <c r="E41" s="26">
        <f t="shared" si="2"/>
        <v>7.0402289089918649E-2</v>
      </c>
      <c r="F41" s="22">
        <f t="shared" si="0"/>
        <v>15086175.638319945</v>
      </c>
      <c r="G41" s="21">
        <v>0.1714635793348952</v>
      </c>
      <c r="H41" s="26">
        <f t="shared" si="6"/>
        <v>0.78765875015100251</v>
      </c>
      <c r="I41" s="725">
        <f t="shared" si="3"/>
        <v>11882758.24783759</v>
      </c>
      <c r="J41" s="713"/>
      <c r="K41">
        <v>51</v>
      </c>
      <c r="L41" t="s">
        <v>16</v>
      </c>
      <c r="M41" s="17">
        <v>2829143.5893375902</v>
      </c>
      <c r="O41" s="38">
        <v>51</v>
      </c>
      <c r="P41" s="38" t="s">
        <v>1018</v>
      </c>
      <c r="Q41" s="707">
        <v>215123709.85100111</v>
      </c>
      <c r="R41" s="708">
        <v>1.1253967407099288</v>
      </c>
      <c r="S41" s="707">
        <v>191153663.47630936</v>
      </c>
      <c r="T41" s="709">
        <v>7.0402289089918649E-2</v>
      </c>
      <c r="U41" s="711">
        <f>VLOOKUP(O41,[5]Sheet1!$B$2:$I$52,8,)</f>
        <v>216854.5</v>
      </c>
      <c r="V41" s="711">
        <f>VLOOKUP(O41,'[6]PDA Data 2013'!$A$9:$E$56,5,)</f>
        <v>216854.48576000001</v>
      </c>
      <c r="W41" s="711">
        <f t="shared" si="4"/>
        <v>216854500</v>
      </c>
      <c r="X41" s="715">
        <f>VLOOKUP(O41,[5]Sheet1!$B$2:$N$51,13,)</f>
        <v>0.78765875015100251</v>
      </c>
      <c r="Z41" s="711">
        <f>VLOOKUP(O41,[5]Sheet1!$B$2:$K$52,10,)</f>
        <v>15861.543000000001</v>
      </c>
      <c r="AB41" s="711">
        <f>VLOOKUP(O41,'[6]PDA Data 2013'!$A$9:$V$56,22,)</f>
        <v>20137.582420000002</v>
      </c>
      <c r="AC41" s="711">
        <f t="shared" si="5"/>
        <v>15861.543000000001</v>
      </c>
    </row>
    <row r="42" spans="1:29" ht="15.75">
      <c r="A42" s="746">
        <v>210054</v>
      </c>
      <c r="B42" s="747" t="s">
        <v>119</v>
      </c>
      <c r="C42" s="721">
        <f t="shared" si="1"/>
        <v>771800</v>
      </c>
      <c r="D42" s="748">
        <v>246624681</v>
      </c>
      <c r="E42" s="717">
        <f t="shared" si="2"/>
        <v>7.5901948764595828E-2</v>
      </c>
      <c r="F42" s="749">
        <f t="shared" si="0"/>
        <v>18719293.901346792</v>
      </c>
      <c r="G42" s="716">
        <v>0.14887178481394137</v>
      </c>
      <c r="H42" s="717">
        <f t="shared" si="6"/>
        <v>7.7780234895059766E-2</v>
      </c>
      <c r="I42" s="725">
        <f t="shared" si="3"/>
        <v>1455991.0767164133</v>
      </c>
      <c r="J42" s="713"/>
      <c r="K42">
        <v>62</v>
      </c>
      <c r="L42" t="s">
        <v>41</v>
      </c>
      <c r="M42" s="17">
        <v>2570081.9509999999</v>
      </c>
      <c r="O42" s="38">
        <v>62</v>
      </c>
      <c r="P42" s="38" t="s">
        <v>1019</v>
      </c>
      <c r="Q42" s="707">
        <v>257513751.73544377</v>
      </c>
      <c r="R42" s="708">
        <v>1.1338510620088902</v>
      </c>
      <c r="S42" s="707">
        <v>227114266.02996355</v>
      </c>
      <c r="T42" s="709">
        <v>7.5901948764595828E-2</v>
      </c>
      <c r="U42" s="711">
        <f>VLOOKUP(O42,[5]Sheet1!$B$2:$I$52,8,)</f>
        <v>144983.29999999999</v>
      </c>
      <c r="V42" s="711" t="e">
        <f>VLOOKUP(O42,'[6]PDA Data 2013'!$A$9:$E$56,5,)</f>
        <v>#N/A</v>
      </c>
      <c r="W42" s="711">
        <f t="shared" ref="W42" si="7">+U42*1000</f>
        <v>144983300</v>
      </c>
      <c r="X42" s="715">
        <f>VLOOKUP(O42,[5]Sheet1!$B$2:$N$51,13,)</f>
        <v>7.7780234895059766E-2</v>
      </c>
      <c r="Z42" s="711">
        <f>VLOOKUP(O42,[5]Sheet1!$B$2:$K$52,10,)</f>
        <v>771.8</v>
      </c>
      <c r="AB42" s="711" t="e">
        <f>VLOOKUP(O42,'[6]PDA Data 2013'!$A$9:$V$56,22,)</f>
        <v>#N/A</v>
      </c>
      <c r="AC42" s="711">
        <f t="shared" si="5"/>
        <v>771.8</v>
      </c>
    </row>
    <row r="43" spans="1:29" ht="15.75">
      <c r="A43" s="19">
        <v>210055</v>
      </c>
      <c r="B43" s="20" t="s">
        <v>113</v>
      </c>
      <c r="C43" s="721">
        <f t="shared" si="1"/>
        <v>5836030.8000000007</v>
      </c>
      <c r="D43" s="512">
        <v>118724400.00000001</v>
      </c>
      <c r="E43" s="26">
        <f t="shared" si="2"/>
        <v>0.11358128073633895</v>
      </c>
      <c r="F43" s="22">
        <f t="shared" si="0"/>
        <v>13484869.406653402</v>
      </c>
      <c r="G43" s="21">
        <v>0.47723753064367375</v>
      </c>
      <c r="H43" s="26">
        <f t="shared" si="6"/>
        <v>0.33736680602907954</v>
      </c>
      <c r="I43" s="725">
        <f t="shared" si="3"/>
        <v>4549347.3214419074</v>
      </c>
      <c r="J43" s="713"/>
      <c r="K43">
        <v>55</v>
      </c>
      <c r="L43" t="s">
        <v>29</v>
      </c>
      <c r="M43" s="17">
        <v>5671639.9222634938</v>
      </c>
      <c r="O43" s="38">
        <v>55</v>
      </c>
      <c r="P43" s="38" t="s">
        <v>1020</v>
      </c>
      <c r="Q43" s="707">
        <v>119963580.0910183</v>
      </c>
      <c r="R43" s="708">
        <v>1.1789765109774879</v>
      </c>
      <c r="S43" s="707">
        <v>101752307.16984908</v>
      </c>
      <c r="T43" s="709">
        <v>0.11358128073633895</v>
      </c>
      <c r="U43" s="711">
        <f>VLOOKUP(O43,[5]Sheet1!$B$2:$I$52,8,)</f>
        <v>121542.1</v>
      </c>
      <c r="V43" s="711">
        <f>VLOOKUP(O43,'[6]PDA Data 2013'!$A$9:$E$56,5,)</f>
        <v>121542.05278999999</v>
      </c>
      <c r="W43" s="711">
        <f t="shared" si="4"/>
        <v>121542100</v>
      </c>
      <c r="X43" s="715">
        <f>VLOOKUP(O43,[5]Sheet1!$B$2:$N$51,13,)</f>
        <v>0.33736680602907954</v>
      </c>
      <c r="Z43" s="711">
        <f>VLOOKUP(O43,[5]Sheet1!$B$2:$K$52,10,)</f>
        <v>5836.0308000000005</v>
      </c>
      <c r="AB43" s="711">
        <f>VLOOKUP(O43,'[6]PDA Data 2013'!$A$9:$V$56,22,)</f>
        <v>17298.770049999999</v>
      </c>
      <c r="AC43" s="711">
        <f t="shared" si="5"/>
        <v>5836.0308000000005</v>
      </c>
    </row>
    <row r="44" spans="1:29" ht="15.75">
      <c r="A44" s="741">
        <v>210060</v>
      </c>
      <c r="B44" s="742" t="s">
        <v>120</v>
      </c>
      <c r="C44" s="721">
        <f t="shared" si="1"/>
        <v>1660480</v>
      </c>
      <c r="D44" s="743">
        <v>46176442</v>
      </c>
      <c r="E44" s="744">
        <f t="shared" si="2"/>
        <v>0.126434146564186</v>
      </c>
      <c r="F44" s="745">
        <f t="shared" si="0"/>
        <v>5838279.0356406346</v>
      </c>
      <c r="G44" s="750">
        <v>0.26157986348325618</v>
      </c>
      <c r="H44" s="744">
        <f t="shared" si="6"/>
        <v>0.26402581489635529</v>
      </c>
      <c r="I44" s="725">
        <f t="shared" si="3"/>
        <v>1541456.3799773259</v>
      </c>
      <c r="J44" s="713"/>
      <c r="K44">
        <v>60</v>
      </c>
      <c r="L44" t="s">
        <v>17</v>
      </c>
      <c r="M44" s="17">
        <v>757342.48</v>
      </c>
      <c r="O44" s="38">
        <v>60</v>
      </c>
      <c r="P44" s="38" t="s">
        <v>1021</v>
      </c>
      <c r="Q44" s="707">
        <v>48537397.521419682</v>
      </c>
      <c r="R44" s="708">
        <v>1.1968354096127714</v>
      </c>
      <c r="S44" s="707">
        <v>40554780.658706993</v>
      </c>
      <c r="T44" s="709">
        <v>0.126434146564186</v>
      </c>
      <c r="U44" s="711">
        <f>VLOOKUP(O44,[5]Sheet1!$B$2:$I$52,8,)</f>
        <v>46156.625</v>
      </c>
      <c r="V44" s="711">
        <f>VLOOKUP(O44,'[6]PDA Data 2013'!$A$9:$E$56,5,)</f>
        <v>46156.625</v>
      </c>
      <c r="W44" s="711">
        <f>+V44*1000</f>
        <v>46156625</v>
      </c>
      <c r="X44" s="715">
        <f>VLOOKUP(O44,[5]Sheet1!$B$2:$N$51,13,)</f>
        <v>0.26402581489635529</v>
      </c>
      <c r="Z44" s="711">
        <f>VLOOKUP(O44,[5]Sheet1!$B$2:$K$52,10,)</f>
        <v>1660.48</v>
      </c>
      <c r="AB44" s="711">
        <f>VLOOKUP(O44,'[6]PDA Data 2013'!$A$9:$V$56,22,)</f>
        <v>6289.0820000000003</v>
      </c>
      <c r="AC44" s="711">
        <f t="shared" si="5"/>
        <v>1660.48</v>
      </c>
    </row>
    <row r="45" spans="1:29" ht="15.75">
      <c r="A45" s="741">
        <v>210061</v>
      </c>
      <c r="B45" s="742" t="s">
        <v>114</v>
      </c>
      <c r="C45" s="721">
        <f t="shared" si="1"/>
        <v>3970100</v>
      </c>
      <c r="D45" s="743">
        <v>95474200</v>
      </c>
      <c r="E45" s="744">
        <f t="shared" si="2"/>
        <v>5.6948045871629813E-2</v>
      </c>
      <c r="F45" s="745">
        <f t="shared" si="0"/>
        <v>5437069.1211571591</v>
      </c>
      <c r="G45" s="750">
        <v>0.37831806827643633</v>
      </c>
      <c r="H45" s="744">
        <f t="shared" si="6"/>
        <v>0.51977586048886504</v>
      </c>
      <c r="I45" s="725">
        <f t="shared" si="3"/>
        <v>2826057.2809868995</v>
      </c>
      <c r="J45" s="713"/>
      <c r="K45">
        <v>61</v>
      </c>
      <c r="L45" t="s">
        <v>9</v>
      </c>
      <c r="M45" s="17">
        <v>2264699.8551227315</v>
      </c>
      <c r="O45" s="38">
        <v>61</v>
      </c>
      <c r="P45" s="38" t="s">
        <v>114</v>
      </c>
      <c r="Q45" s="707">
        <v>91521869.348918378</v>
      </c>
      <c r="R45" s="708">
        <v>1.1116777814636918</v>
      </c>
      <c r="S45" s="707">
        <v>82327695.016460627</v>
      </c>
      <c r="T45" s="709">
        <v>5.6948045871629813E-2</v>
      </c>
      <c r="U45" s="711">
        <f>VLOOKUP(O45,[5]Sheet1!$B$2:$I$52,8,)</f>
        <v>99487.1</v>
      </c>
      <c r="V45" s="711">
        <f>VLOOKUP(O45,'[6]PDA Data 2013'!$A$9:$E$56,5,)</f>
        <v>99487.1</v>
      </c>
      <c r="W45" s="711">
        <f t="shared" si="4"/>
        <v>99487100</v>
      </c>
      <c r="X45" s="715">
        <f>VLOOKUP(O45,[5]Sheet1!$B$2:$N$51,13,)</f>
        <v>0.51977586048886504</v>
      </c>
      <c r="Z45" s="711">
        <f>VLOOKUP(O45,[5]Sheet1!$B$2:$K$52,10,)</f>
        <v>3970.1</v>
      </c>
      <c r="AB45" s="711">
        <f>VLOOKUP(O45,'[6]PDA Data 2013'!$A$9:$V$56,22,)</f>
        <v>7638.1</v>
      </c>
      <c r="AC45" s="711">
        <f t="shared" si="5"/>
        <v>3970.1</v>
      </c>
    </row>
    <row r="46" spans="1:29" ht="15.75">
      <c r="A46" s="741">
        <v>210058</v>
      </c>
      <c r="B46" s="742" t="s">
        <v>115</v>
      </c>
      <c r="C46" s="721">
        <f t="shared" si="1"/>
        <v>3248000</v>
      </c>
      <c r="D46" s="743">
        <v>117995400</v>
      </c>
      <c r="E46" s="744">
        <f t="shared" si="2"/>
        <v>7.2090876062125012E-2</v>
      </c>
      <c r="F46" s="745">
        <f t="shared" si="0"/>
        <v>8506391.7573008649</v>
      </c>
      <c r="G46" s="750">
        <v>0.4244334182647177</v>
      </c>
      <c r="H46" s="744">
        <f t="shared" si="6"/>
        <v>0.54237961524996137</v>
      </c>
      <c r="I46" s="725">
        <f t="shared" si="3"/>
        <v>4613693.4884902863</v>
      </c>
      <c r="J46" s="713"/>
      <c r="K46">
        <v>2001</v>
      </c>
      <c r="L46" t="s">
        <v>28</v>
      </c>
      <c r="M46" s="17">
        <v>3140090.673286845</v>
      </c>
      <c r="O46" s="38">
        <v>2001</v>
      </c>
      <c r="P46" s="38" t="s">
        <v>1022</v>
      </c>
      <c r="Q46" s="707">
        <v>133406901.4462982</v>
      </c>
      <c r="R46" s="708">
        <v>1.128554200562693</v>
      </c>
      <c r="S46" s="707">
        <v>118210451.37201387</v>
      </c>
      <c r="T46" s="709">
        <v>7.2090876062125012E-2</v>
      </c>
      <c r="U46" s="711">
        <f>VLOOKUP(O46,[5]Sheet1!$B$2:$I$52,8,)</f>
        <v>115227.4</v>
      </c>
      <c r="V46" s="711">
        <f>VLOOKUP(O46,'[6]PDA Data 2013'!$A$9:$E$56,5,)</f>
        <v>115227.36009000003</v>
      </c>
      <c r="W46" s="711">
        <f t="shared" si="4"/>
        <v>115227400</v>
      </c>
      <c r="X46" s="715">
        <f>VLOOKUP(O46,[5]Sheet1!$B$2:$N$51,13,)</f>
        <v>0.54237961524996137</v>
      </c>
      <c r="Z46" s="711">
        <f>VLOOKUP(O46,[5]Sheet1!$B$2:$K$52,10,)</f>
        <v>3248</v>
      </c>
      <c r="AB46" s="711">
        <f>VLOOKUP(O46,'[6]PDA Data 2013'!$A$9:$V$56,22,)</f>
        <v>5988.4256500000001</v>
      </c>
      <c r="AC46" s="711">
        <f t="shared" si="5"/>
        <v>3248</v>
      </c>
    </row>
    <row r="47" spans="1:29" ht="15.75">
      <c r="A47" s="741">
        <v>210056</v>
      </c>
      <c r="B47" s="742" t="s">
        <v>116</v>
      </c>
      <c r="C47" s="721">
        <f t="shared" si="1"/>
        <v>7305035</v>
      </c>
      <c r="D47" s="743">
        <v>311855400</v>
      </c>
      <c r="E47" s="744">
        <f t="shared" si="2"/>
        <v>5.5006766408563564E-2</v>
      </c>
      <c r="F47" s="745">
        <f t="shared" si="0"/>
        <v>17154157.141049154</v>
      </c>
      <c r="G47" s="750">
        <v>0.39181499285013588</v>
      </c>
      <c r="H47" s="744">
        <f t="shared" si="6"/>
        <v>0.37413581098056536</v>
      </c>
      <c r="I47" s="725">
        <f t="shared" si="3"/>
        <v>6417984.4936544821</v>
      </c>
      <c r="J47" s="713"/>
      <c r="K47">
        <v>2004</v>
      </c>
      <c r="L47" t="s">
        <v>22</v>
      </c>
      <c r="M47" s="17">
        <v>5999510.4068746632</v>
      </c>
      <c r="O47" s="38">
        <v>2004</v>
      </c>
      <c r="P47" s="38" t="s">
        <v>116</v>
      </c>
      <c r="Q47" s="707">
        <v>302552600.02679896</v>
      </c>
      <c r="R47" s="708">
        <v>1.1128212125290957</v>
      </c>
      <c r="S47" s="707">
        <v>271878893.59081429</v>
      </c>
      <c r="T47" s="709">
        <v>5.5006766408563564E-2</v>
      </c>
      <c r="U47" s="711">
        <f>VLOOKUP(O47,[5]Sheet1!$B$2:$I$52,8,)</f>
        <v>295736.8</v>
      </c>
      <c r="V47" s="711">
        <f>VLOOKUP(O47,'[6]PDA Data 2013'!$A$9:$E$56,5,)</f>
        <v>295736.76633000001</v>
      </c>
      <c r="W47" s="711">
        <f t="shared" si="4"/>
        <v>295736800</v>
      </c>
      <c r="X47" s="715">
        <f>VLOOKUP(O47,[5]Sheet1!$B$2:$N$51,13,)</f>
        <v>0.37413581098056536</v>
      </c>
      <c r="Z47" s="711">
        <f>VLOOKUP(O47,[5]Sheet1!$B$2:$K$52,10,)</f>
        <v>7305.0349999999999</v>
      </c>
      <c r="AB47" s="711">
        <f>VLOOKUP(O47,'[6]PDA Data 2013'!$A$9:$V$56,22,)</f>
        <v>19525.08898</v>
      </c>
      <c r="AC47" s="711">
        <f t="shared" si="5"/>
        <v>7305.0349999999999</v>
      </c>
    </row>
    <row r="48" spans="1:29" ht="15.75">
      <c r="A48" s="741">
        <v>210057</v>
      </c>
      <c r="B48" s="742" t="s">
        <v>117</v>
      </c>
      <c r="C48" s="721">
        <f t="shared" si="1"/>
        <v>8938285</v>
      </c>
      <c r="D48" s="743">
        <v>348706200</v>
      </c>
      <c r="E48" s="744">
        <f t="shared" si="2"/>
        <v>6.7342096933819956E-2</v>
      </c>
      <c r="F48" s="745">
        <f t="shared" si="0"/>
        <v>23482606.721824009</v>
      </c>
      <c r="G48" s="750">
        <v>0.37509691758989644</v>
      </c>
      <c r="H48" s="744">
        <f t="shared" si="6"/>
        <v>0.35239807364490644</v>
      </c>
      <c r="I48" s="725">
        <f t="shared" si="3"/>
        <v>8275225.3729317123</v>
      </c>
      <c r="J48" s="713"/>
      <c r="K48">
        <v>5050</v>
      </c>
      <c r="L48" t="s">
        <v>37</v>
      </c>
      <c r="M48" s="17">
        <v>8201073.5219332706</v>
      </c>
      <c r="O48" s="38">
        <v>5050</v>
      </c>
      <c r="P48" s="38" t="s">
        <v>117</v>
      </c>
      <c r="Q48" s="707">
        <v>347845407.1684953</v>
      </c>
      <c r="R48" s="708">
        <v>1.1166939701093455</v>
      </c>
      <c r="S48" s="707">
        <v>311495733.36948764</v>
      </c>
      <c r="T48" s="709">
        <v>6.7342096933819956E-2</v>
      </c>
      <c r="U48" s="711">
        <f>VLOOKUP(O48,[5]Sheet1!$B$2:$I$52,8,)</f>
        <v>375189.8</v>
      </c>
      <c r="V48" s="711">
        <f>VLOOKUP(O48,'[6]PDA Data 2013'!$A$9:$E$56,5,)</f>
        <v>375189.79300000001</v>
      </c>
      <c r="W48" s="711">
        <f>+V48*1000</f>
        <v>375189793</v>
      </c>
      <c r="X48" s="715">
        <f>VLOOKUP(O48,[5]Sheet1!$B$2:$N$51,13,)</f>
        <v>0.35239807364490644</v>
      </c>
      <c r="Z48" s="711">
        <f>VLOOKUP(O48,[5]Sheet1!$B$2:$K$52,10,)</f>
        <v>8938.2849999999999</v>
      </c>
      <c r="AB48" s="711">
        <f>VLOOKUP(O48,'[6]PDA Data 2013'!$A$9:$V$56,22,)</f>
        <v>25364.170999999995</v>
      </c>
      <c r="AC48" s="711">
        <f t="shared" si="5"/>
        <v>8938.2849999999999</v>
      </c>
    </row>
    <row r="49" spans="1:29" ht="15.75">
      <c r="A49" s="19">
        <v>218992</v>
      </c>
      <c r="B49" s="20" t="s">
        <v>118</v>
      </c>
      <c r="C49" s="721">
        <f t="shared" si="1"/>
        <v>6654000</v>
      </c>
      <c r="D49" s="719">
        <v>181819199.99999997</v>
      </c>
      <c r="E49" s="26">
        <f t="shared" si="2"/>
        <v>0.236004411433163</v>
      </c>
      <c r="F49" s="22">
        <f t="shared" si="0"/>
        <v>42910133.283248544</v>
      </c>
      <c r="G49" s="21">
        <v>0.23015043365100787</v>
      </c>
      <c r="H49" s="26">
        <f t="shared" si="6"/>
        <v>0.15802011270795846</v>
      </c>
      <c r="I49" s="725">
        <f t="shared" si="3"/>
        <v>6780664.0977324545</v>
      </c>
      <c r="J49" s="713"/>
      <c r="K49" s="12">
        <v>8992</v>
      </c>
      <c r="L49" s="12" t="s">
        <v>57</v>
      </c>
      <c r="M49" s="17"/>
      <c r="O49" s="38">
        <v>8992</v>
      </c>
      <c r="P49" s="38" t="s">
        <v>1023</v>
      </c>
      <c r="Q49" s="707">
        <v>218029844.10737449</v>
      </c>
      <c r="R49" s="708">
        <v>1.3714150213598859</v>
      </c>
      <c r="S49" s="707">
        <v>158981665.44156528</v>
      </c>
      <c r="T49" s="709">
        <v>0.236004411433163</v>
      </c>
      <c r="U49" s="711">
        <f>VLOOKUP(O49,[5]Sheet1!$B$2:$I$52,8,)</f>
        <v>188680.90000000002</v>
      </c>
      <c r="V49" s="711">
        <f>VLOOKUP(O49,'[6]PDA Data 2013'!$A$9:$E$56,5,)</f>
        <v>188680.87848000001</v>
      </c>
      <c r="W49" s="711">
        <f t="shared" si="4"/>
        <v>188680900.00000003</v>
      </c>
      <c r="X49" s="715">
        <f>VLOOKUP(O49,[5]Sheet1!$B$2:$N$51,13,)</f>
        <v>0.15802011270795846</v>
      </c>
      <c r="Z49" s="711">
        <f>VLOOKUP(O49,[5]Sheet1!$B$2:$K$52,10,)</f>
        <v>6654</v>
      </c>
      <c r="AB49" s="711">
        <f>VLOOKUP(O49,'[6]PDA Data 2013'!$A$9:$V$56,22,)</f>
        <v>42108.563814895198</v>
      </c>
      <c r="AC49" s="711">
        <f t="shared" si="5"/>
        <v>6654</v>
      </c>
    </row>
    <row r="50" spans="1:29">
      <c r="C50" s="722">
        <f>SUM(C3:C49)</f>
        <v>506917964.82773095</v>
      </c>
      <c r="D50" s="711">
        <f>SUM(D3:D49)</f>
        <v>14792940813</v>
      </c>
      <c r="I50" s="726">
        <f>SUM(I3:I49)</f>
        <v>463610143.40473628</v>
      </c>
      <c r="J50" s="16"/>
    </row>
    <row r="51" spans="1:29">
      <c r="A51" s="12" t="s">
        <v>121</v>
      </c>
    </row>
    <row r="52" spans="1:29">
      <c r="G52" s="14" t="s">
        <v>1027</v>
      </c>
      <c r="I52" s="16">
        <f>+C50-I50</f>
        <v>43307821.422994673</v>
      </c>
    </row>
    <row r="54" spans="1:29">
      <c r="G54" s="14" t="s">
        <v>1033</v>
      </c>
      <c r="I54" s="727">
        <f>+I52/I50</f>
        <v>9.3414309499234821E-2</v>
      </c>
    </row>
  </sheetData>
  <pageMargins left="0.5" right="0.5" top="0.5" bottom="0.5" header="0" footer="0"/>
  <pageSetup scale="82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RowHeight="12.75"/>
  <cols>
    <col min="1" max="1" width="8.28515625" style="135" customWidth="1"/>
    <col min="2" max="2" width="55.42578125" style="49" bestFit="1" customWidth="1"/>
    <col min="3" max="3" width="9.5703125" style="49" customWidth="1"/>
    <col min="4" max="4" width="9.140625" style="49"/>
    <col min="5" max="5" width="12.42578125" style="49" customWidth="1"/>
    <col min="6" max="6" width="18.5703125" style="49" customWidth="1"/>
    <col min="7" max="7" width="23.5703125" style="49" customWidth="1"/>
    <col min="8" max="8" width="17.140625" style="49" customWidth="1"/>
    <col min="9" max="9" width="21.140625" style="49" customWidth="1"/>
    <col min="10" max="10" width="19.85546875" style="49" customWidth="1"/>
    <col min="11" max="11" width="17.5703125" style="49" customWidth="1"/>
    <col min="12" max="16384" width="9.14062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75">
      <c r="D2" s="824" t="s">
        <v>133</v>
      </c>
      <c r="E2" s="825"/>
      <c r="F2" s="825"/>
      <c r="G2" s="825"/>
      <c r="H2" s="825"/>
      <c r="I2" s="384"/>
      <c r="J2" s="384"/>
      <c r="K2" s="384"/>
    </row>
    <row r="3" spans="1:11" ht="15">
      <c r="B3" s="43" t="s">
        <v>134</v>
      </c>
      <c r="F3" s="44"/>
      <c r="H3" s="384"/>
      <c r="I3" s="384"/>
      <c r="J3" s="384"/>
      <c r="K3" s="384"/>
    </row>
    <row r="5" spans="1:11" ht="15">
      <c r="B5" s="45" t="s">
        <v>135</v>
      </c>
      <c r="C5" s="950" t="s">
        <v>528</v>
      </c>
      <c r="D5" s="950"/>
      <c r="E5" s="950"/>
      <c r="F5" s="950"/>
      <c r="G5" s="950"/>
      <c r="H5" s="384"/>
      <c r="I5" s="384"/>
      <c r="J5" s="384"/>
      <c r="K5" s="384"/>
    </row>
    <row r="6" spans="1:11" ht="15">
      <c r="B6" s="45" t="s">
        <v>136</v>
      </c>
      <c r="C6" s="950">
        <v>24</v>
      </c>
      <c r="D6" s="950"/>
      <c r="E6" s="950"/>
      <c r="F6" s="950"/>
      <c r="G6" s="950"/>
      <c r="H6" s="384"/>
      <c r="I6" s="384"/>
      <c r="J6" s="384"/>
      <c r="K6" s="384"/>
    </row>
    <row r="7" spans="1:11" ht="15">
      <c r="B7" s="45" t="s">
        <v>137</v>
      </c>
      <c r="C7" s="950">
        <v>2348</v>
      </c>
      <c r="D7" s="950"/>
      <c r="E7" s="950"/>
      <c r="F7" s="950"/>
      <c r="G7" s="950"/>
      <c r="H7" s="384"/>
      <c r="I7" s="384"/>
      <c r="J7" s="384"/>
      <c r="K7" s="384"/>
    </row>
    <row r="8" spans="1:11" ht="15">
      <c r="C8" s="471"/>
      <c r="D8" s="471"/>
      <c r="E8" s="471"/>
      <c r="F8" s="471"/>
      <c r="G8" s="471"/>
    </row>
    <row r="9" spans="1:11" ht="15">
      <c r="B9" s="45" t="s">
        <v>138</v>
      </c>
      <c r="C9" s="950" t="s">
        <v>139</v>
      </c>
      <c r="D9" s="950"/>
      <c r="E9" s="950"/>
      <c r="F9" s="950"/>
      <c r="G9" s="950"/>
      <c r="H9" s="384"/>
      <c r="I9" s="384"/>
      <c r="J9" s="384"/>
      <c r="K9" s="384"/>
    </row>
    <row r="10" spans="1:11" ht="15">
      <c r="B10" s="45" t="s">
        <v>140</v>
      </c>
      <c r="C10" s="950" t="s">
        <v>141</v>
      </c>
      <c r="D10" s="950"/>
      <c r="E10" s="950"/>
      <c r="F10" s="950"/>
      <c r="G10" s="950"/>
      <c r="H10" s="384"/>
      <c r="I10" s="384"/>
      <c r="J10" s="384"/>
      <c r="K10" s="384"/>
    </row>
    <row r="11" spans="1:11" ht="15">
      <c r="B11" s="45" t="s">
        <v>142</v>
      </c>
      <c r="C11" s="950" t="s">
        <v>143</v>
      </c>
      <c r="D11" s="950"/>
      <c r="E11" s="950"/>
      <c r="F11" s="950"/>
      <c r="G11" s="950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5.5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11229101</v>
      </c>
      <c r="I18" s="167">
        <v>0</v>
      </c>
      <c r="J18" s="347">
        <v>9602285</v>
      </c>
      <c r="K18" s="348">
        <v>1626816</v>
      </c>
    </row>
    <row r="19" spans="1:11" ht="25.5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388.8</v>
      </c>
      <c r="G21" s="57">
        <v>3034</v>
      </c>
      <c r="H21" s="347">
        <v>17229</v>
      </c>
      <c r="I21" s="167">
        <v>8782</v>
      </c>
      <c r="J21" s="347">
        <v>0</v>
      </c>
      <c r="K21" s="348">
        <v>26011</v>
      </c>
    </row>
    <row r="22" spans="1:11">
      <c r="A22" s="45" t="s">
        <v>261</v>
      </c>
      <c r="B22" s="49" t="s">
        <v>157</v>
      </c>
      <c r="F22" s="57">
        <v>62</v>
      </c>
      <c r="G22" s="57">
        <v>1111</v>
      </c>
      <c r="H22" s="347">
        <v>9181</v>
      </c>
      <c r="I22" s="167">
        <v>5144</v>
      </c>
      <c r="J22" s="347">
        <v>0</v>
      </c>
      <c r="K22" s="348">
        <v>14325</v>
      </c>
    </row>
    <row r="23" spans="1:11">
      <c r="A23" s="45" t="s">
        <v>262</v>
      </c>
      <c r="B23" s="49" t="s">
        <v>158</v>
      </c>
      <c r="F23" s="57">
        <v>3</v>
      </c>
      <c r="G23" s="57">
        <v>147</v>
      </c>
      <c r="H23" s="347">
        <v>18363</v>
      </c>
      <c r="I23" s="167">
        <v>10283</v>
      </c>
      <c r="J23" s="347">
        <v>0</v>
      </c>
      <c r="K23" s="348">
        <v>28646</v>
      </c>
    </row>
    <row r="24" spans="1:11">
      <c r="A24" s="45" t="s">
        <v>263</v>
      </c>
      <c r="B24" s="49" t="s">
        <v>159</v>
      </c>
      <c r="F24" s="57">
        <v>6147</v>
      </c>
      <c r="G24" s="57">
        <v>5814</v>
      </c>
      <c r="H24" s="347">
        <v>886477</v>
      </c>
      <c r="I24" s="167">
        <v>373097</v>
      </c>
      <c r="J24" s="347">
        <v>1500</v>
      </c>
      <c r="K24" s="348">
        <v>1258074</v>
      </c>
    </row>
    <row r="25" spans="1:11">
      <c r="A25" s="45" t="s">
        <v>264</v>
      </c>
      <c r="B25" s="49" t="s">
        <v>160</v>
      </c>
      <c r="F25" s="57">
        <v>0</v>
      </c>
      <c r="G25" s="57">
        <v>0</v>
      </c>
      <c r="H25" s="347">
        <v>0</v>
      </c>
      <c r="I25" s="167">
        <v>0</v>
      </c>
      <c r="J25" s="347">
        <v>0</v>
      </c>
      <c r="K25" s="348">
        <v>0</v>
      </c>
    </row>
    <row r="26" spans="1:11">
      <c r="A26" s="45" t="s">
        <v>265</v>
      </c>
      <c r="B26" s="49" t="s">
        <v>161</v>
      </c>
      <c r="F26" s="57">
        <v>0</v>
      </c>
      <c r="G26" s="57">
        <v>0</v>
      </c>
      <c r="H26" s="347">
        <v>0</v>
      </c>
      <c r="I26" s="167">
        <v>0</v>
      </c>
      <c r="J26" s="347">
        <v>0</v>
      </c>
      <c r="K26" s="348">
        <v>0</v>
      </c>
    </row>
    <row r="27" spans="1:11">
      <c r="A27" s="45" t="s">
        <v>266</v>
      </c>
      <c r="B27" s="49" t="s">
        <v>162</v>
      </c>
      <c r="F27" s="57">
        <v>2589</v>
      </c>
      <c r="G27" s="57">
        <v>0</v>
      </c>
      <c r="H27" s="347">
        <v>259548</v>
      </c>
      <c r="I27" s="167">
        <v>0</v>
      </c>
      <c r="J27" s="347">
        <v>0</v>
      </c>
      <c r="K27" s="348">
        <v>259548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0</v>
      </c>
      <c r="G29" s="57">
        <v>0</v>
      </c>
      <c r="H29" s="347">
        <v>189359</v>
      </c>
      <c r="I29" s="167">
        <v>0</v>
      </c>
      <c r="J29" s="347">
        <v>0</v>
      </c>
      <c r="K29" s="348">
        <v>189359</v>
      </c>
    </row>
    <row r="30" spans="1:11">
      <c r="A30" s="45" t="s">
        <v>269</v>
      </c>
      <c r="B30" s="814"/>
      <c r="C30" s="815"/>
      <c r="D30" s="816"/>
      <c r="F30" s="57">
        <v>0</v>
      </c>
      <c r="G30" s="57">
        <v>0</v>
      </c>
      <c r="H30" s="347">
        <v>1906</v>
      </c>
      <c r="I30" s="167">
        <v>1067</v>
      </c>
      <c r="J30" s="347">
        <v>0</v>
      </c>
      <c r="K30" s="348">
        <v>2973</v>
      </c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332"/>
      <c r="C32" s="333"/>
      <c r="D32" s="334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332"/>
      <c r="C33" s="333"/>
      <c r="D33" s="334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9189.7999999999993</v>
      </c>
      <c r="G36" s="350">
        <f t="shared" si="0"/>
        <v>10106</v>
      </c>
      <c r="H36" s="348">
        <f t="shared" si="0"/>
        <v>1382063</v>
      </c>
      <c r="I36" s="348">
        <f t="shared" si="0"/>
        <v>398373</v>
      </c>
      <c r="J36" s="348">
        <f t="shared" si="0"/>
        <v>1500</v>
      </c>
      <c r="K36" s="348">
        <f t="shared" si="0"/>
        <v>1778936</v>
      </c>
    </row>
    <row r="37" spans="1:11" ht="13.5" thickBot="1">
      <c r="B37" s="43"/>
      <c r="F37" s="351"/>
      <c r="G37" s="351"/>
      <c r="H37" s="352"/>
      <c r="I37" s="352"/>
      <c r="J37" s="352"/>
      <c r="K37" s="353"/>
    </row>
    <row r="38" spans="1:11" ht="25.5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201486</v>
      </c>
      <c r="G40" s="57">
        <v>1660</v>
      </c>
      <c r="H40" s="347">
        <v>12198880</v>
      </c>
      <c r="I40" s="167">
        <v>6831372</v>
      </c>
      <c r="J40" s="347">
        <v>0</v>
      </c>
      <c r="K40" s="348">
        <v>19030252</v>
      </c>
    </row>
    <row r="41" spans="1:11">
      <c r="A41" s="45" t="s">
        <v>278</v>
      </c>
      <c r="B41" s="818" t="s">
        <v>172</v>
      </c>
      <c r="C41" s="818"/>
      <c r="F41" s="57">
        <v>1645</v>
      </c>
      <c r="G41" s="57">
        <v>897</v>
      </c>
      <c r="H41" s="347">
        <v>798754</v>
      </c>
      <c r="I41" s="167">
        <v>447303</v>
      </c>
      <c r="J41" s="347">
        <v>31200</v>
      </c>
      <c r="K41" s="348">
        <v>1214857</v>
      </c>
    </row>
    <row r="42" spans="1:11">
      <c r="A42" s="45" t="s">
        <v>279</v>
      </c>
      <c r="B42" s="49" t="s">
        <v>174</v>
      </c>
      <c r="F42" s="57">
        <v>28</v>
      </c>
      <c r="G42" s="57">
        <v>22</v>
      </c>
      <c r="H42" s="347">
        <v>7985</v>
      </c>
      <c r="I42" s="167">
        <v>4470</v>
      </c>
      <c r="J42" s="347">
        <v>0</v>
      </c>
      <c r="K42" s="348">
        <v>12455</v>
      </c>
    </row>
    <row r="43" spans="1:11">
      <c r="A43" s="45" t="s">
        <v>280</v>
      </c>
      <c r="B43" s="49" t="s">
        <v>176</v>
      </c>
      <c r="F43" s="57">
        <v>0</v>
      </c>
      <c r="G43" s="57">
        <v>0</v>
      </c>
      <c r="H43" s="347">
        <v>0</v>
      </c>
      <c r="I43" s="167">
        <v>0</v>
      </c>
      <c r="J43" s="347">
        <v>0</v>
      </c>
      <c r="K43" s="348">
        <v>0</v>
      </c>
    </row>
    <row r="44" spans="1:11">
      <c r="A44" s="45" t="s">
        <v>281</v>
      </c>
      <c r="B44" s="814"/>
      <c r="C44" s="815"/>
      <c r="D44" s="816"/>
      <c r="F44" s="57"/>
      <c r="G44" s="57"/>
      <c r="H44" s="347"/>
      <c r="I44" s="167"/>
      <c r="J44" s="347"/>
      <c r="K44" s="354"/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1">SUM(F40:F47)</f>
        <v>203159</v>
      </c>
      <c r="G49" s="355">
        <f t="shared" si="1"/>
        <v>2579</v>
      </c>
      <c r="H49" s="348">
        <f t="shared" si="1"/>
        <v>13005619</v>
      </c>
      <c r="I49" s="348">
        <f t="shared" si="1"/>
        <v>7283145</v>
      </c>
      <c r="J49" s="348">
        <f t="shared" si="1"/>
        <v>31200</v>
      </c>
      <c r="K49" s="348">
        <f t="shared" si="1"/>
        <v>20257564</v>
      </c>
    </row>
    <row r="50" spans="1:11" ht="13.5" thickBot="1">
      <c r="G50" s="356"/>
      <c r="H50" s="352"/>
      <c r="I50" s="352"/>
      <c r="J50" s="352"/>
      <c r="K50" s="352"/>
    </row>
    <row r="51" spans="1:11" ht="25.5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22" t="s">
        <v>180</v>
      </c>
      <c r="C53" s="867" t="s">
        <v>180</v>
      </c>
      <c r="D53" s="865" t="s">
        <v>180</v>
      </c>
      <c r="F53" s="57">
        <v>0</v>
      </c>
      <c r="G53" s="57">
        <v>0</v>
      </c>
      <c r="H53" s="347">
        <v>7298551</v>
      </c>
      <c r="I53" s="167">
        <v>0</v>
      </c>
      <c r="J53" s="347">
        <v>6755456</v>
      </c>
      <c r="K53" s="348">
        <v>543095</v>
      </c>
    </row>
    <row r="54" spans="1:11">
      <c r="A54" s="45" t="s">
        <v>289</v>
      </c>
      <c r="B54" s="335" t="s">
        <v>529</v>
      </c>
      <c r="C54" s="337"/>
      <c r="D54" s="338"/>
      <c r="F54" s="57">
        <v>0</v>
      </c>
      <c r="G54" s="57">
        <v>0</v>
      </c>
      <c r="H54" s="347">
        <v>3752765</v>
      </c>
      <c r="I54" s="167">
        <v>0</v>
      </c>
      <c r="J54" s="347">
        <v>1310629</v>
      </c>
      <c r="K54" s="348">
        <v>2442136</v>
      </c>
    </row>
    <row r="55" spans="1:11">
      <c r="A55" s="45" t="s">
        <v>291</v>
      </c>
      <c r="B55" s="817" t="s">
        <v>183</v>
      </c>
      <c r="C55" s="864" t="s">
        <v>183</v>
      </c>
      <c r="D55" s="865" t="s">
        <v>183</v>
      </c>
      <c r="F55" s="57">
        <v>0</v>
      </c>
      <c r="G55" s="57">
        <v>0</v>
      </c>
      <c r="H55" s="347">
        <v>755738</v>
      </c>
      <c r="I55" s="167">
        <v>0</v>
      </c>
      <c r="J55" s="347">
        <v>6618</v>
      </c>
      <c r="K55" s="348">
        <v>749120</v>
      </c>
    </row>
    <row r="56" spans="1:11">
      <c r="A56" s="45" t="s">
        <v>293</v>
      </c>
      <c r="B56" s="817" t="s">
        <v>530</v>
      </c>
      <c r="C56" s="864" t="s">
        <v>530</v>
      </c>
      <c r="D56" s="865" t="s">
        <v>530</v>
      </c>
      <c r="F56" s="57">
        <v>0</v>
      </c>
      <c r="G56" s="57">
        <v>0</v>
      </c>
      <c r="H56" s="347">
        <v>5183668</v>
      </c>
      <c r="I56" s="167">
        <v>0</v>
      </c>
      <c r="J56" s="347">
        <v>3415660</v>
      </c>
      <c r="K56" s="348">
        <v>1768008</v>
      </c>
    </row>
    <row r="57" spans="1:11">
      <c r="A57" s="45" t="s">
        <v>295</v>
      </c>
      <c r="B57" s="817" t="s">
        <v>427</v>
      </c>
      <c r="C57" s="864" t="s">
        <v>427</v>
      </c>
      <c r="D57" s="865" t="s">
        <v>427</v>
      </c>
      <c r="F57" s="70">
        <v>0</v>
      </c>
      <c r="G57" s="57">
        <v>0</v>
      </c>
      <c r="H57" s="347">
        <v>200000</v>
      </c>
      <c r="I57" s="167">
        <v>0</v>
      </c>
      <c r="J57" s="347">
        <v>0</v>
      </c>
      <c r="K57" s="348">
        <v>200000</v>
      </c>
    </row>
    <row r="58" spans="1:11">
      <c r="A58" s="45" t="s">
        <v>298</v>
      </c>
      <c r="B58" s="335" t="s">
        <v>184</v>
      </c>
      <c r="C58" s="337"/>
      <c r="D58" s="338"/>
      <c r="F58" s="70"/>
      <c r="G58" s="70"/>
      <c r="H58" s="347"/>
      <c r="I58" s="167"/>
      <c r="J58" s="347"/>
      <c r="K58" s="348"/>
    </row>
    <row r="59" spans="1:11">
      <c r="A59" s="45" t="s">
        <v>300</v>
      </c>
      <c r="B59" s="817"/>
      <c r="C59" s="864"/>
      <c r="D59" s="865"/>
      <c r="F59" s="70"/>
      <c r="G59" s="70"/>
      <c r="H59" s="347"/>
      <c r="I59" s="167"/>
      <c r="J59" s="347"/>
      <c r="K59" s="348"/>
    </row>
    <row r="60" spans="1:11">
      <c r="A60" s="45" t="s">
        <v>302</v>
      </c>
      <c r="B60" s="335"/>
      <c r="C60" s="337"/>
      <c r="D60" s="338"/>
      <c r="F60" s="57"/>
      <c r="G60" s="57"/>
      <c r="H60" s="347"/>
      <c r="I60" s="167"/>
      <c r="J60" s="347"/>
      <c r="K60" s="348"/>
    </row>
    <row r="61" spans="1:11">
      <c r="A61" s="45" t="s">
        <v>303</v>
      </c>
      <c r="B61" s="335"/>
      <c r="C61" s="337"/>
      <c r="D61" s="338"/>
      <c r="F61" s="57"/>
      <c r="G61" s="57"/>
      <c r="H61" s="347"/>
      <c r="I61" s="167"/>
      <c r="J61" s="347"/>
      <c r="K61" s="348"/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/>
      <c r="J62" s="347"/>
      <c r="K62" s="348"/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SUM(F53:F62)</f>
        <v>0</v>
      </c>
      <c r="G64" s="350">
        <f t="shared" si="2"/>
        <v>0</v>
      </c>
      <c r="H64" s="348">
        <f t="shared" si="2"/>
        <v>17190722</v>
      </c>
      <c r="I64" s="348">
        <f t="shared" si="2"/>
        <v>0</v>
      </c>
      <c r="J64" s="348">
        <f t="shared" si="2"/>
        <v>11488363</v>
      </c>
      <c r="K64" s="348">
        <f t="shared" si="2"/>
        <v>5702359</v>
      </c>
    </row>
    <row r="65" spans="1:11">
      <c r="F65" s="358"/>
      <c r="G65" s="358"/>
      <c r="H65" s="394"/>
      <c r="I65" s="394"/>
      <c r="J65" s="394"/>
      <c r="K65" s="394"/>
    </row>
    <row r="66" spans="1:11" ht="25.5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0</v>
      </c>
      <c r="G68" s="362">
        <v>0</v>
      </c>
      <c r="H68" s="347">
        <v>993432</v>
      </c>
      <c r="I68" s="167">
        <v>556323</v>
      </c>
      <c r="J68" s="347">
        <v>0</v>
      </c>
      <c r="K68" s="348">
        <v>1549755</v>
      </c>
    </row>
    <row r="69" spans="1:11">
      <c r="A69" s="45" t="s">
        <v>307</v>
      </c>
      <c r="B69" s="49" t="s">
        <v>190</v>
      </c>
      <c r="F69" s="362">
        <v>0</v>
      </c>
      <c r="G69" s="362">
        <v>0</v>
      </c>
      <c r="H69" s="347">
        <v>0</v>
      </c>
      <c r="I69" s="167">
        <v>0</v>
      </c>
      <c r="J69" s="347">
        <v>0</v>
      </c>
      <c r="K69" s="348">
        <v>0</v>
      </c>
    </row>
    <row r="70" spans="1:11">
      <c r="A70" s="45" t="s">
        <v>308</v>
      </c>
      <c r="B70" s="335"/>
      <c r="C70" s="337"/>
      <c r="D70" s="338"/>
      <c r="E70" s="43"/>
      <c r="F70" s="364"/>
      <c r="G70" s="364"/>
      <c r="H70" s="363"/>
      <c r="I70" s="167"/>
      <c r="J70" s="363"/>
      <c r="K70" s="348"/>
    </row>
    <row r="71" spans="1:11">
      <c r="A71" s="45" t="s">
        <v>309</v>
      </c>
      <c r="B71" s="335"/>
      <c r="C71" s="337"/>
      <c r="D71" s="338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336"/>
      <c r="C72" s="339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3">SUM(F68:F72)</f>
        <v>0</v>
      </c>
      <c r="G74" s="368">
        <f t="shared" si="3"/>
        <v>0</v>
      </c>
      <c r="H74" s="354">
        <f t="shared" si="3"/>
        <v>993432</v>
      </c>
      <c r="I74" s="370">
        <f t="shared" si="3"/>
        <v>556323</v>
      </c>
      <c r="J74" s="354">
        <f t="shared" si="3"/>
        <v>0</v>
      </c>
      <c r="K74" s="354">
        <f t="shared" si="3"/>
        <v>1549755</v>
      </c>
    </row>
    <row r="75" spans="1:11" ht="25.5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0</v>
      </c>
      <c r="G77" s="57">
        <v>0</v>
      </c>
      <c r="H77" s="347">
        <v>23833</v>
      </c>
      <c r="I77" s="167">
        <v>0</v>
      </c>
      <c r="J77" s="347">
        <v>0</v>
      </c>
      <c r="K77" s="348">
        <v>23833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57">
        <v>0</v>
      </c>
      <c r="G79" s="57">
        <v>0</v>
      </c>
      <c r="H79" s="347">
        <v>16320</v>
      </c>
      <c r="I79" s="167">
        <v>672</v>
      </c>
      <c r="J79" s="347">
        <v>0</v>
      </c>
      <c r="K79" s="348">
        <v>16992</v>
      </c>
    </row>
    <row r="80" spans="1:11">
      <c r="A80" s="45" t="s">
        <v>315</v>
      </c>
      <c r="B80" s="49" t="s">
        <v>316</v>
      </c>
      <c r="F80" s="57">
        <v>0</v>
      </c>
      <c r="G80" s="57">
        <v>0</v>
      </c>
      <c r="H80" s="347">
        <v>0</v>
      </c>
      <c r="I80" s="167">
        <v>0</v>
      </c>
      <c r="J80" s="347">
        <v>0</v>
      </c>
      <c r="K80" s="348">
        <v>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4">SUM(F77:F80)</f>
        <v>0</v>
      </c>
      <c r="G82" s="455">
        <f t="shared" si="4"/>
        <v>0</v>
      </c>
      <c r="H82" s="354">
        <f t="shared" si="4"/>
        <v>40153</v>
      </c>
      <c r="I82" s="354">
        <f t="shared" si="4"/>
        <v>672</v>
      </c>
      <c r="J82" s="354">
        <f t="shared" si="4"/>
        <v>0</v>
      </c>
      <c r="K82" s="354">
        <f t="shared" si="4"/>
        <v>40825</v>
      </c>
    </row>
    <row r="83" spans="1:11" ht="13.5" thickBot="1">
      <c r="A83" s="45"/>
      <c r="F83" s="356"/>
      <c r="G83" s="356"/>
      <c r="H83" s="352"/>
      <c r="I83" s="352"/>
      <c r="J83" s="352"/>
      <c r="K83" s="352"/>
    </row>
    <row r="84" spans="1:11" ht="25.5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0</v>
      </c>
      <c r="G87" s="57">
        <v>0</v>
      </c>
      <c r="H87" s="347">
        <v>0</v>
      </c>
      <c r="I87" s="167">
        <v>0</v>
      </c>
      <c r="J87" s="347">
        <v>0</v>
      </c>
      <c r="K87" s="348">
        <v>0</v>
      </c>
    </row>
    <row r="88" spans="1:11">
      <c r="A88" s="45" t="s">
        <v>321</v>
      </c>
      <c r="B88" s="49" t="s">
        <v>208</v>
      </c>
      <c r="F88" s="57">
        <v>0</v>
      </c>
      <c r="G88" s="57">
        <v>0</v>
      </c>
      <c r="H88" s="347">
        <v>123003</v>
      </c>
      <c r="I88" s="167">
        <v>68881</v>
      </c>
      <c r="J88" s="347">
        <v>40000</v>
      </c>
      <c r="K88" s="348">
        <v>151884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v>0</v>
      </c>
      <c r="J89" s="347">
        <v>0</v>
      </c>
      <c r="K89" s="348">
        <v>0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0</v>
      </c>
      <c r="G91" s="57">
        <v>0</v>
      </c>
      <c r="H91" s="347">
        <v>0</v>
      </c>
      <c r="I91" s="167">
        <v>0</v>
      </c>
      <c r="J91" s="347">
        <v>0</v>
      </c>
      <c r="K91" s="348">
        <v>0</v>
      </c>
    </row>
    <row r="92" spans="1:11">
      <c r="A92" s="45" t="s">
        <v>325</v>
      </c>
      <c r="B92" s="49" t="s">
        <v>216</v>
      </c>
      <c r="F92" s="372">
        <v>0</v>
      </c>
      <c r="G92" s="372">
        <v>0</v>
      </c>
      <c r="H92" s="373">
        <v>29414</v>
      </c>
      <c r="I92" s="167">
        <v>54</v>
      </c>
      <c r="J92" s="373">
        <v>0</v>
      </c>
      <c r="K92" s="348">
        <v>29468</v>
      </c>
    </row>
    <row r="93" spans="1:11">
      <c r="A93" s="45" t="s">
        <v>326</v>
      </c>
      <c r="B93" s="49" t="s">
        <v>218</v>
      </c>
      <c r="F93" s="57">
        <v>0</v>
      </c>
      <c r="G93" s="57">
        <v>0</v>
      </c>
      <c r="H93" s="347">
        <v>5525</v>
      </c>
      <c r="I93" s="167">
        <v>3094</v>
      </c>
      <c r="J93" s="347">
        <v>0</v>
      </c>
      <c r="K93" s="348">
        <v>8619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0</v>
      </c>
      <c r="G98" s="350">
        <f t="shared" si="5"/>
        <v>0</v>
      </c>
      <c r="H98" s="348">
        <f t="shared" si="5"/>
        <v>157942</v>
      </c>
      <c r="I98" s="348">
        <f t="shared" si="5"/>
        <v>72029</v>
      </c>
      <c r="J98" s="348">
        <f t="shared" si="5"/>
        <v>40000</v>
      </c>
      <c r="K98" s="348">
        <f t="shared" si="5"/>
        <v>189971</v>
      </c>
    </row>
    <row r="99" spans="1:11" ht="13.5" thickBot="1">
      <c r="B99" s="43"/>
      <c r="F99" s="356"/>
      <c r="G99" s="356"/>
      <c r="H99" s="352"/>
      <c r="I99" s="352"/>
      <c r="J99" s="352"/>
      <c r="K99" s="352"/>
    </row>
    <row r="100" spans="1:11" ht="25.5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0</v>
      </c>
      <c r="G102" s="57">
        <v>0</v>
      </c>
      <c r="H102" s="347">
        <v>45499</v>
      </c>
      <c r="I102" s="167">
        <v>1690</v>
      </c>
      <c r="J102" s="347">
        <v>0</v>
      </c>
      <c r="K102" s="348">
        <v>47189</v>
      </c>
    </row>
    <row r="103" spans="1:11">
      <c r="A103" s="45" t="s">
        <v>333</v>
      </c>
      <c r="B103" s="818" t="s">
        <v>226</v>
      </c>
      <c r="C103" s="818"/>
      <c r="F103" s="57">
        <v>0</v>
      </c>
      <c r="G103" s="57">
        <v>0</v>
      </c>
      <c r="H103" s="347">
        <v>37888</v>
      </c>
      <c r="I103" s="167">
        <v>0</v>
      </c>
      <c r="J103" s="347">
        <v>0</v>
      </c>
      <c r="K103" s="348">
        <v>37888</v>
      </c>
    </row>
    <row r="104" spans="1:11">
      <c r="A104" s="45" t="s">
        <v>334</v>
      </c>
      <c r="B104" s="817"/>
      <c r="C104" s="864"/>
      <c r="D104" s="865"/>
      <c r="F104" s="57"/>
      <c r="G104" s="57"/>
      <c r="H104" s="347"/>
      <c r="I104" s="167"/>
      <c r="J104" s="347"/>
      <c r="K104" s="348"/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/>
      <c r="J105" s="347"/>
      <c r="K105" s="348"/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0</v>
      </c>
      <c r="G108" s="350">
        <f t="shared" si="6"/>
        <v>0</v>
      </c>
      <c r="H108" s="348">
        <f t="shared" si="6"/>
        <v>83387</v>
      </c>
      <c r="I108" s="348">
        <f t="shared" si="6"/>
        <v>1690</v>
      </c>
      <c r="J108" s="348">
        <f t="shared" si="6"/>
        <v>0</v>
      </c>
      <c r="K108" s="348">
        <f t="shared" si="6"/>
        <v>85077</v>
      </c>
    </row>
    <row r="109" spans="1:11" ht="13.5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17514687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0.56000000000000005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377533429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14138449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f>SUM(F117:F118)</f>
        <v>391671878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397895616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-6223738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4750979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-1472759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5.5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  <c r="H138" s="384"/>
      <c r="I138" s="384"/>
      <c r="J138" s="384"/>
      <c r="K138" s="384"/>
    </row>
    <row r="139" spans="1:11" ht="25.5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8">F36</f>
        <v>9189.7999999999993</v>
      </c>
      <c r="G141" s="377">
        <f t="shared" si="8"/>
        <v>10106</v>
      </c>
      <c r="H141" s="380">
        <f t="shared" si="8"/>
        <v>1382063</v>
      </c>
      <c r="I141" s="380">
        <f t="shared" si="8"/>
        <v>398373</v>
      </c>
      <c r="J141" s="380">
        <f t="shared" si="8"/>
        <v>1500</v>
      </c>
      <c r="K141" s="380">
        <f t="shared" si="8"/>
        <v>1778936</v>
      </c>
    </row>
    <row r="142" spans="1:11">
      <c r="A142" s="45" t="s">
        <v>286</v>
      </c>
      <c r="B142" s="43" t="s">
        <v>125</v>
      </c>
      <c r="F142" s="456">
        <f t="shared" ref="F142:K142" si="9">F49</f>
        <v>203159</v>
      </c>
      <c r="G142" s="456">
        <f t="shared" si="9"/>
        <v>2579</v>
      </c>
      <c r="H142" s="380">
        <f t="shared" si="9"/>
        <v>13005619</v>
      </c>
      <c r="I142" s="380">
        <f t="shared" si="9"/>
        <v>7283145</v>
      </c>
      <c r="J142" s="380">
        <f t="shared" si="9"/>
        <v>31200</v>
      </c>
      <c r="K142" s="380">
        <f t="shared" si="9"/>
        <v>20257564</v>
      </c>
    </row>
    <row r="143" spans="1:11">
      <c r="A143" s="45" t="s">
        <v>305</v>
      </c>
      <c r="B143" s="43" t="s">
        <v>247</v>
      </c>
      <c r="F143" s="377">
        <f t="shared" ref="F143:K143" si="10">F64</f>
        <v>0</v>
      </c>
      <c r="G143" s="377">
        <f t="shared" si="10"/>
        <v>0</v>
      </c>
      <c r="H143" s="380">
        <f t="shared" si="10"/>
        <v>17190722</v>
      </c>
      <c r="I143" s="380">
        <f t="shared" si="10"/>
        <v>0</v>
      </c>
      <c r="J143" s="380">
        <f t="shared" si="10"/>
        <v>11488363</v>
      </c>
      <c r="K143" s="380">
        <f t="shared" si="10"/>
        <v>5702359</v>
      </c>
    </row>
    <row r="144" spans="1:11">
      <c r="A144" s="45" t="s">
        <v>311</v>
      </c>
      <c r="B144" s="43" t="s">
        <v>127</v>
      </c>
      <c r="F144" s="377">
        <f t="shared" ref="F144:K144" si="11">F74</f>
        <v>0</v>
      </c>
      <c r="G144" s="377">
        <f t="shared" si="11"/>
        <v>0</v>
      </c>
      <c r="H144" s="380">
        <f t="shared" si="11"/>
        <v>993432</v>
      </c>
      <c r="I144" s="380">
        <f t="shared" si="11"/>
        <v>556323</v>
      </c>
      <c r="J144" s="380">
        <f t="shared" si="11"/>
        <v>0</v>
      </c>
      <c r="K144" s="380">
        <f t="shared" si="11"/>
        <v>1549755</v>
      </c>
    </row>
    <row r="145" spans="1:11">
      <c r="A145" s="45" t="s">
        <v>317</v>
      </c>
      <c r="B145" s="43" t="s">
        <v>248</v>
      </c>
      <c r="F145" s="377">
        <f t="shared" ref="F145:K145" si="12">F82</f>
        <v>0</v>
      </c>
      <c r="G145" s="377">
        <f t="shared" si="12"/>
        <v>0</v>
      </c>
      <c r="H145" s="380">
        <f t="shared" si="12"/>
        <v>40153</v>
      </c>
      <c r="I145" s="380">
        <f t="shared" si="12"/>
        <v>672</v>
      </c>
      <c r="J145" s="380">
        <f t="shared" si="12"/>
        <v>0</v>
      </c>
      <c r="K145" s="380">
        <f t="shared" si="12"/>
        <v>40825</v>
      </c>
    </row>
    <row r="146" spans="1:11">
      <c r="A146" s="45" t="s">
        <v>331</v>
      </c>
      <c r="B146" s="43" t="s">
        <v>249</v>
      </c>
      <c r="F146" s="377">
        <f t="shared" ref="F146:K146" si="13">F98</f>
        <v>0</v>
      </c>
      <c r="G146" s="377">
        <f t="shared" si="13"/>
        <v>0</v>
      </c>
      <c r="H146" s="380">
        <f t="shared" si="13"/>
        <v>157942</v>
      </c>
      <c r="I146" s="380">
        <f t="shared" si="13"/>
        <v>72029</v>
      </c>
      <c r="J146" s="380">
        <f t="shared" si="13"/>
        <v>40000</v>
      </c>
      <c r="K146" s="380">
        <f t="shared" si="13"/>
        <v>189971</v>
      </c>
    </row>
    <row r="147" spans="1:11">
      <c r="A147" s="45" t="s">
        <v>338</v>
      </c>
      <c r="B147" s="43" t="s">
        <v>129</v>
      </c>
      <c r="F147" s="350">
        <f t="shared" ref="F147:K147" si="14">F108</f>
        <v>0</v>
      </c>
      <c r="G147" s="350">
        <f t="shared" si="14"/>
        <v>0</v>
      </c>
      <c r="H147" s="348">
        <f t="shared" si="14"/>
        <v>83387</v>
      </c>
      <c r="I147" s="348">
        <f t="shared" si="14"/>
        <v>1690</v>
      </c>
      <c r="J147" s="348">
        <f t="shared" si="14"/>
        <v>0</v>
      </c>
      <c r="K147" s="348">
        <f t="shared" si="14"/>
        <v>85077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17514687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11229101</v>
      </c>
      <c r="I150" s="348">
        <f>I18</f>
        <v>0</v>
      </c>
      <c r="J150" s="348">
        <f>J18</f>
        <v>9602285</v>
      </c>
      <c r="K150" s="348">
        <f>K18</f>
        <v>1626816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212348.79999999999</v>
      </c>
      <c r="G152" s="381">
        <f t="shared" si="16"/>
        <v>12685</v>
      </c>
      <c r="H152" s="457">
        <f t="shared" si="16"/>
        <v>44082419</v>
      </c>
      <c r="I152" s="457">
        <f t="shared" si="16"/>
        <v>8312232</v>
      </c>
      <c r="J152" s="457">
        <f t="shared" si="16"/>
        <v>21163348</v>
      </c>
      <c r="K152" s="457">
        <f t="shared" si="16"/>
        <v>48745990</v>
      </c>
    </row>
    <row r="154" spans="1:11">
      <c r="A154" s="48" t="s">
        <v>361</v>
      </c>
      <c r="B154" s="43" t="s">
        <v>252</v>
      </c>
      <c r="F154" s="459">
        <f>K152/F121</f>
        <v>0.12250949253987257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-33.098415966223939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C11:G11"/>
    <mergeCell ref="D2:H2"/>
    <mergeCell ref="C5:G5"/>
    <mergeCell ref="C6:G6"/>
    <mergeCell ref="C7:G7"/>
    <mergeCell ref="C9:G9"/>
    <mergeCell ref="C10:G10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90:C90"/>
    <mergeCell ref="B94:D94"/>
    <mergeCell ref="B95:D95"/>
    <mergeCell ref="B96:D96"/>
    <mergeCell ref="B134:D134"/>
    <mergeCell ref="B135:D135"/>
    <mergeCell ref="B103:C103"/>
    <mergeCell ref="B104:D104"/>
    <mergeCell ref="B105:D105"/>
    <mergeCell ref="B106:D106"/>
    <mergeCell ref="B133:D13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4" workbookViewId="0">
      <selection activeCell="B43" sqref="B43"/>
    </sheetView>
  </sheetViews>
  <sheetFormatPr defaultRowHeight="12.75"/>
  <cols>
    <col min="1" max="1" width="8.28515625" style="135" customWidth="1"/>
    <col min="2" max="2" width="55.42578125" style="49" bestFit="1" customWidth="1"/>
    <col min="3" max="3" width="9.5703125" style="49" customWidth="1"/>
    <col min="4" max="4" width="9.140625" style="49"/>
    <col min="5" max="5" width="12.42578125" style="49" customWidth="1"/>
    <col min="6" max="6" width="18.5703125" style="49" customWidth="1"/>
    <col min="7" max="7" width="23.5703125" style="49" customWidth="1"/>
    <col min="8" max="8" width="17.140625" style="49" customWidth="1"/>
    <col min="9" max="9" width="21.140625" style="49" customWidth="1"/>
    <col min="10" max="10" width="19.85546875" style="49" customWidth="1"/>
    <col min="11" max="11" width="17.5703125" style="49" customWidth="1"/>
    <col min="12" max="16384" width="9.14062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75">
      <c r="D2" s="824" t="s">
        <v>133</v>
      </c>
      <c r="E2" s="825"/>
      <c r="F2" s="825"/>
      <c r="G2" s="825"/>
      <c r="H2" s="825"/>
      <c r="I2" s="384"/>
      <c r="J2" s="384"/>
      <c r="K2" s="384"/>
    </row>
    <row r="3" spans="1:11" ht="15">
      <c r="B3" s="43" t="s">
        <v>134</v>
      </c>
      <c r="F3" s="44"/>
      <c r="H3" s="384"/>
      <c r="I3" s="384"/>
      <c r="J3" s="384"/>
      <c r="K3" s="384"/>
    </row>
    <row r="5" spans="1:11">
      <c r="B5" s="45" t="s">
        <v>135</v>
      </c>
      <c r="C5" s="826" t="s">
        <v>531</v>
      </c>
      <c r="D5" s="851"/>
      <c r="E5" s="851"/>
      <c r="F5" s="851"/>
      <c r="G5" s="852"/>
      <c r="H5" s="384"/>
      <c r="I5" s="384"/>
      <c r="J5" s="384"/>
      <c r="K5" s="384"/>
    </row>
    <row r="6" spans="1:11">
      <c r="B6" s="45" t="s">
        <v>136</v>
      </c>
      <c r="C6" s="829">
        <v>27</v>
      </c>
      <c r="D6" s="854"/>
      <c r="E6" s="854"/>
      <c r="F6" s="854"/>
      <c r="G6" s="855"/>
      <c r="H6" s="384"/>
      <c r="I6" s="384"/>
      <c r="J6" s="384"/>
      <c r="K6" s="384"/>
    </row>
    <row r="7" spans="1:11">
      <c r="B7" s="45" t="s">
        <v>137</v>
      </c>
      <c r="C7" s="878">
        <v>2087</v>
      </c>
      <c r="D7" s="857"/>
      <c r="E7" s="857"/>
      <c r="F7" s="857"/>
      <c r="G7" s="858"/>
      <c r="H7" s="384"/>
      <c r="I7" s="384"/>
      <c r="J7" s="384"/>
      <c r="K7" s="384"/>
    </row>
    <row r="9" spans="1:11">
      <c r="B9" s="45" t="s">
        <v>138</v>
      </c>
      <c r="C9" s="826" t="s">
        <v>532</v>
      </c>
      <c r="D9" s="851"/>
      <c r="E9" s="851"/>
      <c r="F9" s="851"/>
      <c r="G9" s="852"/>
      <c r="H9" s="384"/>
      <c r="I9" s="384"/>
      <c r="J9" s="384"/>
      <c r="K9" s="384"/>
    </row>
    <row r="10" spans="1:11">
      <c r="B10" s="45" t="s">
        <v>140</v>
      </c>
      <c r="C10" s="835" t="s">
        <v>533</v>
      </c>
      <c r="D10" s="860"/>
      <c r="E10" s="860"/>
      <c r="F10" s="860"/>
      <c r="G10" s="861"/>
      <c r="H10" s="384"/>
      <c r="I10" s="384"/>
      <c r="J10" s="384"/>
      <c r="K10" s="384"/>
    </row>
    <row r="11" spans="1:11">
      <c r="B11" s="45" t="s">
        <v>142</v>
      </c>
      <c r="C11" s="838" t="s">
        <v>534</v>
      </c>
      <c r="D11" s="874"/>
      <c r="E11" s="874"/>
      <c r="F11" s="874"/>
      <c r="G11" s="874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5.5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8526176</v>
      </c>
      <c r="I18" s="167">
        <v>0</v>
      </c>
      <c r="J18" s="347">
        <v>7290947</v>
      </c>
      <c r="K18" s="348">
        <v>1235229</v>
      </c>
    </row>
    <row r="19" spans="1:11" ht="25.5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1809</v>
      </c>
      <c r="G21" s="57">
        <v>3709</v>
      </c>
      <c r="H21" s="347">
        <v>95683</v>
      </c>
      <c r="I21" s="167">
        <v>80230.2</v>
      </c>
      <c r="J21" s="347">
        <v>1080</v>
      </c>
      <c r="K21" s="348">
        <v>174833.2</v>
      </c>
    </row>
    <row r="22" spans="1:11">
      <c r="A22" s="45" t="s">
        <v>261</v>
      </c>
      <c r="B22" s="49" t="s">
        <v>157</v>
      </c>
      <c r="F22" s="57">
        <v>113</v>
      </c>
      <c r="G22" s="57">
        <v>424</v>
      </c>
      <c r="H22" s="347">
        <v>4470</v>
      </c>
      <c r="I22" s="167">
        <v>3748.1</v>
      </c>
      <c r="J22" s="347">
        <v>0</v>
      </c>
      <c r="K22" s="348">
        <v>8218.1</v>
      </c>
    </row>
    <row r="23" spans="1:11">
      <c r="A23" s="45" t="s">
        <v>262</v>
      </c>
      <c r="B23" s="49" t="s">
        <v>158</v>
      </c>
      <c r="F23" s="57">
        <v>217</v>
      </c>
      <c r="G23" s="57">
        <v>4851</v>
      </c>
      <c r="H23" s="347">
        <v>9044</v>
      </c>
      <c r="I23" s="167">
        <v>7583.39</v>
      </c>
      <c r="J23" s="347">
        <v>1135</v>
      </c>
      <c r="K23" s="348">
        <v>15492.39</v>
      </c>
    </row>
    <row r="24" spans="1:11">
      <c r="A24" s="45" t="s">
        <v>263</v>
      </c>
      <c r="B24" s="49" t="s">
        <v>159</v>
      </c>
      <c r="F24" s="57">
        <v>0</v>
      </c>
      <c r="G24" s="57">
        <v>0</v>
      </c>
      <c r="H24" s="347">
        <v>0</v>
      </c>
      <c r="I24" s="167">
        <v>0</v>
      </c>
      <c r="J24" s="347">
        <v>0</v>
      </c>
      <c r="K24" s="348">
        <v>0</v>
      </c>
    </row>
    <row r="25" spans="1:11">
      <c r="A25" s="45" t="s">
        <v>264</v>
      </c>
      <c r="B25" s="49" t="s">
        <v>160</v>
      </c>
      <c r="F25" s="57">
        <v>79</v>
      </c>
      <c r="G25" s="57">
        <v>1574</v>
      </c>
      <c r="H25" s="347">
        <v>7093</v>
      </c>
      <c r="I25" s="167">
        <v>5947.48</v>
      </c>
      <c r="J25" s="347">
        <v>3970</v>
      </c>
      <c r="K25" s="348">
        <v>9070.48</v>
      </c>
    </row>
    <row r="26" spans="1:11">
      <c r="A26" s="45" t="s">
        <v>265</v>
      </c>
      <c r="B26" s="49" t="s">
        <v>161</v>
      </c>
      <c r="F26" s="57">
        <v>0</v>
      </c>
      <c r="G26" s="57">
        <v>0</v>
      </c>
      <c r="H26" s="347">
        <v>0</v>
      </c>
      <c r="I26" s="167">
        <v>0</v>
      </c>
      <c r="J26" s="347">
        <v>0</v>
      </c>
      <c r="K26" s="348">
        <v>0</v>
      </c>
    </row>
    <row r="27" spans="1:11">
      <c r="A27" s="45" t="s">
        <v>266</v>
      </c>
      <c r="B27" s="49" t="s">
        <v>162</v>
      </c>
      <c r="F27" s="57">
        <v>0</v>
      </c>
      <c r="G27" s="57">
        <v>0</v>
      </c>
      <c r="H27" s="347">
        <v>0</v>
      </c>
      <c r="I27" s="167">
        <v>0</v>
      </c>
      <c r="J27" s="347">
        <v>0</v>
      </c>
      <c r="K27" s="348">
        <v>0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3922</v>
      </c>
      <c r="G29" s="57">
        <v>5456</v>
      </c>
      <c r="H29" s="347">
        <v>67698</v>
      </c>
      <c r="I29" s="167">
        <v>56764.77</v>
      </c>
      <c r="J29" s="347">
        <v>0</v>
      </c>
      <c r="K29" s="348">
        <v>124462.77</v>
      </c>
    </row>
    <row r="30" spans="1:11">
      <c r="A30" s="45" t="s">
        <v>269</v>
      </c>
      <c r="B30" s="814" t="s">
        <v>535</v>
      </c>
      <c r="C30" s="815"/>
      <c r="D30" s="816"/>
      <c r="F30" s="57">
        <v>0</v>
      </c>
      <c r="G30" s="57">
        <v>0</v>
      </c>
      <c r="H30" s="347">
        <v>41366</v>
      </c>
      <c r="I30" s="167">
        <v>34685.39</v>
      </c>
      <c r="J30" s="347">
        <v>0</v>
      </c>
      <c r="K30" s="348">
        <v>76051.39</v>
      </c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332"/>
      <c r="C32" s="333"/>
      <c r="D32" s="334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332"/>
      <c r="C33" s="333"/>
      <c r="D33" s="334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6140</v>
      </c>
      <c r="G36" s="350">
        <f t="shared" si="0"/>
        <v>16014</v>
      </c>
      <c r="H36" s="348">
        <f t="shared" si="0"/>
        <v>225354</v>
      </c>
      <c r="I36" s="348">
        <f t="shared" si="0"/>
        <v>188959.33000000002</v>
      </c>
      <c r="J36" s="348">
        <f t="shared" si="0"/>
        <v>6185</v>
      </c>
      <c r="K36" s="348">
        <f t="shared" si="0"/>
        <v>408128.33</v>
      </c>
    </row>
    <row r="37" spans="1:11" ht="13.5" thickBot="1">
      <c r="B37" s="43"/>
      <c r="F37" s="351"/>
      <c r="G37" s="351"/>
      <c r="H37" s="352"/>
      <c r="I37" s="352"/>
      <c r="J37" s="352"/>
      <c r="K37" s="353"/>
    </row>
    <row r="38" spans="1:11" ht="25.5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0</v>
      </c>
      <c r="G40" s="57">
        <v>0</v>
      </c>
      <c r="H40" s="347">
        <v>0</v>
      </c>
      <c r="I40" s="167">
        <v>0</v>
      </c>
      <c r="J40" s="347">
        <v>0</v>
      </c>
      <c r="K40" s="348">
        <v>0</v>
      </c>
    </row>
    <row r="41" spans="1:11">
      <c r="A41" s="45" t="s">
        <v>278</v>
      </c>
      <c r="B41" s="818" t="s">
        <v>172</v>
      </c>
      <c r="C41" s="818"/>
      <c r="F41" s="57">
        <v>12546</v>
      </c>
      <c r="G41" s="57">
        <v>81550</v>
      </c>
      <c r="H41" s="347">
        <v>502091</v>
      </c>
      <c r="I41" s="167">
        <v>0</v>
      </c>
      <c r="J41" s="347">
        <v>0</v>
      </c>
      <c r="K41" s="348">
        <v>502091</v>
      </c>
    </row>
    <row r="42" spans="1:11">
      <c r="A42" s="45" t="s">
        <v>279</v>
      </c>
      <c r="B42" s="49" t="s">
        <v>174</v>
      </c>
      <c r="F42" s="57">
        <v>7163</v>
      </c>
      <c r="G42" s="57">
        <v>18732</v>
      </c>
      <c r="H42" s="347">
        <v>157086</v>
      </c>
      <c r="I42" s="167">
        <v>0</v>
      </c>
      <c r="J42" s="347">
        <v>0</v>
      </c>
      <c r="K42" s="348">
        <v>157086</v>
      </c>
    </row>
    <row r="43" spans="1:11">
      <c r="A43" s="45" t="s">
        <v>280</v>
      </c>
      <c r="B43" s="49" t="s">
        <v>176</v>
      </c>
      <c r="F43" s="57">
        <v>0</v>
      </c>
      <c r="G43" s="57">
        <v>0</v>
      </c>
      <c r="H43" s="347">
        <v>0</v>
      </c>
      <c r="I43" s="167">
        <v>0</v>
      </c>
      <c r="J43" s="347">
        <v>0</v>
      </c>
      <c r="K43" s="348">
        <v>0</v>
      </c>
    </row>
    <row r="44" spans="1:11">
      <c r="A44" s="45" t="s">
        <v>281</v>
      </c>
      <c r="B44" s="814" t="s">
        <v>536</v>
      </c>
      <c r="C44" s="815"/>
      <c r="D44" s="816"/>
      <c r="F44" s="57">
        <v>8</v>
      </c>
      <c r="G44" s="57">
        <v>170</v>
      </c>
      <c r="H44" s="347">
        <v>55</v>
      </c>
      <c r="I44" s="167">
        <v>0</v>
      </c>
      <c r="J44" s="347">
        <v>0</v>
      </c>
      <c r="K44" s="354">
        <v>55</v>
      </c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1">SUM(F40:F47)</f>
        <v>19717</v>
      </c>
      <c r="G49" s="355">
        <f t="shared" si="1"/>
        <v>100452</v>
      </c>
      <c r="H49" s="348">
        <f t="shared" si="1"/>
        <v>659232</v>
      </c>
      <c r="I49" s="348">
        <f t="shared" si="1"/>
        <v>0</v>
      </c>
      <c r="J49" s="348">
        <f t="shared" si="1"/>
        <v>0</v>
      </c>
      <c r="K49" s="348">
        <f t="shared" si="1"/>
        <v>659232</v>
      </c>
    </row>
    <row r="50" spans="1:11" ht="13.5" thickBot="1">
      <c r="G50" s="356"/>
      <c r="H50" s="352"/>
      <c r="I50" s="352"/>
      <c r="J50" s="352"/>
      <c r="K50" s="352"/>
    </row>
    <row r="51" spans="1:11" ht="25.5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22" t="s">
        <v>537</v>
      </c>
      <c r="C53" s="867" t="s">
        <v>537</v>
      </c>
      <c r="D53" s="865" t="s">
        <v>537</v>
      </c>
      <c r="F53" s="57">
        <v>29444</v>
      </c>
      <c r="G53" s="57">
        <v>16725</v>
      </c>
      <c r="H53" s="347">
        <v>2620330.73</v>
      </c>
      <c r="I53" s="167">
        <v>1595257.35</v>
      </c>
      <c r="J53" s="347">
        <v>1738074</v>
      </c>
      <c r="K53" s="348">
        <v>2477514.08</v>
      </c>
    </row>
    <row r="54" spans="1:11">
      <c r="A54" s="45" t="s">
        <v>289</v>
      </c>
      <c r="B54" s="335" t="s">
        <v>425</v>
      </c>
      <c r="C54" s="337"/>
      <c r="D54" s="338"/>
      <c r="F54" s="57">
        <v>31661</v>
      </c>
      <c r="G54" s="57">
        <v>8849</v>
      </c>
      <c r="H54" s="347">
        <v>1711581.89</v>
      </c>
      <c r="I54" s="167">
        <v>1042011.05</v>
      </c>
      <c r="J54" s="347">
        <v>1705039.56</v>
      </c>
      <c r="K54" s="348">
        <v>1048553.38</v>
      </c>
    </row>
    <row r="55" spans="1:11">
      <c r="A55" s="45" t="s">
        <v>291</v>
      </c>
      <c r="B55" s="817" t="s">
        <v>529</v>
      </c>
      <c r="C55" s="864" t="s">
        <v>529</v>
      </c>
      <c r="D55" s="865" t="s">
        <v>529</v>
      </c>
      <c r="F55" s="57">
        <v>33214</v>
      </c>
      <c r="G55" s="57">
        <v>4522</v>
      </c>
      <c r="H55" s="347">
        <v>5570341.6299999999</v>
      </c>
      <c r="I55" s="167">
        <v>4670731.46</v>
      </c>
      <c r="J55" s="347">
        <v>2406109.63</v>
      </c>
      <c r="K55" s="348">
        <v>7834963.46</v>
      </c>
    </row>
    <row r="56" spans="1:11">
      <c r="A56" s="45" t="s">
        <v>293</v>
      </c>
      <c r="B56" s="817" t="s">
        <v>538</v>
      </c>
      <c r="C56" s="864" t="s">
        <v>538</v>
      </c>
      <c r="D56" s="865" t="s">
        <v>538</v>
      </c>
      <c r="F56" s="57">
        <v>14301</v>
      </c>
      <c r="G56" s="57">
        <v>10807</v>
      </c>
      <c r="H56" s="347">
        <v>1829550.61</v>
      </c>
      <c r="I56" s="167">
        <v>1534078.19</v>
      </c>
      <c r="J56" s="347">
        <v>1523884</v>
      </c>
      <c r="K56" s="348">
        <v>1839744.8</v>
      </c>
    </row>
    <row r="57" spans="1:11">
      <c r="A57" s="45" t="s">
        <v>295</v>
      </c>
      <c r="B57" s="817" t="s">
        <v>539</v>
      </c>
      <c r="C57" s="864" t="s">
        <v>539</v>
      </c>
      <c r="D57" s="865" t="s">
        <v>539</v>
      </c>
      <c r="F57" s="70">
        <v>20185</v>
      </c>
      <c r="G57" s="57">
        <v>9584</v>
      </c>
      <c r="H57" s="347">
        <v>2054081.68</v>
      </c>
      <c r="I57" s="167">
        <v>1250524.93</v>
      </c>
      <c r="J57" s="347">
        <v>1995141</v>
      </c>
      <c r="K57" s="348">
        <v>1309465.6100000001</v>
      </c>
    </row>
    <row r="58" spans="1:11">
      <c r="A58" s="45" t="s">
        <v>298</v>
      </c>
      <c r="B58" s="335" t="s">
        <v>540</v>
      </c>
      <c r="C58" s="337"/>
      <c r="D58" s="338"/>
      <c r="F58" s="70">
        <v>50003</v>
      </c>
      <c r="G58" s="70">
        <v>20581</v>
      </c>
      <c r="H58" s="347">
        <v>3941401.05</v>
      </c>
      <c r="I58" s="167">
        <v>2399524.96</v>
      </c>
      <c r="J58" s="347">
        <v>2684385.01</v>
      </c>
      <c r="K58" s="348">
        <v>3656541</v>
      </c>
    </row>
    <row r="59" spans="1:11">
      <c r="A59" s="45" t="s">
        <v>300</v>
      </c>
      <c r="B59" s="817" t="s">
        <v>541</v>
      </c>
      <c r="C59" s="864" t="s">
        <v>541</v>
      </c>
      <c r="D59" s="865" t="s">
        <v>541</v>
      </c>
      <c r="F59" s="70">
        <v>45468</v>
      </c>
      <c r="G59" s="70">
        <v>15142</v>
      </c>
      <c r="H59" s="347">
        <v>7645779.4800000004</v>
      </c>
      <c r="I59" s="167">
        <v>4654750.55</v>
      </c>
      <c r="J59" s="347">
        <v>6594307.0899999999</v>
      </c>
      <c r="K59" s="348">
        <v>5706222.9400000004</v>
      </c>
    </row>
    <row r="60" spans="1:11">
      <c r="A60" s="45" t="s">
        <v>302</v>
      </c>
      <c r="B60" s="335" t="s">
        <v>542</v>
      </c>
      <c r="C60" s="337"/>
      <c r="D60" s="338"/>
      <c r="F60" s="57">
        <v>2982</v>
      </c>
      <c r="G60" s="57">
        <v>901</v>
      </c>
      <c r="H60" s="347">
        <v>205672.35</v>
      </c>
      <c r="I60" s="167">
        <v>125213.33</v>
      </c>
      <c r="J60" s="347">
        <v>145470</v>
      </c>
      <c r="K60" s="348">
        <v>185415.67999999999</v>
      </c>
    </row>
    <row r="61" spans="1:11">
      <c r="A61" s="45" t="s">
        <v>303</v>
      </c>
      <c r="B61" s="335" t="s">
        <v>543</v>
      </c>
      <c r="C61" s="337"/>
      <c r="D61" s="338"/>
      <c r="F61" s="57">
        <v>6143</v>
      </c>
      <c r="G61" s="57">
        <v>1294</v>
      </c>
      <c r="H61" s="347">
        <v>221746.79</v>
      </c>
      <c r="I61" s="167">
        <v>134999.45000000001</v>
      </c>
      <c r="J61" s="347">
        <v>38715</v>
      </c>
      <c r="K61" s="348">
        <v>318031.24</v>
      </c>
    </row>
    <row r="62" spans="1:11">
      <c r="A62" s="45" t="s">
        <v>304</v>
      </c>
      <c r="B62" s="817" t="s">
        <v>544</v>
      </c>
      <c r="C62" s="864" t="s">
        <v>544</v>
      </c>
      <c r="D62" s="865" t="s">
        <v>544</v>
      </c>
      <c r="F62" s="57">
        <v>0</v>
      </c>
      <c r="G62" s="57">
        <v>0</v>
      </c>
      <c r="H62" s="347">
        <v>50072</v>
      </c>
      <c r="I62" s="167">
        <v>30483.83</v>
      </c>
      <c r="J62" s="347">
        <v>0</v>
      </c>
      <c r="K62" s="348">
        <v>80555.83</v>
      </c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SUM(F53:F62)</f>
        <v>233401</v>
      </c>
      <c r="G64" s="350">
        <f t="shared" si="2"/>
        <v>88405</v>
      </c>
      <c r="H64" s="348">
        <f t="shared" si="2"/>
        <v>25850558.210000001</v>
      </c>
      <c r="I64" s="348">
        <f t="shared" si="2"/>
        <v>17437575.099999998</v>
      </c>
      <c r="J64" s="348">
        <f t="shared" si="2"/>
        <v>18831125.289999999</v>
      </c>
      <c r="K64" s="348">
        <f t="shared" si="2"/>
        <v>24457008.019999996</v>
      </c>
    </row>
    <row r="65" spans="1:11">
      <c r="F65" s="358"/>
      <c r="G65" s="358"/>
      <c r="H65" s="394"/>
      <c r="I65" s="394"/>
      <c r="J65" s="394"/>
      <c r="K65" s="394"/>
    </row>
    <row r="66" spans="1:11" ht="25.5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0</v>
      </c>
      <c r="G68" s="362">
        <v>0</v>
      </c>
      <c r="H68" s="347">
        <v>0</v>
      </c>
      <c r="I68" s="167">
        <v>0</v>
      </c>
      <c r="J68" s="347">
        <v>0</v>
      </c>
      <c r="K68" s="348">
        <v>0</v>
      </c>
    </row>
    <row r="69" spans="1:11">
      <c r="A69" s="45" t="s">
        <v>307</v>
      </c>
      <c r="B69" s="49" t="s">
        <v>190</v>
      </c>
      <c r="F69" s="362">
        <v>0</v>
      </c>
      <c r="G69" s="362">
        <v>0</v>
      </c>
      <c r="H69" s="347">
        <v>0</v>
      </c>
      <c r="I69" s="167">
        <v>0</v>
      </c>
      <c r="J69" s="347">
        <v>0</v>
      </c>
      <c r="K69" s="348">
        <v>0</v>
      </c>
    </row>
    <row r="70" spans="1:11">
      <c r="A70" s="45" t="s">
        <v>308</v>
      </c>
      <c r="B70" s="335"/>
      <c r="C70" s="337"/>
      <c r="D70" s="338"/>
      <c r="E70" s="43"/>
      <c r="F70" s="364"/>
      <c r="G70" s="364"/>
      <c r="H70" s="363"/>
      <c r="I70" s="167"/>
      <c r="J70" s="363"/>
      <c r="K70" s="348"/>
    </row>
    <row r="71" spans="1:11">
      <c r="A71" s="45" t="s">
        <v>309</v>
      </c>
      <c r="B71" s="335"/>
      <c r="C71" s="337"/>
      <c r="D71" s="338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336"/>
      <c r="C72" s="339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3">SUM(F68:F72)</f>
        <v>0</v>
      </c>
      <c r="G74" s="368">
        <f t="shared" si="3"/>
        <v>0</v>
      </c>
      <c r="H74" s="354">
        <f t="shared" si="3"/>
        <v>0</v>
      </c>
      <c r="I74" s="370">
        <f t="shared" si="3"/>
        <v>0</v>
      </c>
      <c r="J74" s="354">
        <f t="shared" si="3"/>
        <v>0</v>
      </c>
      <c r="K74" s="354">
        <f t="shared" si="3"/>
        <v>0</v>
      </c>
    </row>
    <row r="75" spans="1:11" ht="25.5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0</v>
      </c>
      <c r="G77" s="57">
        <v>0</v>
      </c>
      <c r="H77" s="347">
        <v>116683</v>
      </c>
      <c r="I77" s="167">
        <v>0</v>
      </c>
      <c r="J77" s="347">
        <v>0</v>
      </c>
      <c r="K77" s="348">
        <v>116683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57">
        <v>1937</v>
      </c>
      <c r="G79" s="57">
        <v>4345</v>
      </c>
      <c r="H79" s="347">
        <v>2428208.5299999998</v>
      </c>
      <c r="I79" s="167">
        <v>0</v>
      </c>
      <c r="J79" s="347">
        <v>29667</v>
      </c>
      <c r="K79" s="348">
        <v>2398541.5299999998</v>
      </c>
    </row>
    <row r="80" spans="1:11">
      <c r="A80" s="45" t="s">
        <v>315</v>
      </c>
      <c r="B80" s="49" t="s">
        <v>316</v>
      </c>
      <c r="F80" s="57">
        <v>60</v>
      </c>
      <c r="G80" s="57">
        <v>0</v>
      </c>
      <c r="H80" s="347">
        <v>2070</v>
      </c>
      <c r="I80" s="167">
        <v>0</v>
      </c>
      <c r="J80" s="347">
        <v>0</v>
      </c>
      <c r="K80" s="348">
        <v>2070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4">SUM(F77:F80)</f>
        <v>1997</v>
      </c>
      <c r="G82" s="455">
        <f t="shared" si="4"/>
        <v>4345</v>
      </c>
      <c r="H82" s="354">
        <f t="shared" si="4"/>
        <v>2546961.5299999998</v>
      </c>
      <c r="I82" s="354">
        <f t="shared" si="4"/>
        <v>0</v>
      </c>
      <c r="J82" s="354">
        <f t="shared" si="4"/>
        <v>29667</v>
      </c>
      <c r="K82" s="354">
        <f t="shared" si="4"/>
        <v>2517294.5299999998</v>
      </c>
    </row>
    <row r="83" spans="1:11" ht="13.5" thickBot="1">
      <c r="A83" s="45"/>
      <c r="F83" s="356"/>
      <c r="G83" s="356"/>
      <c r="H83" s="352"/>
      <c r="I83" s="352"/>
      <c r="J83" s="352"/>
      <c r="K83" s="352"/>
    </row>
    <row r="84" spans="1:11" ht="25.5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0</v>
      </c>
      <c r="G87" s="57">
        <v>0</v>
      </c>
      <c r="H87" s="347">
        <v>0</v>
      </c>
      <c r="I87" s="167">
        <v>0</v>
      </c>
      <c r="J87" s="347">
        <v>0</v>
      </c>
      <c r="K87" s="348">
        <v>0</v>
      </c>
    </row>
    <row r="88" spans="1:11">
      <c r="A88" s="45" t="s">
        <v>321</v>
      </c>
      <c r="B88" s="49" t="s">
        <v>208</v>
      </c>
      <c r="F88" s="57">
        <v>427</v>
      </c>
      <c r="G88" s="57">
        <v>580</v>
      </c>
      <c r="H88" s="347">
        <v>64232.59</v>
      </c>
      <c r="I88" s="167">
        <v>53859.03</v>
      </c>
      <c r="J88" s="347">
        <v>0</v>
      </c>
      <c r="K88" s="348">
        <v>118091.62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v>0</v>
      </c>
      <c r="J89" s="347">
        <v>0</v>
      </c>
      <c r="K89" s="348">
        <v>0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1443</v>
      </c>
      <c r="G91" s="57">
        <v>0</v>
      </c>
      <c r="H91" s="347">
        <v>61669</v>
      </c>
      <c r="I91" s="167">
        <v>51709.46</v>
      </c>
      <c r="J91" s="347">
        <v>0</v>
      </c>
      <c r="K91" s="348">
        <v>113378.46</v>
      </c>
    </row>
    <row r="92" spans="1:11">
      <c r="A92" s="45" t="s">
        <v>325</v>
      </c>
      <c r="B92" s="49" t="s">
        <v>216</v>
      </c>
      <c r="F92" s="372">
        <v>0</v>
      </c>
      <c r="G92" s="372">
        <v>0</v>
      </c>
      <c r="H92" s="373">
        <v>0</v>
      </c>
      <c r="I92" s="167">
        <v>0</v>
      </c>
      <c r="J92" s="373">
        <v>0</v>
      </c>
      <c r="K92" s="348">
        <v>0</v>
      </c>
    </row>
    <row r="93" spans="1:11">
      <c r="A93" s="45" t="s">
        <v>326</v>
      </c>
      <c r="B93" s="49" t="s">
        <v>218</v>
      </c>
      <c r="F93" s="57">
        <v>2080</v>
      </c>
      <c r="G93" s="57">
        <v>0</v>
      </c>
      <c r="H93" s="347">
        <v>419208.45</v>
      </c>
      <c r="I93" s="167">
        <v>351506.29</v>
      </c>
      <c r="J93" s="347">
        <v>0</v>
      </c>
      <c r="K93" s="348">
        <v>770714.74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3950</v>
      </c>
      <c r="G98" s="350">
        <f t="shared" si="5"/>
        <v>580</v>
      </c>
      <c r="H98" s="348">
        <f t="shared" si="5"/>
        <v>545110.04</v>
      </c>
      <c r="I98" s="348">
        <f t="shared" si="5"/>
        <v>457074.77999999997</v>
      </c>
      <c r="J98" s="348">
        <f t="shared" si="5"/>
        <v>0</v>
      </c>
      <c r="K98" s="348">
        <f t="shared" si="5"/>
        <v>1002184.8200000001</v>
      </c>
    </row>
    <row r="99" spans="1:11" ht="13.5" thickBot="1">
      <c r="B99" s="43"/>
      <c r="F99" s="356"/>
      <c r="G99" s="356"/>
      <c r="H99" s="352"/>
      <c r="I99" s="352"/>
      <c r="J99" s="352"/>
      <c r="K99" s="352"/>
    </row>
    <row r="100" spans="1:11" ht="25.5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241</v>
      </c>
      <c r="G102" s="57">
        <v>0</v>
      </c>
      <c r="H102" s="347">
        <v>10300.780000000001</v>
      </c>
      <c r="I102" s="167">
        <v>8637.2000000000007</v>
      </c>
      <c r="J102" s="347">
        <v>0</v>
      </c>
      <c r="K102" s="348">
        <v>18937.98</v>
      </c>
    </row>
    <row r="103" spans="1:11">
      <c r="A103" s="45" t="s">
        <v>333</v>
      </c>
      <c r="B103" s="818" t="s">
        <v>226</v>
      </c>
      <c r="C103" s="818"/>
      <c r="F103" s="57">
        <v>221</v>
      </c>
      <c r="G103" s="57">
        <v>0</v>
      </c>
      <c r="H103" s="347">
        <v>9448</v>
      </c>
      <c r="I103" s="167">
        <v>7922.15</v>
      </c>
      <c r="J103" s="347">
        <v>0</v>
      </c>
      <c r="K103" s="348">
        <v>17370.150000000001</v>
      </c>
    </row>
    <row r="104" spans="1:11">
      <c r="A104" s="45" t="s">
        <v>334</v>
      </c>
      <c r="B104" s="817"/>
      <c r="C104" s="864"/>
      <c r="D104" s="865"/>
      <c r="F104" s="57">
        <v>0</v>
      </c>
      <c r="G104" s="57">
        <v>0</v>
      </c>
      <c r="H104" s="347">
        <v>900</v>
      </c>
      <c r="I104" s="167">
        <v>754.65</v>
      </c>
      <c r="J104" s="347">
        <v>0</v>
      </c>
      <c r="K104" s="348">
        <v>1654.65</v>
      </c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/>
      <c r="J105" s="347"/>
      <c r="K105" s="348"/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462</v>
      </c>
      <c r="G108" s="350">
        <f t="shared" si="6"/>
        <v>0</v>
      </c>
      <c r="H108" s="348">
        <f t="shared" si="6"/>
        <v>20648.78</v>
      </c>
      <c r="I108" s="348">
        <f t="shared" si="6"/>
        <v>17314</v>
      </c>
      <c r="J108" s="348">
        <f t="shared" si="6"/>
        <v>0</v>
      </c>
      <c r="K108" s="348">
        <f t="shared" si="6"/>
        <v>37962.780000000006</v>
      </c>
    </row>
    <row r="109" spans="1:11" ht="13.5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17477763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83.85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291258181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10223283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f>SUM(F117:F118)</f>
        <v>301481464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290611752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10869712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4332258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15201970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5.5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  <c r="H138" s="384"/>
      <c r="I138" s="384"/>
      <c r="J138" s="384"/>
      <c r="K138" s="384"/>
    </row>
    <row r="139" spans="1:11" ht="25.5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8">F36</f>
        <v>6140</v>
      </c>
      <c r="G141" s="377">
        <f t="shared" si="8"/>
        <v>16014</v>
      </c>
      <c r="H141" s="380">
        <f t="shared" si="8"/>
        <v>225354</v>
      </c>
      <c r="I141" s="380">
        <f t="shared" si="8"/>
        <v>188959.33000000002</v>
      </c>
      <c r="J141" s="380">
        <f t="shared" si="8"/>
        <v>6185</v>
      </c>
      <c r="K141" s="380">
        <f t="shared" si="8"/>
        <v>408128.33</v>
      </c>
    </row>
    <row r="142" spans="1:11">
      <c r="A142" s="45" t="s">
        <v>286</v>
      </c>
      <c r="B142" s="43" t="s">
        <v>125</v>
      </c>
      <c r="F142" s="456">
        <f t="shared" ref="F142:K142" si="9">F49</f>
        <v>19717</v>
      </c>
      <c r="G142" s="456">
        <f t="shared" si="9"/>
        <v>100452</v>
      </c>
      <c r="H142" s="380">
        <f t="shared" si="9"/>
        <v>659232</v>
      </c>
      <c r="I142" s="380">
        <f t="shared" si="9"/>
        <v>0</v>
      </c>
      <c r="J142" s="380">
        <f t="shared" si="9"/>
        <v>0</v>
      </c>
      <c r="K142" s="380">
        <f t="shared" si="9"/>
        <v>659232</v>
      </c>
    </row>
    <row r="143" spans="1:11">
      <c r="A143" s="45" t="s">
        <v>305</v>
      </c>
      <c r="B143" s="43" t="s">
        <v>247</v>
      </c>
      <c r="F143" s="377">
        <f t="shared" ref="F143:K143" si="10">F64</f>
        <v>233401</v>
      </c>
      <c r="G143" s="377">
        <f t="shared" si="10"/>
        <v>88405</v>
      </c>
      <c r="H143" s="380">
        <f t="shared" si="10"/>
        <v>25850558.210000001</v>
      </c>
      <c r="I143" s="380">
        <f t="shared" si="10"/>
        <v>17437575.099999998</v>
      </c>
      <c r="J143" s="380">
        <f t="shared" si="10"/>
        <v>18831125.289999999</v>
      </c>
      <c r="K143" s="380">
        <f t="shared" si="10"/>
        <v>24457008.019999996</v>
      </c>
    </row>
    <row r="144" spans="1:11">
      <c r="A144" s="45" t="s">
        <v>311</v>
      </c>
      <c r="B144" s="43" t="s">
        <v>127</v>
      </c>
      <c r="F144" s="377">
        <f t="shared" ref="F144:K144" si="11">F74</f>
        <v>0</v>
      </c>
      <c r="G144" s="377">
        <f t="shared" si="11"/>
        <v>0</v>
      </c>
      <c r="H144" s="380">
        <f t="shared" si="11"/>
        <v>0</v>
      </c>
      <c r="I144" s="380">
        <f t="shared" si="11"/>
        <v>0</v>
      </c>
      <c r="J144" s="380">
        <f t="shared" si="11"/>
        <v>0</v>
      </c>
      <c r="K144" s="380">
        <f t="shared" si="11"/>
        <v>0</v>
      </c>
    </row>
    <row r="145" spans="1:11">
      <c r="A145" s="45" t="s">
        <v>317</v>
      </c>
      <c r="B145" s="43" t="s">
        <v>248</v>
      </c>
      <c r="F145" s="377">
        <f t="shared" ref="F145:K145" si="12">F82</f>
        <v>1997</v>
      </c>
      <c r="G145" s="377">
        <f t="shared" si="12"/>
        <v>4345</v>
      </c>
      <c r="H145" s="380">
        <f t="shared" si="12"/>
        <v>2546961.5299999998</v>
      </c>
      <c r="I145" s="380">
        <f t="shared" si="12"/>
        <v>0</v>
      </c>
      <c r="J145" s="380">
        <f t="shared" si="12"/>
        <v>29667</v>
      </c>
      <c r="K145" s="380">
        <f t="shared" si="12"/>
        <v>2517294.5299999998</v>
      </c>
    </row>
    <row r="146" spans="1:11">
      <c r="A146" s="45" t="s">
        <v>331</v>
      </c>
      <c r="B146" s="43" t="s">
        <v>249</v>
      </c>
      <c r="F146" s="377">
        <f t="shared" ref="F146:K146" si="13">F98</f>
        <v>3950</v>
      </c>
      <c r="G146" s="377">
        <f t="shared" si="13"/>
        <v>580</v>
      </c>
      <c r="H146" s="380">
        <f t="shared" si="13"/>
        <v>545110.04</v>
      </c>
      <c r="I146" s="380">
        <f t="shared" si="13"/>
        <v>457074.77999999997</v>
      </c>
      <c r="J146" s="380">
        <f t="shared" si="13"/>
        <v>0</v>
      </c>
      <c r="K146" s="380">
        <f t="shared" si="13"/>
        <v>1002184.8200000001</v>
      </c>
    </row>
    <row r="147" spans="1:11">
      <c r="A147" s="45" t="s">
        <v>338</v>
      </c>
      <c r="B147" s="43" t="s">
        <v>129</v>
      </c>
      <c r="F147" s="350">
        <f t="shared" ref="F147:K147" si="14">F108</f>
        <v>462</v>
      </c>
      <c r="G147" s="350">
        <f t="shared" si="14"/>
        <v>0</v>
      </c>
      <c r="H147" s="348">
        <f t="shared" si="14"/>
        <v>20648.78</v>
      </c>
      <c r="I147" s="348">
        <f t="shared" si="14"/>
        <v>17314</v>
      </c>
      <c r="J147" s="348">
        <f t="shared" si="14"/>
        <v>0</v>
      </c>
      <c r="K147" s="348">
        <f t="shared" si="14"/>
        <v>37962.780000000006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17477763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8526176</v>
      </c>
      <c r="I150" s="348">
        <f>I18</f>
        <v>0</v>
      </c>
      <c r="J150" s="348">
        <f>J18</f>
        <v>7290947</v>
      </c>
      <c r="K150" s="348">
        <f>K18</f>
        <v>1235229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265667</v>
      </c>
      <c r="G152" s="381">
        <f t="shared" si="16"/>
        <v>209796</v>
      </c>
      <c r="H152" s="457">
        <f t="shared" si="16"/>
        <v>38374040.560000002</v>
      </c>
      <c r="I152" s="457">
        <f t="shared" si="16"/>
        <v>18100923.209999997</v>
      </c>
      <c r="J152" s="457">
        <f t="shared" si="16"/>
        <v>26157924.289999999</v>
      </c>
      <c r="K152" s="457">
        <f t="shared" si="16"/>
        <v>47794802.479999997</v>
      </c>
    </row>
    <row r="154" spans="1:11">
      <c r="A154" s="48" t="s">
        <v>361</v>
      </c>
      <c r="B154" s="43" t="s">
        <v>252</v>
      </c>
      <c r="F154" s="459">
        <f>K152/F121</f>
        <v>0.16446273129381223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3.1439874226827178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C11:G11"/>
    <mergeCell ref="D2:H2"/>
    <mergeCell ref="C5:G5"/>
    <mergeCell ref="C6:G6"/>
    <mergeCell ref="C7:G7"/>
    <mergeCell ref="C9:G9"/>
    <mergeCell ref="C10:G10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90:C90"/>
    <mergeCell ref="B94:D94"/>
    <mergeCell ref="B95:D95"/>
    <mergeCell ref="B96:D96"/>
    <mergeCell ref="B134:D134"/>
    <mergeCell ref="B135:D135"/>
    <mergeCell ref="B103:C103"/>
    <mergeCell ref="B104:D104"/>
    <mergeCell ref="B105:D105"/>
    <mergeCell ref="B106:D106"/>
    <mergeCell ref="B133:D13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RowHeight="12.75"/>
  <cols>
    <col min="1" max="1" width="8.28515625" style="135" customWidth="1"/>
    <col min="2" max="2" width="55.42578125" style="49" bestFit="1" customWidth="1"/>
    <col min="3" max="3" width="9.5703125" style="49" customWidth="1"/>
    <col min="4" max="4" width="9.140625" style="49"/>
    <col min="5" max="5" width="12.42578125" style="49" customWidth="1"/>
    <col min="6" max="6" width="18.5703125" style="49" customWidth="1"/>
    <col min="7" max="7" width="23.5703125" style="49" customWidth="1"/>
    <col min="8" max="8" width="17.140625" style="49" customWidth="1"/>
    <col min="9" max="9" width="21.140625" style="49" customWidth="1"/>
    <col min="10" max="10" width="19.85546875" style="49" customWidth="1"/>
    <col min="11" max="11" width="17.5703125" style="49" customWidth="1"/>
    <col min="12" max="16384" width="9.14062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75">
      <c r="D2" s="824" t="s">
        <v>133</v>
      </c>
      <c r="E2" s="825"/>
      <c r="F2" s="825"/>
      <c r="G2" s="825"/>
      <c r="H2" s="825"/>
      <c r="I2" s="384"/>
      <c r="J2" s="384"/>
      <c r="K2" s="384"/>
    </row>
    <row r="3" spans="1:11" ht="15">
      <c r="B3" s="43" t="s">
        <v>134</v>
      </c>
      <c r="F3" s="44"/>
      <c r="H3" s="384"/>
      <c r="I3" s="384"/>
      <c r="J3" s="384"/>
      <c r="K3" s="384"/>
    </row>
    <row r="5" spans="1:11">
      <c r="B5" s="45" t="s">
        <v>135</v>
      </c>
      <c r="C5" s="826" t="s">
        <v>545</v>
      </c>
      <c r="D5" s="851"/>
      <c r="E5" s="851"/>
      <c r="F5" s="851"/>
      <c r="G5" s="852"/>
      <c r="H5" s="384"/>
      <c r="I5" s="384"/>
      <c r="J5" s="384"/>
      <c r="K5" s="384"/>
    </row>
    <row r="6" spans="1:11">
      <c r="B6" s="45" t="s">
        <v>136</v>
      </c>
      <c r="C6" s="829">
        <v>28</v>
      </c>
      <c r="D6" s="854"/>
      <c r="E6" s="854"/>
      <c r="F6" s="854"/>
      <c r="G6" s="855"/>
      <c r="H6" s="384"/>
      <c r="I6" s="384"/>
      <c r="J6" s="384"/>
      <c r="K6" s="384"/>
    </row>
    <row r="7" spans="1:11">
      <c r="B7" s="45" t="s">
        <v>137</v>
      </c>
      <c r="C7" s="878">
        <v>1100</v>
      </c>
      <c r="D7" s="857"/>
      <c r="E7" s="857"/>
      <c r="F7" s="857"/>
      <c r="G7" s="858"/>
      <c r="H7" s="384"/>
      <c r="I7" s="384"/>
      <c r="J7" s="384"/>
      <c r="K7" s="384"/>
    </row>
    <row r="9" spans="1:11">
      <c r="B9" s="45" t="s">
        <v>138</v>
      </c>
      <c r="C9" s="826" t="s">
        <v>139</v>
      </c>
      <c r="D9" s="851"/>
      <c r="E9" s="851"/>
      <c r="F9" s="851"/>
      <c r="G9" s="852"/>
      <c r="H9" s="384"/>
      <c r="I9" s="384"/>
      <c r="J9" s="384"/>
      <c r="K9" s="384"/>
    </row>
    <row r="10" spans="1:11">
      <c r="B10" s="45" t="s">
        <v>140</v>
      </c>
      <c r="C10" s="835" t="s">
        <v>141</v>
      </c>
      <c r="D10" s="860"/>
      <c r="E10" s="860"/>
      <c r="F10" s="860"/>
      <c r="G10" s="861"/>
      <c r="H10" s="384"/>
      <c r="I10" s="384"/>
      <c r="J10" s="384"/>
      <c r="K10" s="384"/>
    </row>
    <row r="11" spans="1:11">
      <c r="B11" s="45" t="s">
        <v>142</v>
      </c>
      <c r="C11" s="838" t="s">
        <v>143</v>
      </c>
      <c r="D11" s="874"/>
      <c r="E11" s="874"/>
      <c r="F11" s="874"/>
      <c r="G11" s="874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5.5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3869172</v>
      </c>
      <c r="I18" s="167">
        <v>0</v>
      </c>
      <c r="J18" s="347">
        <v>3308626</v>
      </c>
      <c r="K18" s="348">
        <v>560546</v>
      </c>
    </row>
    <row r="19" spans="1:11" ht="25.5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3469.7</v>
      </c>
      <c r="G21" s="57">
        <v>17306</v>
      </c>
      <c r="H21" s="347">
        <v>154787</v>
      </c>
      <c r="I21" s="167">
        <v>55545</v>
      </c>
      <c r="J21" s="347">
        <v>20132</v>
      </c>
      <c r="K21" s="348">
        <v>190200</v>
      </c>
    </row>
    <row r="22" spans="1:11">
      <c r="A22" s="45" t="s">
        <v>261</v>
      </c>
      <c r="B22" s="49" t="s">
        <v>157</v>
      </c>
      <c r="F22" s="57">
        <v>18.5</v>
      </c>
      <c r="G22" s="57">
        <v>310</v>
      </c>
      <c r="H22" s="347">
        <v>1404</v>
      </c>
      <c r="I22" s="167">
        <v>771</v>
      </c>
      <c r="J22" s="347">
        <v>0</v>
      </c>
      <c r="K22" s="348">
        <v>2175</v>
      </c>
    </row>
    <row r="23" spans="1:11">
      <c r="A23" s="45" t="s">
        <v>262</v>
      </c>
      <c r="B23" s="49" t="s">
        <v>158</v>
      </c>
      <c r="F23" s="57">
        <v>0</v>
      </c>
      <c r="G23" s="57">
        <v>0</v>
      </c>
      <c r="H23" s="347">
        <v>0</v>
      </c>
      <c r="I23" s="167">
        <v>0</v>
      </c>
      <c r="J23" s="347">
        <v>0</v>
      </c>
      <c r="K23" s="348">
        <v>0</v>
      </c>
    </row>
    <row r="24" spans="1:11">
      <c r="A24" s="45" t="s">
        <v>263</v>
      </c>
      <c r="B24" s="49" t="s">
        <v>159</v>
      </c>
      <c r="F24" s="57">
        <v>5374.5</v>
      </c>
      <c r="G24" s="57">
        <v>2509</v>
      </c>
      <c r="H24" s="347">
        <v>219170</v>
      </c>
      <c r="I24" s="167">
        <v>73646</v>
      </c>
      <c r="J24" s="347">
        <v>26270</v>
      </c>
      <c r="K24" s="348">
        <v>266546</v>
      </c>
    </row>
    <row r="25" spans="1:11">
      <c r="A25" s="45" t="s">
        <v>264</v>
      </c>
      <c r="B25" s="49" t="s">
        <v>160</v>
      </c>
      <c r="F25" s="57">
        <v>0</v>
      </c>
      <c r="G25" s="57">
        <v>0</v>
      </c>
      <c r="H25" s="347">
        <v>0</v>
      </c>
      <c r="I25" s="167">
        <v>0</v>
      </c>
      <c r="J25" s="347">
        <v>0</v>
      </c>
      <c r="K25" s="348">
        <v>0</v>
      </c>
    </row>
    <row r="26" spans="1:11">
      <c r="A26" s="45" t="s">
        <v>265</v>
      </c>
      <c r="B26" s="49" t="s">
        <v>161</v>
      </c>
      <c r="F26" s="57">
        <v>0</v>
      </c>
      <c r="G26" s="57">
        <v>0</v>
      </c>
      <c r="H26" s="347">
        <v>0</v>
      </c>
      <c r="I26" s="167">
        <v>0</v>
      </c>
      <c r="J26" s="347">
        <v>0</v>
      </c>
      <c r="K26" s="348">
        <v>0</v>
      </c>
    </row>
    <row r="27" spans="1:11">
      <c r="A27" s="45" t="s">
        <v>266</v>
      </c>
      <c r="B27" s="49" t="s">
        <v>162</v>
      </c>
      <c r="F27" s="57">
        <v>0</v>
      </c>
      <c r="G27" s="57">
        <v>0</v>
      </c>
      <c r="H27" s="347">
        <v>0</v>
      </c>
      <c r="I27" s="167">
        <v>0</v>
      </c>
      <c r="J27" s="347">
        <v>0</v>
      </c>
      <c r="K27" s="348">
        <v>0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2080</v>
      </c>
      <c r="G29" s="57">
        <v>0</v>
      </c>
      <c r="H29" s="347">
        <v>45415</v>
      </c>
      <c r="I29" s="167">
        <v>23248</v>
      </c>
      <c r="J29" s="347">
        <v>0</v>
      </c>
      <c r="K29" s="348">
        <v>68663</v>
      </c>
    </row>
    <row r="30" spans="1:11">
      <c r="A30" s="45" t="s">
        <v>269</v>
      </c>
      <c r="B30" s="814"/>
      <c r="C30" s="815"/>
      <c r="D30" s="816"/>
      <c r="F30" s="57"/>
      <c r="G30" s="57"/>
      <c r="H30" s="347"/>
      <c r="I30" s="167"/>
      <c r="J30" s="347"/>
      <c r="K30" s="348"/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332"/>
      <c r="C32" s="333"/>
      <c r="D32" s="334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332"/>
      <c r="C33" s="333"/>
      <c r="D33" s="334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10942.7</v>
      </c>
      <c r="G36" s="350">
        <f t="shared" si="0"/>
        <v>20125</v>
      </c>
      <c r="H36" s="348">
        <f t="shared" si="0"/>
        <v>420776</v>
      </c>
      <c r="I36" s="348">
        <f t="shared" si="0"/>
        <v>153210</v>
      </c>
      <c r="J36" s="348">
        <f t="shared" si="0"/>
        <v>46402</v>
      </c>
      <c r="K36" s="348">
        <f t="shared" si="0"/>
        <v>527584</v>
      </c>
    </row>
    <row r="37" spans="1:11" ht="13.5" thickBot="1">
      <c r="B37" s="43"/>
      <c r="F37" s="351"/>
      <c r="G37" s="351"/>
      <c r="H37" s="352"/>
      <c r="I37" s="352"/>
      <c r="J37" s="352"/>
      <c r="K37" s="353"/>
    </row>
    <row r="38" spans="1:11" ht="25.5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41.5</v>
      </c>
      <c r="G40" s="57">
        <v>128</v>
      </c>
      <c r="H40" s="347">
        <v>35731</v>
      </c>
      <c r="I40" s="167">
        <v>1091</v>
      </c>
      <c r="J40" s="347">
        <v>0</v>
      </c>
      <c r="K40" s="348">
        <v>36822</v>
      </c>
    </row>
    <row r="41" spans="1:11">
      <c r="A41" s="45" t="s">
        <v>278</v>
      </c>
      <c r="B41" s="818" t="s">
        <v>172</v>
      </c>
      <c r="C41" s="818"/>
      <c r="F41" s="57">
        <v>183.5</v>
      </c>
      <c r="G41" s="57">
        <v>18</v>
      </c>
      <c r="H41" s="347">
        <v>141115</v>
      </c>
      <c r="I41" s="167">
        <v>3824</v>
      </c>
      <c r="J41" s="347">
        <v>0</v>
      </c>
      <c r="K41" s="348">
        <v>144939</v>
      </c>
    </row>
    <row r="42" spans="1:11">
      <c r="A42" s="45" t="s">
        <v>279</v>
      </c>
      <c r="B42" s="49" t="s">
        <v>174</v>
      </c>
      <c r="F42" s="57">
        <v>478</v>
      </c>
      <c r="G42" s="57">
        <v>516</v>
      </c>
      <c r="H42" s="347">
        <v>35506</v>
      </c>
      <c r="I42" s="167">
        <v>19522</v>
      </c>
      <c r="J42" s="347">
        <v>2833</v>
      </c>
      <c r="K42" s="348">
        <v>52195</v>
      </c>
    </row>
    <row r="43" spans="1:11">
      <c r="A43" s="45" t="s">
        <v>280</v>
      </c>
      <c r="B43" s="49" t="s">
        <v>176</v>
      </c>
      <c r="F43" s="57">
        <v>0</v>
      </c>
      <c r="G43" s="57">
        <v>0</v>
      </c>
      <c r="H43" s="347">
        <v>0</v>
      </c>
      <c r="I43" s="167">
        <v>0</v>
      </c>
      <c r="J43" s="347">
        <v>0</v>
      </c>
      <c r="K43" s="348">
        <v>0</v>
      </c>
    </row>
    <row r="44" spans="1:11">
      <c r="A44" s="45" t="s">
        <v>281</v>
      </c>
      <c r="B44" s="814"/>
      <c r="C44" s="815"/>
      <c r="D44" s="816"/>
      <c r="F44" s="57"/>
      <c r="G44" s="57"/>
      <c r="H44" s="347"/>
      <c r="I44" s="167"/>
      <c r="J44" s="347"/>
      <c r="K44" s="354"/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1">SUM(F40:F47)</f>
        <v>703</v>
      </c>
      <c r="G49" s="355">
        <f t="shared" si="1"/>
        <v>662</v>
      </c>
      <c r="H49" s="348">
        <f t="shared" si="1"/>
        <v>212352</v>
      </c>
      <c r="I49" s="348">
        <f t="shared" si="1"/>
        <v>24437</v>
      </c>
      <c r="J49" s="348">
        <f t="shared" si="1"/>
        <v>2833</v>
      </c>
      <c r="K49" s="348">
        <f t="shared" si="1"/>
        <v>233956</v>
      </c>
    </row>
    <row r="50" spans="1:11" ht="13.5" thickBot="1">
      <c r="G50" s="356"/>
      <c r="H50" s="352"/>
      <c r="I50" s="352"/>
      <c r="J50" s="352"/>
      <c r="K50" s="352"/>
    </row>
    <row r="51" spans="1:11" ht="25.5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22" t="s">
        <v>180</v>
      </c>
      <c r="C53" s="867" t="s">
        <v>180</v>
      </c>
      <c r="D53" s="865" t="s">
        <v>180</v>
      </c>
      <c r="F53" s="57">
        <v>0</v>
      </c>
      <c r="G53" s="57">
        <v>0</v>
      </c>
      <c r="H53" s="347">
        <v>2194113</v>
      </c>
      <c r="I53" s="167">
        <v>0</v>
      </c>
      <c r="J53" s="347">
        <v>0</v>
      </c>
      <c r="K53" s="348">
        <v>2194113</v>
      </c>
    </row>
    <row r="54" spans="1:11">
      <c r="A54" s="45" t="s">
        <v>289</v>
      </c>
      <c r="B54" s="335" t="s">
        <v>546</v>
      </c>
      <c r="C54" s="337"/>
      <c r="D54" s="338"/>
      <c r="F54" s="57">
        <v>0</v>
      </c>
      <c r="G54" s="57">
        <v>0</v>
      </c>
      <c r="H54" s="347">
        <v>871073</v>
      </c>
      <c r="I54" s="167">
        <v>0</v>
      </c>
      <c r="J54" s="347">
        <v>0</v>
      </c>
      <c r="K54" s="348">
        <v>871073</v>
      </c>
    </row>
    <row r="55" spans="1:11">
      <c r="A55" s="45" t="s">
        <v>291</v>
      </c>
      <c r="B55" s="817" t="s">
        <v>547</v>
      </c>
      <c r="C55" s="864" t="s">
        <v>547</v>
      </c>
      <c r="D55" s="865" t="s">
        <v>547</v>
      </c>
      <c r="F55" s="57">
        <v>0</v>
      </c>
      <c r="G55" s="57">
        <v>0</v>
      </c>
      <c r="H55" s="347">
        <v>0</v>
      </c>
      <c r="I55" s="167">
        <v>0</v>
      </c>
      <c r="J55" s="347">
        <v>0</v>
      </c>
      <c r="K55" s="348">
        <v>0</v>
      </c>
    </row>
    <row r="56" spans="1:11">
      <c r="A56" s="45" t="s">
        <v>293</v>
      </c>
      <c r="B56" s="817"/>
      <c r="C56" s="864"/>
      <c r="D56" s="865"/>
      <c r="F56" s="57">
        <v>0</v>
      </c>
      <c r="G56" s="57">
        <v>0</v>
      </c>
      <c r="H56" s="347">
        <v>0</v>
      </c>
      <c r="I56" s="167">
        <v>0</v>
      </c>
      <c r="J56" s="347">
        <v>0</v>
      </c>
      <c r="K56" s="348">
        <v>0</v>
      </c>
    </row>
    <row r="57" spans="1:11">
      <c r="A57" s="45" t="s">
        <v>295</v>
      </c>
      <c r="B57" s="817"/>
      <c r="C57" s="864"/>
      <c r="D57" s="865"/>
      <c r="F57" s="70"/>
      <c r="G57" s="57"/>
      <c r="H57" s="347"/>
      <c r="I57" s="167"/>
      <c r="J57" s="347"/>
      <c r="K57" s="348"/>
    </row>
    <row r="58" spans="1:11">
      <c r="A58" s="45" t="s">
        <v>298</v>
      </c>
      <c r="B58" s="335"/>
      <c r="C58" s="337"/>
      <c r="D58" s="338"/>
      <c r="F58" s="70"/>
      <c r="G58" s="70"/>
      <c r="H58" s="347"/>
      <c r="I58" s="167"/>
      <c r="J58" s="347"/>
      <c r="K58" s="348"/>
    </row>
    <row r="59" spans="1:11">
      <c r="A59" s="45" t="s">
        <v>300</v>
      </c>
      <c r="B59" s="817"/>
      <c r="C59" s="864"/>
      <c r="D59" s="865"/>
      <c r="F59" s="70"/>
      <c r="G59" s="70"/>
      <c r="H59" s="347"/>
      <c r="I59" s="167"/>
      <c r="J59" s="347"/>
      <c r="K59" s="348"/>
    </row>
    <row r="60" spans="1:11">
      <c r="A60" s="45" t="s">
        <v>302</v>
      </c>
      <c r="B60" s="335"/>
      <c r="C60" s="337"/>
      <c r="D60" s="338"/>
      <c r="F60" s="57"/>
      <c r="G60" s="57"/>
      <c r="H60" s="347"/>
      <c r="I60" s="167"/>
      <c r="J60" s="347"/>
      <c r="K60" s="348"/>
    </row>
    <row r="61" spans="1:11">
      <c r="A61" s="45" t="s">
        <v>303</v>
      </c>
      <c r="B61" s="335"/>
      <c r="C61" s="337"/>
      <c r="D61" s="338"/>
      <c r="F61" s="57"/>
      <c r="G61" s="57"/>
      <c r="H61" s="347"/>
      <c r="I61" s="167"/>
      <c r="J61" s="347"/>
      <c r="K61" s="348"/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/>
      <c r="J62" s="347"/>
      <c r="K62" s="348"/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SUM(F53:F62)</f>
        <v>0</v>
      </c>
      <c r="G64" s="350">
        <f t="shared" si="2"/>
        <v>0</v>
      </c>
      <c r="H64" s="348">
        <f t="shared" si="2"/>
        <v>3065186</v>
      </c>
      <c r="I64" s="348">
        <f t="shared" si="2"/>
        <v>0</v>
      </c>
      <c r="J64" s="348">
        <f t="shared" si="2"/>
        <v>0</v>
      </c>
      <c r="K64" s="348">
        <f t="shared" si="2"/>
        <v>3065186</v>
      </c>
    </row>
    <row r="65" spans="1:11">
      <c r="F65" s="358"/>
      <c r="G65" s="358"/>
      <c r="H65" s="394"/>
      <c r="I65" s="394"/>
      <c r="J65" s="394"/>
      <c r="K65" s="394"/>
    </row>
    <row r="66" spans="1:11" ht="25.5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0</v>
      </c>
      <c r="G68" s="362">
        <v>0</v>
      </c>
      <c r="H68" s="347">
        <v>0</v>
      </c>
      <c r="I68" s="167">
        <v>0</v>
      </c>
      <c r="J68" s="347">
        <v>0</v>
      </c>
      <c r="K68" s="348">
        <v>0</v>
      </c>
    </row>
    <row r="69" spans="1:11">
      <c r="A69" s="45" t="s">
        <v>307</v>
      </c>
      <c r="B69" s="49" t="s">
        <v>190</v>
      </c>
      <c r="F69" s="362">
        <v>0</v>
      </c>
      <c r="G69" s="362">
        <v>0</v>
      </c>
      <c r="H69" s="347">
        <v>0</v>
      </c>
      <c r="I69" s="167">
        <v>0</v>
      </c>
      <c r="J69" s="347">
        <v>0</v>
      </c>
      <c r="K69" s="348">
        <v>0</v>
      </c>
    </row>
    <row r="70" spans="1:11">
      <c r="A70" s="45" t="s">
        <v>308</v>
      </c>
      <c r="B70" s="335"/>
      <c r="C70" s="337"/>
      <c r="D70" s="338"/>
      <c r="E70" s="43"/>
      <c r="F70" s="364"/>
      <c r="G70" s="364"/>
      <c r="H70" s="363"/>
      <c r="I70" s="167"/>
      <c r="J70" s="363"/>
      <c r="K70" s="348"/>
    </row>
    <row r="71" spans="1:11">
      <c r="A71" s="45" t="s">
        <v>309</v>
      </c>
      <c r="B71" s="335"/>
      <c r="C71" s="337"/>
      <c r="D71" s="338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336"/>
      <c r="C72" s="339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3">SUM(F68:F72)</f>
        <v>0</v>
      </c>
      <c r="G74" s="368">
        <f t="shared" si="3"/>
        <v>0</v>
      </c>
      <c r="H74" s="354">
        <f t="shared" si="3"/>
        <v>0</v>
      </c>
      <c r="I74" s="370">
        <f t="shared" si="3"/>
        <v>0</v>
      </c>
      <c r="J74" s="354">
        <f t="shared" si="3"/>
        <v>0</v>
      </c>
      <c r="K74" s="354">
        <f t="shared" si="3"/>
        <v>0</v>
      </c>
    </row>
    <row r="75" spans="1:11" ht="25.5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0</v>
      </c>
      <c r="G77" s="57">
        <v>0</v>
      </c>
      <c r="H77" s="347">
        <v>43833</v>
      </c>
      <c r="I77" s="167">
        <v>0</v>
      </c>
      <c r="J77" s="347">
        <v>0</v>
      </c>
      <c r="K77" s="348">
        <v>43833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1500</v>
      </c>
      <c r="I78" s="167">
        <v>0</v>
      </c>
      <c r="J78" s="347">
        <v>0</v>
      </c>
      <c r="K78" s="348">
        <v>1500</v>
      </c>
    </row>
    <row r="79" spans="1:11">
      <c r="A79" s="45" t="s">
        <v>314</v>
      </c>
      <c r="B79" s="49" t="s">
        <v>199</v>
      </c>
      <c r="F79" s="57">
        <v>16.5</v>
      </c>
      <c r="G79" s="57">
        <v>35</v>
      </c>
      <c r="H79" s="347">
        <v>45330</v>
      </c>
      <c r="I79" s="167">
        <v>2987</v>
      </c>
      <c r="J79" s="347">
        <v>0</v>
      </c>
      <c r="K79" s="348">
        <v>48317</v>
      </c>
    </row>
    <row r="80" spans="1:11">
      <c r="A80" s="45" t="s">
        <v>315</v>
      </c>
      <c r="B80" s="49" t="s">
        <v>316</v>
      </c>
      <c r="F80" s="57">
        <v>0</v>
      </c>
      <c r="G80" s="57">
        <v>0</v>
      </c>
      <c r="H80" s="347">
        <v>0</v>
      </c>
      <c r="I80" s="167">
        <v>0</v>
      </c>
      <c r="J80" s="347">
        <v>0</v>
      </c>
      <c r="K80" s="348">
        <v>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4">SUM(F77:F80)</f>
        <v>16.5</v>
      </c>
      <c r="G82" s="455">
        <f t="shared" si="4"/>
        <v>35</v>
      </c>
      <c r="H82" s="354">
        <f t="shared" si="4"/>
        <v>90663</v>
      </c>
      <c r="I82" s="354">
        <f t="shared" si="4"/>
        <v>2987</v>
      </c>
      <c r="J82" s="354">
        <f t="shared" si="4"/>
        <v>0</v>
      </c>
      <c r="K82" s="354">
        <f t="shared" si="4"/>
        <v>93650</v>
      </c>
    </row>
    <row r="83" spans="1:11" ht="13.5" thickBot="1">
      <c r="A83" s="45"/>
      <c r="F83" s="356"/>
      <c r="G83" s="356"/>
      <c r="H83" s="352"/>
      <c r="I83" s="352"/>
      <c r="J83" s="352"/>
      <c r="K83" s="352"/>
    </row>
    <row r="84" spans="1:11" ht="25.5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20.5</v>
      </c>
      <c r="G87" s="57">
        <v>0</v>
      </c>
      <c r="H87" s="347">
        <v>2475</v>
      </c>
      <c r="I87" s="167">
        <v>1361</v>
      </c>
      <c r="J87" s="347">
        <v>0</v>
      </c>
      <c r="K87" s="348">
        <v>3836</v>
      </c>
    </row>
    <row r="88" spans="1:11">
      <c r="A88" s="45" t="s">
        <v>321</v>
      </c>
      <c r="B88" s="49" t="s">
        <v>208</v>
      </c>
      <c r="F88" s="57">
        <v>0</v>
      </c>
      <c r="G88" s="57">
        <v>0</v>
      </c>
      <c r="H88" s="347">
        <v>0</v>
      </c>
      <c r="I88" s="167">
        <v>0</v>
      </c>
      <c r="J88" s="347">
        <v>0</v>
      </c>
      <c r="K88" s="348">
        <v>0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v>0</v>
      </c>
      <c r="J89" s="347">
        <v>0</v>
      </c>
      <c r="K89" s="348">
        <v>0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236.5</v>
      </c>
      <c r="G91" s="57">
        <v>887</v>
      </c>
      <c r="H91" s="347">
        <v>10510</v>
      </c>
      <c r="I91" s="167">
        <v>2032</v>
      </c>
      <c r="J91" s="347">
        <v>0</v>
      </c>
      <c r="K91" s="348">
        <v>12542</v>
      </c>
    </row>
    <row r="92" spans="1:11">
      <c r="A92" s="45" t="s">
        <v>325</v>
      </c>
      <c r="B92" s="49" t="s">
        <v>216</v>
      </c>
      <c r="F92" s="372">
        <v>88</v>
      </c>
      <c r="G92" s="372">
        <v>0</v>
      </c>
      <c r="H92" s="373">
        <v>33530</v>
      </c>
      <c r="I92" s="167">
        <v>395</v>
      </c>
      <c r="J92" s="373">
        <v>0</v>
      </c>
      <c r="K92" s="348">
        <v>33925</v>
      </c>
    </row>
    <row r="93" spans="1:11">
      <c r="A93" s="45" t="s">
        <v>326</v>
      </c>
      <c r="B93" s="49" t="s">
        <v>218</v>
      </c>
      <c r="F93" s="57">
        <v>248.5</v>
      </c>
      <c r="G93" s="57">
        <v>426</v>
      </c>
      <c r="H93" s="347">
        <v>515774</v>
      </c>
      <c r="I93" s="167">
        <v>283343</v>
      </c>
      <c r="J93" s="347">
        <v>0</v>
      </c>
      <c r="K93" s="348">
        <v>799117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593.5</v>
      </c>
      <c r="G98" s="350">
        <f t="shared" si="5"/>
        <v>1313</v>
      </c>
      <c r="H98" s="348">
        <f t="shared" si="5"/>
        <v>562289</v>
      </c>
      <c r="I98" s="348">
        <f t="shared" si="5"/>
        <v>287131</v>
      </c>
      <c r="J98" s="348">
        <f t="shared" si="5"/>
        <v>0</v>
      </c>
      <c r="K98" s="348">
        <f t="shared" si="5"/>
        <v>849420</v>
      </c>
    </row>
    <row r="99" spans="1:11" ht="13.5" thickBot="1">
      <c r="B99" s="43"/>
      <c r="F99" s="356"/>
      <c r="G99" s="356"/>
      <c r="H99" s="352"/>
      <c r="I99" s="352"/>
      <c r="J99" s="352"/>
      <c r="K99" s="352"/>
    </row>
    <row r="100" spans="1:11" ht="25.5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5200</v>
      </c>
      <c r="G102" s="57">
        <v>0</v>
      </c>
      <c r="H102" s="347">
        <v>234705</v>
      </c>
      <c r="I102" s="167">
        <v>105724</v>
      </c>
      <c r="J102" s="347">
        <v>0</v>
      </c>
      <c r="K102" s="348">
        <v>340429</v>
      </c>
    </row>
    <row r="103" spans="1:11">
      <c r="A103" s="45" t="s">
        <v>333</v>
      </c>
      <c r="B103" s="818" t="s">
        <v>226</v>
      </c>
      <c r="C103" s="818"/>
      <c r="F103" s="57">
        <v>0</v>
      </c>
      <c r="G103" s="57">
        <v>0</v>
      </c>
      <c r="H103" s="347">
        <v>0</v>
      </c>
      <c r="I103" s="167">
        <v>0</v>
      </c>
      <c r="J103" s="347">
        <v>0</v>
      </c>
      <c r="K103" s="348">
        <v>0</v>
      </c>
    </row>
    <row r="104" spans="1:11">
      <c r="A104" s="45" t="s">
        <v>334</v>
      </c>
      <c r="B104" s="817"/>
      <c r="C104" s="864"/>
      <c r="D104" s="865"/>
      <c r="F104" s="57">
        <v>0</v>
      </c>
      <c r="G104" s="57">
        <v>0</v>
      </c>
      <c r="H104" s="347">
        <v>37888</v>
      </c>
      <c r="I104" s="167">
        <v>0</v>
      </c>
      <c r="J104" s="347">
        <v>0</v>
      </c>
      <c r="K104" s="348">
        <v>37888</v>
      </c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/>
      <c r="J105" s="347"/>
      <c r="K105" s="348"/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5200</v>
      </c>
      <c r="G108" s="350">
        <f t="shared" si="6"/>
        <v>0</v>
      </c>
      <c r="H108" s="348">
        <f t="shared" si="6"/>
        <v>272593</v>
      </c>
      <c r="I108" s="348">
        <f t="shared" si="6"/>
        <v>105724</v>
      </c>
      <c r="J108" s="348">
        <f t="shared" si="6"/>
        <v>0</v>
      </c>
      <c r="K108" s="348">
        <f t="shared" si="6"/>
        <v>378317</v>
      </c>
    </row>
    <row r="109" spans="1:11" ht="13.5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6250461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0.55000000000000004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130862627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2278437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f>SUM(F117:F118)</f>
        <v>133141064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122895946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10245118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2103498</v>
      </c>
      <c r="H125" s="384" t="s">
        <v>817</v>
      </c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12348616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5.5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  <c r="H138" s="384"/>
      <c r="I138" s="384"/>
      <c r="J138" s="384"/>
      <c r="K138" s="384"/>
    </row>
    <row r="139" spans="1:11" ht="25.5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8">F36</f>
        <v>10942.7</v>
      </c>
      <c r="G141" s="377">
        <f t="shared" si="8"/>
        <v>20125</v>
      </c>
      <c r="H141" s="380">
        <f t="shared" si="8"/>
        <v>420776</v>
      </c>
      <c r="I141" s="380">
        <f t="shared" si="8"/>
        <v>153210</v>
      </c>
      <c r="J141" s="380">
        <f t="shared" si="8"/>
        <v>46402</v>
      </c>
      <c r="K141" s="380">
        <f t="shared" si="8"/>
        <v>527584</v>
      </c>
    </row>
    <row r="142" spans="1:11">
      <c r="A142" s="45" t="s">
        <v>286</v>
      </c>
      <c r="B142" s="43" t="s">
        <v>125</v>
      </c>
      <c r="F142" s="456">
        <f t="shared" ref="F142:K142" si="9">F49</f>
        <v>703</v>
      </c>
      <c r="G142" s="456">
        <f t="shared" si="9"/>
        <v>662</v>
      </c>
      <c r="H142" s="380">
        <f t="shared" si="9"/>
        <v>212352</v>
      </c>
      <c r="I142" s="380">
        <f t="shared" si="9"/>
        <v>24437</v>
      </c>
      <c r="J142" s="380">
        <f t="shared" si="9"/>
        <v>2833</v>
      </c>
      <c r="K142" s="380">
        <f t="shared" si="9"/>
        <v>233956</v>
      </c>
    </row>
    <row r="143" spans="1:11">
      <c r="A143" s="45" t="s">
        <v>305</v>
      </c>
      <c r="B143" s="43" t="s">
        <v>247</v>
      </c>
      <c r="F143" s="377">
        <f t="shared" ref="F143:K143" si="10">F64</f>
        <v>0</v>
      </c>
      <c r="G143" s="377">
        <f t="shared" si="10"/>
        <v>0</v>
      </c>
      <c r="H143" s="380">
        <f t="shared" si="10"/>
        <v>3065186</v>
      </c>
      <c r="I143" s="380">
        <f t="shared" si="10"/>
        <v>0</v>
      </c>
      <c r="J143" s="380">
        <f t="shared" si="10"/>
        <v>0</v>
      </c>
      <c r="K143" s="380">
        <f t="shared" si="10"/>
        <v>3065186</v>
      </c>
    </row>
    <row r="144" spans="1:11">
      <c r="A144" s="45" t="s">
        <v>311</v>
      </c>
      <c r="B144" s="43" t="s">
        <v>127</v>
      </c>
      <c r="F144" s="377">
        <f t="shared" ref="F144:K144" si="11">F74</f>
        <v>0</v>
      </c>
      <c r="G144" s="377">
        <f t="shared" si="11"/>
        <v>0</v>
      </c>
      <c r="H144" s="380">
        <f t="shared" si="11"/>
        <v>0</v>
      </c>
      <c r="I144" s="380">
        <f t="shared" si="11"/>
        <v>0</v>
      </c>
      <c r="J144" s="380">
        <f t="shared" si="11"/>
        <v>0</v>
      </c>
      <c r="K144" s="380">
        <f t="shared" si="11"/>
        <v>0</v>
      </c>
    </row>
    <row r="145" spans="1:11">
      <c r="A145" s="45" t="s">
        <v>317</v>
      </c>
      <c r="B145" s="43" t="s">
        <v>248</v>
      </c>
      <c r="F145" s="377">
        <f t="shared" ref="F145:K145" si="12">F82</f>
        <v>16.5</v>
      </c>
      <c r="G145" s="377">
        <f t="shared" si="12"/>
        <v>35</v>
      </c>
      <c r="H145" s="380">
        <f t="shared" si="12"/>
        <v>90663</v>
      </c>
      <c r="I145" s="380">
        <f t="shared" si="12"/>
        <v>2987</v>
      </c>
      <c r="J145" s="380">
        <f t="shared" si="12"/>
        <v>0</v>
      </c>
      <c r="K145" s="380">
        <f t="shared" si="12"/>
        <v>93650</v>
      </c>
    </row>
    <row r="146" spans="1:11">
      <c r="A146" s="45" t="s">
        <v>331</v>
      </c>
      <c r="B146" s="43" t="s">
        <v>249</v>
      </c>
      <c r="F146" s="377">
        <f t="shared" ref="F146:K146" si="13">F98</f>
        <v>593.5</v>
      </c>
      <c r="G146" s="377">
        <f t="shared" si="13"/>
        <v>1313</v>
      </c>
      <c r="H146" s="380">
        <f t="shared" si="13"/>
        <v>562289</v>
      </c>
      <c r="I146" s="380">
        <f t="shared" si="13"/>
        <v>287131</v>
      </c>
      <c r="J146" s="380">
        <f t="shared" si="13"/>
        <v>0</v>
      </c>
      <c r="K146" s="380">
        <f t="shared" si="13"/>
        <v>849420</v>
      </c>
    </row>
    <row r="147" spans="1:11">
      <c r="A147" s="45" t="s">
        <v>338</v>
      </c>
      <c r="B147" s="43" t="s">
        <v>129</v>
      </c>
      <c r="F147" s="350">
        <f t="shared" ref="F147:K147" si="14">F108</f>
        <v>5200</v>
      </c>
      <c r="G147" s="350">
        <f t="shared" si="14"/>
        <v>0</v>
      </c>
      <c r="H147" s="348">
        <f t="shared" si="14"/>
        <v>272593</v>
      </c>
      <c r="I147" s="348">
        <f t="shared" si="14"/>
        <v>105724</v>
      </c>
      <c r="J147" s="348">
        <f t="shared" si="14"/>
        <v>0</v>
      </c>
      <c r="K147" s="348">
        <f t="shared" si="14"/>
        <v>378317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6250461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3869172</v>
      </c>
      <c r="I150" s="348">
        <f>I18</f>
        <v>0</v>
      </c>
      <c r="J150" s="348">
        <f>J18</f>
        <v>3308626</v>
      </c>
      <c r="K150" s="348">
        <f>K18</f>
        <v>560546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17455.7</v>
      </c>
      <c r="G152" s="381">
        <f t="shared" si="16"/>
        <v>22135</v>
      </c>
      <c r="H152" s="457">
        <f t="shared" si="16"/>
        <v>8493031</v>
      </c>
      <c r="I152" s="457">
        <f t="shared" si="16"/>
        <v>573489</v>
      </c>
      <c r="J152" s="457">
        <f t="shared" si="16"/>
        <v>3357861</v>
      </c>
      <c r="K152" s="457">
        <f t="shared" si="16"/>
        <v>11959120</v>
      </c>
    </row>
    <row r="154" spans="1:11">
      <c r="A154" s="48" t="s">
        <v>361</v>
      </c>
      <c r="B154" s="43" t="s">
        <v>252</v>
      </c>
      <c r="F154" s="459">
        <f>K152/F121</f>
        <v>9.7310939776646496E-2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0.96845832763768835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C11:G11"/>
    <mergeCell ref="D2:H2"/>
    <mergeCell ref="C5:G5"/>
    <mergeCell ref="C6:G6"/>
    <mergeCell ref="C7:G7"/>
    <mergeCell ref="C9:G9"/>
    <mergeCell ref="C10:G10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90:C90"/>
    <mergeCell ref="B94:D94"/>
    <mergeCell ref="B95:D95"/>
    <mergeCell ref="B96:D96"/>
    <mergeCell ref="B134:D134"/>
    <mergeCell ref="B135:D135"/>
    <mergeCell ref="B103:C103"/>
    <mergeCell ref="B104:D104"/>
    <mergeCell ref="B105:D105"/>
    <mergeCell ref="B106:D106"/>
    <mergeCell ref="B133:D13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35" workbookViewId="0">
      <selection activeCell="B43" sqref="B43"/>
    </sheetView>
  </sheetViews>
  <sheetFormatPr defaultColWidth="9.140625" defaultRowHeight="15.75"/>
  <cols>
    <col min="1" max="1" width="7.140625" style="492" customWidth="1"/>
    <col min="2" max="2" width="41.85546875" style="492" bestFit="1" customWidth="1"/>
    <col min="3" max="3" width="7" style="492" customWidth="1"/>
    <col min="4" max="4" width="6.28515625" style="492" customWidth="1"/>
    <col min="5" max="5" width="9.28515625" style="492" customWidth="1"/>
    <col min="6" max="6" width="15" style="492" customWidth="1"/>
    <col min="7" max="11" width="19.7109375" style="492" customWidth="1"/>
    <col min="12" max="16384" width="9.140625" style="492"/>
  </cols>
  <sheetData>
    <row r="1" spans="1:11">
      <c r="A1" s="171"/>
      <c r="B1" s="171"/>
      <c r="C1" s="241"/>
      <c r="D1" s="570"/>
      <c r="E1" s="241"/>
      <c r="F1" s="241"/>
      <c r="G1" s="241"/>
      <c r="H1" s="241"/>
      <c r="I1" s="241"/>
      <c r="J1" s="241"/>
      <c r="K1" s="241"/>
    </row>
    <row r="2" spans="1:11">
      <c r="A2" s="171"/>
      <c r="B2" s="171"/>
      <c r="C2" s="171"/>
      <c r="D2" s="917" t="s">
        <v>133</v>
      </c>
      <c r="E2" s="917"/>
      <c r="F2" s="917"/>
      <c r="G2" s="917"/>
      <c r="H2" s="917"/>
      <c r="I2" s="171"/>
      <c r="J2" s="171"/>
      <c r="K2" s="171"/>
    </row>
    <row r="3" spans="1:11">
      <c r="A3" s="171"/>
      <c r="B3" s="172" t="s">
        <v>134</v>
      </c>
      <c r="C3" s="171"/>
      <c r="D3" s="171"/>
      <c r="E3" s="171"/>
      <c r="F3" s="171"/>
      <c r="G3" s="171"/>
      <c r="H3" s="171"/>
      <c r="I3" s="171"/>
      <c r="J3" s="171"/>
      <c r="K3" s="171"/>
    </row>
    <row r="5" spans="1:11">
      <c r="A5" s="171"/>
      <c r="B5" s="173" t="s">
        <v>135</v>
      </c>
      <c r="C5" s="919" t="s">
        <v>548</v>
      </c>
      <c r="D5" s="929"/>
      <c r="E5" s="929"/>
      <c r="F5" s="929"/>
      <c r="G5" s="955"/>
      <c r="H5" s="171"/>
      <c r="I5" s="171"/>
      <c r="J5" s="171"/>
      <c r="K5" s="171"/>
    </row>
    <row r="6" spans="1:11">
      <c r="A6" s="171"/>
      <c r="B6" s="173" t="s">
        <v>136</v>
      </c>
      <c r="C6" s="922" t="s">
        <v>549</v>
      </c>
      <c r="D6" s="923"/>
      <c r="E6" s="923"/>
      <c r="F6" s="923"/>
      <c r="G6" s="924"/>
      <c r="H6" s="171"/>
      <c r="I6" s="171"/>
      <c r="J6" s="171"/>
      <c r="K6" s="171"/>
    </row>
    <row r="7" spans="1:11">
      <c r="A7" s="171"/>
      <c r="B7" s="173" t="s">
        <v>137</v>
      </c>
      <c r="C7" s="956">
        <v>3503</v>
      </c>
      <c r="D7" s="957"/>
      <c r="E7" s="957"/>
      <c r="F7" s="957"/>
      <c r="G7" s="958"/>
      <c r="H7" s="171"/>
      <c r="I7" s="171"/>
      <c r="J7" s="171"/>
      <c r="K7" s="171"/>
    </row>
    <row r="9" spans="1:11">
      <c r="A9" s="171"/>
      <c r="B9" s="173" t="s">
        <v>138</v>
      </c>
      <c r="C9" s="919" t="s">
        <v>550</v>
      </c>
      <c r="D9" s="929"/>
      <c r="E9" s="929"/>
      <c r="F9" s="929"/>
      <c r="G9" s="955"/>
      <c r="H9" s="171"/>
      <c r="I9" s="171"/>
      <c r="J9" s="171"/>
      <c r="K9" s="171"/>
    </row>
    <row r="10" spans="1:11">
      <c r="A10" s="171"/>
      <c r="B10" s="173" t="s">
        <v>140</v>
      </c>
      <c r="C10" s="914" t="s">
        <v>551</v>
      </c>
      <c r="D10" s="953"/>
      <c r="E10" s="953"/>
      <c r="F10" s="953"/>
      <c r="G10" s="954"/>
      <c r="H10" s="171"/>
      <c r="I10" s="171"/>
      <c r="J10" s="171"/>
      <c r="K10" s="171"/>
    </row>
    <row r="11" spans="1:11">
      <c r="A11" s="171"/>
      <c r="B11" s="173" t="s">
        <v>142</v>
      </c>
      <c r="C11" s="919" t="s">
        <v>552</v>
      </c>
      <c r="D11" s="929"/>
      <c r="E11" s="929"/>
      <c r="F11" s="929"/>
      <c r="G11" s="929"/>
      <c r="H11" s="171"/>
      <c r="I11" s="171"/>
      <c r="J11" s="171"/>
      <c r="K11" s="171"/>
    </row>
    <row r="12" spans="1:11">
      <c r="A12" s="171"/>
      <c r="B12" s="173"/>
      <c r="C12" s="173"/>
      <c r="D12" s="173"/>
      <c r="E12" s="173"/>
      <c r="F12" s="173"/>
      <c r="G12" s="173"/>
      <c r="H12" s="171"/>
      <c r="I12" s="171"/>
      <c r="J12" s="171"/>
      <c r="K12" s="171"/>
    </row>
    <row r="13" spans="1:11">
      <c r="A13" s="171"/>
      <c r="B13" s="930"/>
      <c r="C13" s="930"/>
      <c r="D13" s="930"/>
      <c r="E13" s="930"/>
      <c r="F13" s="930"/>
      <c r="G13" s="930"/>
      <c r="H13" s="930"/>
      <c r="I13" s="241"/>
      <c r="J13" s="171"/>
      <c r="K13" s="171"/>
    </row>
    <row r="14" spans="1:11">
      <c r="A14" s="171"/>
      <c r="B14" s="174"/>
      <c r="C14" s="171"/>
      <c r="D14" s="171"/>
      <c r="E14" s="171"/>
      <c r="F14" s="171"/>
      <c r="G14" s="171"/>
      <c r="H14" s="171"/>
      <c r="I14" s="171"/>
      <c r="J14" s="171"/>
      <c r="K14" s="171"/>
    </row>
    <row r="15" spans="1:11">
      <c r="A15" s="171"/>
      <c r="B15" s="174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1" ht="26.25">
      <c r="A16" s="951" t="s">
        <v>144</v>
      </c>
      <c r="B16" s="951"/>
      <c r="C16" s="241"/>
      <c r="D16" s="241"/>
      <c r="E16" s="241"/>
      <c r="F16" s="175" t="s">
        <v>145</v>
      </c>
      <c r="G16" s="175" t="s">
        <v>146</v>
      </c>
      <c r="H16" s="175" t="s">
        <v>147</v>
      </c>
      <c r="I16" s="175" t="s">
        <v>148</v>
      </c>
      <c r="J16" s="175" t="s">
        <v>149</v>
      </c>
      <c r="K16" s="175" t="s">
        <v>150</v>
      </c>
    </row>
    <row r="17" spans="1:11">
      <c r="A17" s="176" t="s">
        <v>151</v>
      </c>
      <c r="B17" s="172" t="s">
        <v>152</v>
      </c>
      <c r="C17" s="171"/>
      <c r="D17" s="171"/>
      <c r="E17" s="171"/>
      <c r="F17" s="171"/>
      <c r="G17" s="171"/>
      <c r="H17" s="171"/>
      <c r="I17" s="171"/>
      <c r="J17" s="171"/>
      <c r="K17" s="171"/>
    </row>
    <row r="18" spans="1:11">
      <c r="A18" s="173" t="s">
        <v>259</v>
      </c>
      <c r="B18" s="171" t="s">
        <v>153</v>
      </c>
      <c r="C18" s="171"/>
      <c r="D18" s="171"/>
      <c r="E18" s="171"/>
      <c r="F18" s="177" t="s">
        <v>122</v>
      </c>
      <c r="G18" s="177" t="s">
        <v>122</v>
      </c>
      <c r="H18" s="178">
        <v>2166391</v>
      </c>
      <c r="I18" s="202">
        <v>0</v>
      </c>
      <c r="J18" s="178">
        <v>0</v>
      </c>
      <c r="K18" s="179">
        <v>2166391</v>
      </c>
    </row>
    <row r="19" spans="1:11" ht="42.75" customHeight="1">
      <c r="A19" s="951" t="s">
        <v>154</v>
      </c>
      <c r="B19" s="951"/>
      <c r="C19" s="241"/>
      <c r="D19" s="241"/>
      <c r="E19" s="241"/>
      <c r="F19" s="175" t="s">
        <v>145</v>
      </c>
      <c r="G19" s="175" t="s">
        <v>146</v>
      </c>
      <c r="H19" s="175" t="s">
        <v>147</v>
      </c>
      <c r="I19" s="175" t="s">
        <v>148</v>
      </c>
      <c r="J19" s="175" t="s">
        <v>149</v>
      </c>
      <c r="K19" s="175" t="s">
        <v>150</v>
      </c>
    </row>
    <row r="20" spans="1:11">
      <c r="A20" s="176" t="s">
        <v>260</v>
      </c>
      <c r="B20" s="172" t="s">
        <v>155</v>
      </c>
      <c r="C20" s="171"/>
      <c r="D20" s="171"/>
      <c r="E20" s="171"/>
      <c r="F20" s="171"/>
      <c r="G20" s="171"/>
      <c r="H20" s="171"/>
      <c r="I20" s="171"/>
      <c r="J20" s="171"/>
      <c r="K20" s="171"/>
    </row>
    <row r="21" spans="1:11">
      <c r="A21" s="173" t="s">
        <v>164</v>
      </c>
      <c r="B21" s="171" t="s">
        <v>156</v>
      </c>
      <c r="C21" s="171"/>
      <c r="D21" s="171"/>
      <c r="E21" s="171"/>
      <c r="F21" s="177">
        <v>12727.61</v>
      </c>
      <c r="G21" s="177">
        <v>272734.09999999998</v>
      </c>
      <c r="H21" s="178">
        <v>978888.78726000024</v>
      </c>
      <c r="I21" s="202">
        <v>509607.09541763418</v>
      </c>
      <c r="J21" s="178">
        <v>0</v>
      </c>
      <c r="K21" s="179">
        <v>1488495.8826776338</v>
      </c>
    </row>
    <row r="22" spans="1:11">
      <c r="A22" s="173" t="s">
        <v>261</v>
      </c>
      <c r="B22" s="171" t="s">
        <v>157</v>
      </c>
      <c r="C22" s="171"/>
      <c r="D22" s="171"/>
      <c r="E22" s="171"/>
      <c r="F22" s="177">
        <v>783.25</v>
      </c>
      <c r="G22" s="177">
        <v>2461</v>
      </c>
      <c r="H22" s="178">
        <v>44386.849182000005</v>
      </c>
      <c r="I22" s="202">
        <v>19979.611675155818</v>
      </c>
      <c r="J22" s="178">
        <v>0</v>
      </c>
      <c r="K22" s="179">
        <v>64366.46085715582</v>
      </c>
    </row>
    <row r="23" spans="1:11">
      <c r="A23" s="173" t="s">
        <v>262</v>
      </c>
      <c r="B23" s="171" t="s">
        <v>158</v>
      </c>
      <c r="C23" s="171"/>
      <c r="D23" s="171"/>
      <c r="E23" s="171"/>
      <c r="F23" s="177">
        <v>0</v>
      </c>
      <c r="G23" s="177">
        <v>0</v>
      </c>
      <c r="H23" s="178">
        <v>0</v>
      </c>
      <c r="I23" s="202">
        <v>0</v>
      </c>
      <c r="J23" s="178">
        <v>0</v>
      </c>
      <c r="K23" s="179">
        <v>0</v>
      </c>
    </row>
    <row r="24" spans="1:11">
      <c r="A24" s="173" t="s">
        <v>263</v>
      </c>
      <c r="B24" s="171" t="s">
        <v>159</v>
      </c>
      <c r="C24" s="171"/>
      <c r="D24" s="171"/>
      <c r="E24" s="171"/>
      <c r="F24" s="177">
        <v>0</v>
      </c>
      <c r="G24" s="177">
        <v>0</v>
      </c>
      <c r="H24" s="178">
        <v>0</v>
      </c>
      <c r="I24" s="202">
        <v>0</v>
      </c>
      <c r="J24" s="178">
        <v>0</v>
      </c>
      <c r="K24" s="179">
        <v>0</v>
      </c>
    </row>
    <row r="25" spans="1:11">
      <c r="A25" s="173" t="s">
        <v>264</v>
      </c>
      <c r="B25" s="171" t="s">
        <v>160</v>
      </c>
      <c r="C25" s="171"/>
      <c r="D25" s="171"/>
      <c r="E25" s="171"/>
      <c r="F25" s="177">
        <v>281</v>
      </c>
      <c r="G25" s="177">
        <v>3124</v>
      </c>
      <c r="H25" s="178">
        <v>11629.991809999998</v>
      </c>
      <c r="I25" s="202">
        <v>6054.5451364443825</v>
      </c>
      <c r="J25" s="178">
        <v>0</v>
      </c>
      <c r="K25" s="179">
        <v>17684.536946444383</v>
      </c>
    </row>
    <row r="26" spans="1:11">
      <c r="A26" s="173" t="s">
        <v>265</v>
      </c>
      <c r="B26" s="171" t="s">
        <v>161</v>
      </c>
      <c r="C26" s="171"/>
      <c r="D26" s="171"/>
      <c r="E26" s="171"/>
      <c r="F26" s="177">
        <v>0</v>
      </c>
      <c r="G26" s="177">
        <v>0</v>
      </c>
      <c r="H26" s="178">
        <v>0</v>
      </c>
      <c r="I26" s="202">
        <v>0</v>
      </c>
      <c r="J26" s="178">
        <v>0</v>
      </c>
      <c r="K26" s="179">
        <v>0</v>
      </c>
    </row>
    <row r="27" spans="1:11">
      <c r="A27" s="173" t="s">
        <v>266</v>
      </c>
      <c r="B27" s="171" t="s">
        <v>162</v>
      </c>
      <c r="C27" s="171"/>
      <c r="D27" s="171"/>
      <c r="E27" s="171"/>
      <c r="F27" s="177">
        <v>0</v>
      </c>
      <c r="G27" s="177">
        <v>0</v>
      </c>
      <c r="H27" s="178">
        <v>0</v>
      </c>
      <c r="I27" s="202">
        <v>0</v>
      </c>
      <c r="J27" s="178">
        <v>0</v>
      </c>
      <c r="K27" s="179">
        <v>0</v>
      </c>
    </row>
    <row r="28" spans="1:11">
      <c r="A28" s="173" t="s">
        <v>267</v>
      </c>
      <c r="B28" s="171" t="s">
        <v>163</v>
      </c>
      <c r="C28" s="171"/>
      <c r="D28" s="171"/>
      <c r="E28" s="171"/>
      <c r="F28" s="177">
        <v>6304</v>
      </c>
      <c r="G28" s="177">
        <v>5400</v>
      </c>
      <c r="H28" s="178">
        <v>238719</v>
      </c>
      <c r="I28" s="202">
        <v>38611.843506459431</v>
      </c>
      <c r="J28" s="178">
        <v>0</v>
      </c>
      <c r="K28" s="179">
        <v>277330.84350645944</v>
      </c>
    </row>
    <row r="29" spans="1:11">
      <c r="A29" s="173" t="s">
        <v>268</v>
      </c>
      <c r="B29" s="171" t="s">
        <v>165</v>
      </c>
      <c r="C29" s="171"/>
      <c r="D29" s="171"/>
      <c r="E29" s="171"/>
      <c r="F29" s="177">
        <v>4728.74</v>
      </c>
      <c r="G29" s="177">
        <v>30120.6</v>
      </c>
      <c r="H29" s="178">
        <v>1574696.7924199998</v>
      </c>
      <c r="I29" s="202">
        <v>178185.78630009387</v>
      </c>
      <c r="J29" s="178">
        <v>0</v>
      </c>
      <c r="K29" s="179">
        <v>1752882.5787200939</v>
      </c>
    </row>
    <row r="30" spans="1:11">
      <c r="A30" s="173" t="s">
        <v>269</v>
      </c>
      <c r="B30" s="939" t="s">
        <v>553</v>
      </c>
      <c r="C30" s="940"/>
      <c r="D30" s="885"/>
      <c r="E30" s="171"/>
      <c r="F30" s="177">
        <v>1483</v>
      </c>
      <c r="G30" s="177">
        <v>17053</v>
      </c>
      <c r="H30" s="178">
        <v>249188.89533999999</v>
      </c>
      <c r="I30" s="202">
        <v>129727.1261222621</v>
      </c>
      <c r="J30" s="178">
        <v>0</v>
      </c>
      <c r="K30" s="179">
        <v>378916.02146226208</v>
      </c>
    </row>
    <row r="31" spans="1:11">
      <c r="A31" s="173" t="s">
        <v>270</v>
      </c>
      <c r="B31" s="939"/>
      <c r="C31" s="940"/>
      <c r="D31" s="885"/>
      <c r="E31" s="171"/>
      <c r="F31" s="177"/>
      <c r="G31" s="177"/>
      <c r="H31" s="178"/>
      <c r="I31" s="202">
        <v>0</v>
      </c>
      <c r="J31" s="178"/>
      <c r="K31" s="179">
        <v>0</v>
      </c>
    </row>
    <row r="32" spans="1:11">
      <c r="A32" s="173" t="s">
        <v>271</v>
      </c>
      <c r="B32" s="568"/>
      <c r="C32" s="569"/>
      <c r="D32" s="567"/>
      <c r="E32" s="171"/>
      <c r="F32" s="177"/>
      <c r="G32" s="177" t="s">
        <v>272</v>
      </c>
      <c r="H32" s="178"/>
      <c r="I32" s="202">
        <v>0</v>
      </c>
      <c r="J32" s="178"/>
      <c r="K32" s="179">
        <v>0</v>
      </c>
    </row>
    <row r="33" spans="1:11">
      <c r="A33" s="173" t="s">
        <v>273</v>
      </c>
      <c r="B33" s="568"/>
      <c r="C33" s="569"/>
      <c r="D33" s="567"/>
      <c r="E33" s="171"/>
      <c r="F33" s="177"/>
      <c r="G33" s="177" t="s">
        <v>272</v>
      </c>
      <c r="H33" s="178"/>
      <c r="I33" s="202">
        <v>0</v>
      </c>
      <c r="J33" s="178"/>
      <c r="K33" s="179">
        <v>0</v>
      </c>
    </row>
    <row r="34" spans="1:11">
      <c r="A34" s="173" t="s">
        <v>274</v>
      </c>
      <c r="B34" s="939"/>
      <c r="C34" s="940"/>
      <c r="D34" s="885"/>
      <c r="E34" s="171"/>
      <c r="F34" s="177"/>
      <c r="G34" s="177" t="s">
        <v>272</v>
      </c>
      <c r="H34" s="178"/>
      <c r="I34" s="202">
        <v>0</v>
      </c>
      <c r="J34" s="178"/>
      <c r="K34" s="179">
        <v>0</v>
      </c>
    </row>
    <row r="35" spans="1:11">
      <c r="A35" s="171"/>
      <c r="B35" s="171"/>
      <c r="C35" s="171"/>
      <c r="D35" s="171"/>
      <c r="E35" s="171"/>
      <c r="F35" s="171"/>
      <c r="G35" s="171"/>
      <c r="H35" s="171"/>
      <c r="I35" s="171"/>
      <c r="J35" s="171"/>
      <c r="K35" s="180"/>
    </row>
    <row r="36" spans="1:11">
      <c r="A36" s="176" t="s">
        <v>275</v>
      </c>
      <c r="B36" s="172" t="s">
        <v>166</v>
      </c>
      <c r="C36" s="171"/>
      <c r="D36" s="171"/>
      <c r="E36" s="172" t="s">
        <v>276</v>
      </c>
      <c r="F36" s="181">
        <f t="shared" ref="F36:K36" si="0">SUM(F21:F34)</f>
        <v>26307.599999999999</v>
      </c>
      <c r="G36" s="181">
        <f t="shared" si="0"/>
        <v>330892.69999999995</v>
      </c>
      <c r="H36" s="179">
        <f t="shared" si="0"/>
        <v>3097510.3160120002</v>
      </c>
      <c r="I36" s="179">
        <f t="shared" si="0"/>
        <v>882166.00815804978</v>
      </c>
      <c r="J36" s="179">
        <f t="shared" si="0"/>
        <v>0</v>
      </c>
      <c r="K36" s="179">
        <f t="shared" si="0"/>
        <v>3979676.3241700493</v>
      </c>
    </row>
    <row r="37" spans="1:11" ht="16.5" thickBot="1">
      <c r="A37" s="171"/>
      <c r="B37" s="172"/>
      <c r="C37" s="171"/>
      <c r="D37" s="171"/>
      <c r="E37" s="171"/>
      <c r="F37" s="182"/>
      <c r="G37" s="182"/>
      <c r="H37" s="183"/>
      <c r="I37" s="183"/>
      <c r="J37" s="183"/>
      <c r="K37" s="184"/>
    </row>
    <row r="38" spans="1:11" ht="26.25">
      <c r="A38" s="171"/>
      <c r="B38" s="171"/>
      <c r="C38" s="171"/>
      <c r="D38" s="171"/>
      <c r="E38" s="171"/>
      <c r="F38" s="175" t="s">
        <v>145</v>
      </c>
      <c r="G38" s="175" t="s">
        <v>146</v>
      </c>
      <c r="H38" s="175" t="s">
        <v>147</v>
      </c>
      <c r="I38" s="175" t="s">
        <v>148</v>
      </c>
      <c r="J38" s="175" t="s">
        <v>149</v>
      </c>
      <c r="K38" s="175" t="s">
        <v>150</v>
      </c>
    </row>
    <row r="39" spans="1:11">
      <c r="A39" s="176" t="s">
        <v>167</v>
      </c>
      <c r="B39" s="172" t="s">
        <v>168</v>
      </c>
      <c r="C39" s="171"/>
      <c r="D39" s="171"/>
      <c r="E39" s="171"/>
      <c r="F39" s="171"/>
      <c r="G39" s="171"/>
      <c r="H39" s="171"/>
      <c r="I39" s="171"/>
      <c r="J39" s="171"/>
      <c r="K39" s="171"/>
    </row>
    <row r="40" spans="1:11">
      <c r="A40" s="173" t="s">
        <v>277</v>
      </c>
      <c r="B40" s="171" t="s">
        <v>170</v>
      </c>
      <c r="C40" s="171"/>
      <c r="D40" s="171"/>
      <c r="E40" s="171"/>
      <c r="F40" s="177">
        <v>458</v>
      </c>
      <c r="G40" s="177">
        <v>351</v>
      </c>
      <c r="H40" s="178">
        <v>21699183.281819999</v>
      </c>
      <c r="I40" s="202">
        <v>0</v>
      </c>
      <c r="J40" s="178">
        <v>0</v>
      </c>
      <c r="K40" s="179">
        <v>21699183.281819999</v>
      </c>
    </row>
    <row r="41" spans="1:11">
      <c r="A41" s="173" t="s">
        <v>278</v>
      </c>
      <c r="B41" s="936" t="s">
        <v>172</v>
      </c>
      <c r="C41" s="936"/>
      <c r="D41" s="171"/>
      <c r="E41" s="171"/>
      <c r="F41" s="177">
        <v>12194.0743</v>
      </c>
      <c r="G41" s="177">
        <v>1263</v>
      </c>
      <c r="H41" s="178">
        <v>511115.06727158406</v>
      </c>
      <c r="I41" s="202">
        <v>0</v>
      </c>
      <c r="J41" s="178">
        <v>0</v>
      </c>
      <c r="K41" s="179">
        <v>511115.06727158406</v>
      </c>
    </row>
    <row r="42" spans="1:11">
      <c r="A42" s="173" t="s">
        <v>279</v>
      </c>
      <c r="B42" s="171" t="s">
        <v>174</v>
      </c>
      <c r="C42" s="171"/>
      <c r="D42" s="171"/>
      <c r="E42" s="171"/>
      <c r="F42" s="177">
        <v>31201.53</v>
      </c>
      <c r="G42" s="177">
        <v>1423</v>
      </c>
      <c r="H42" s="178">
        <v>1587671.7327224002</v>
      </c>
      <c r="I42" s="202">
        <v>0</v>
      </c>
      <c r="J42" s="178">
        <v>0</v>
      </c>
      <c r="K42" s="179">
        <v>1587671.7327224002</v>
      </c>
    </row>
    <row r="43" spans="1:11">
      <c r="A43" s="173" t="s">
        <v>280</v>
      </c>
      <c r="B43" s="171" t="s">
        <v>176</v>
      </c>
      <c r="C43" s="171"/>
      <c r="D43" s="171"/>
      <c r="E43" s="171"/>
      <c r="F43" s="177">
        <v>1001</v>
      </c>
      <c r="G43" s="177">
        <v>236</v>
      </c>
      <c r="H43" s="178">
        <v>83371.623500000002</v>
      </c>
      <c r="I43" s="202">
        <v>0</v>
      </c>
      <c r="J43" s="178">
        <v>0</v>
      </c>
      <c r="K43" s="179">
        <v>83371.623500000002</v>
      </c>
    </row>
    <row r="44" spans="1:11">
      <c r="A44" s="173"/>
      <c r="B44" s="171"/>
      <c r="C44" s="171"/>
      <c r="D44" s="171"/>
      <c r="E44" s="171"/>
      <c r="F44" s="493"/>
      <c r="G44" s="493"/>
      <c r="H44" s="494"/>
      <c r="I44" s="494"/>
      <c r="J44" s="494"/>
      <c r="K44" s="495"/>
    </row>
    <row r="45" spans="1:11">
      <c r="A45" s="173"/>
      <c r="B45" s="171"/>
      <c r="C45" s="171"/>
      <c r="D45" s="171"/>
      <c r="E45" s="171"/>
      <c r="F45" s="493"/>
      <c r="G45" s="493"/>
      <c r="H45" s="494"/>
      <c r="I45" s="494"/>
      <c r="J45" s="494"/>
      <c r="K45" s="495"/>
    </row>
    <row r="46" spans="1:11">
      <c r="A46" s="173"/>
      <c r="B46" s="171"/>
      <c r="C46" s="171"/>
      <c r="D46" s="171"/>
      <c r="E46" s="171"/>
      <c r="F46" s="493"/>
      <c r="G46" s="493"/>
      <c r="H46" s="494"/>
      <c r="I46" s="494"/>
      <c r="J46" s="494"/>
      <c r="K46" s="495"/>
    </row>
    <row r="47" spans="1:11">
      <c r="A47" s="173"/>
      <c r="B47" s="171"/>
      <c r="C47" s="171"/>
      <c r="D47" s="171"/>
      <c r="E47" s="171"/>
      <c r="F47" s="493"/>
      <c r="G47" s="493"/>
      <c r="H47" s="494"/>
      <c r="I47" s="494"/>
      <c r="J47" s="494"/>
      <c r="K47" s="495"/>
    </row>
    <row r="49" spans="1:11">
      <c r="A49" s="176" t="s">
        <v>286</v>
      </c>
      <c r="B49" s="172" t="s">
        <v>177</v>
      </c>
      <c r="C49" s="171"/>
      <c r="D49" s="171"/>
      <c r="E49" s="172" t="s">
        <v>276</v>
      </c>
      <c r="F49" s="242">
        <f t="shared" ref="F49:K49" si="1">SUM(F40:F43)</f>
        <v>44854.604299999999</v>
      </c>
      <c r="G49" s="242">
        <f t="shared" si="1"/>
        <v>3273</v>
      </c>
      <c r="H49" s="179">
        <f t="shared" si="1"/>
        <v>23881341.705313984</v>
      </c>
      <c r="I49" s="179">
        <f t="shared" si="1"/>
        <v>0</v>
      </c>
      <c r="J49" s="179">
        <f t="shared" si="1"/>
        <v>0</v>
      </c>
      <c r="K49" s="179">
        <f t="shared" si="1"/>
        <v>23881341.705313984</v>
      </c>
    </row>
    <row r="50" spans="1:11" ht="16.5" thickBot="1">
      <c r="A50" s="171"/>
      <c r="B50" s="171"/>
      <c r="C50" s="171"/>
      <c r="D50" s="171"/>
      <c r="E50" s="171"/>
      <c r="F50" s="171"/>
      <c r="G50" s="186"/>
      <c r="H50" s="186"/>
      <c r="I50" s="186"/>
      <c r="J50" s="186"/>
      <c r="K50" s="186"/>
    </row>
    <row r="51" spans="1:11" ht="26.25">
      <c r="A51" s="171"/>
      <c r="B51" s="171"/>
      <c r="C51" s="171"/>
      <c r="D51" s="171"/>
      <c r="E51" s="171"/>
      <c r="F51" s="175" t="s">
        <v>145</v>
      </c>
      <c r="G51" s="175" t="s">
        <v>146</v>
      </c>
      <c r="H51" s="175" t="s">
        <v>147</v>
      </c>
      <c r="I51" s="175" t="s">
        <v>148</v>
      </c>
      <c r="J51" s="175" t="s">
        <v>149</v>
      </c>
      <c r="K51" s="175" t="s">
        <v>150</v>
      </c>
    </row>
    <row r="52" spans="1:11" ht="15.75" customHeight="1">
      <c r="A52" s="176" t="s">
        <v>178</v>
      </c>
      <c r="B52" s="937" t="s">
        <v>179</v>
      </c>
      <c r="C52" s="937"/>
      <c r="D52" s="171"/>
      <c r="E52" s="171"/>
      <c r="F52" s="171"/>
      <c r="G52" s="171"/>
      <c r="H52" s="171"/>
      <c r="I52" s="171"/>
      <c r="J52" s="171"/>
      <c r="K52" s="171"/>
    </row>
    <row r="53" spans="1:11">
      <c r="A53" s="173" t="s">
        <v>287</v>
      </c>
      <c r="B53" s="243" t="s">
        <v>554</v>
      </c>
      <c r="C53" s="244"/>
      <c r="D53" s="245"/>
      <c r="E53" s="171"/>
      <c r="F53" s="177">
        <v>0</v>
      </c>
      <c r="G53" s="177">
        <v>0</v>
      </c>
      <c r="H53" s="178">
        <v>1414276</v>
      </c>
      <c r="I53" s="202">
        <v>0</v>
      </c>
      <c r="J53" s="178">
        <v>894486</v>
      </c>
      <c r="K53" s="179">
        <v>519790</v>
      </c>
    </row>
    <row r="54" spans="1:11">
      <c r="A54" s="173" t="s">
        <v>289</v>
      </c>
      <c r="B54" s="246" t="s">
        <v>555</v>
      </c>
      <c r="C54" s="247"/>
      <c r="D54" s="248"/>
      <c r="E54" s="171"/>
      <c r="F54" s="177">
        <v>0</v>
      </c>
      <c r="G54" s="177">
        <v>0</v>
      </c>
      <c r="H54" s="178">
        <v>386415</v>
      </c>
      <c r="I54" s="202">
        <v>0</v>
      </c>
      <c r="J54" s="178">
        <v>0</v>
      </c>
      <c r="K54" s="179">
        <v>386415</v>
      </c>
    </row>
    <row r="55" spans="1:11">
      <c r="A55" s="173" t="s">
        <v>291</v>
      </c>
      <c r="B55" s="243" t="s">
        <v>556</v>
      </c>
      <c r="C55" s="244"/>
      <c r="D55" s="245"/>
      <c r="E55" s="171"/>
      <c r="F55" s="177">
        <v>0</v>
      </c>
      <c r="G55" s="177">
        <v>0</v>
      </c>
      <c r="H55" s="178">
        <v>696062</v>
      </c>
      <c r="I55" s="202">
        <v>0</v>
      </c>
      <c r="J55" s="178">
        <v>0</v>
      </c>
      <c r="K55" s="179">
        <v>696062</v>
      </c>
    </row>
    <row r="56" spans="1:11">
      <c r="A56" s="173" t="s">
        <v>293</v>
      </c>
      <c r="B56" s="243" t="s">
        <v>557</v>
      </c>
      <c r="C56" s="244"/>
      <c r="D56" s="245"/>
      <c r="E56" s="171"/>
      <c r="F56" s="177">
        <v>0</v>
      </c>
      <c r="G56" s="177">
        <v>0</v>
      </c>
      <c r="H56" s="178">
        <v>623337</v>
      </c>
      <c r="I56" s="202">
        <v>0</v>
      </c>
      <c r="J56" s="178">
        <v>0</v>
      </c>
      <c r="K56" s="179">
        <v>623337</v>
      </c>
    </row>
    <row r="57" spans="1:11">
      <c r="A57" s="173" t="s">
        <v>295</v>
      </c>
      <c r="B57" s="246" t="s">
        <v>558</v>
      </c>
      <c r="C57" s="247"/>
      <c r="D57" s="248"/>
      <c r="E57" s="171"/>
      <c r="F57" s="177">
        <v>12</v>
      </c>
      <c r="G57" s="177">
        <v>4</v>
      </c>
      <c r="H57" s="178">
        <v>238475.23681999999</v>
      </c>
      <c r="I57" s="202">
        <v>0</v>
      </c>
      <c r="J57" s="178">
        <v>0</v>
      </c>
      <c r="K57" s="179">
        <v>238475.23681999999</v>
      </c>
    </row>
    <row r="58" spans="1:11">
      <c r="A58" s="173" t="s">
        <v>298</v>
      </c>
      <c r="B58" s="568" t="s">
        <v>559</v>
      </c>
      <c r="C58" s="569"/>
      <c r="D58" s="567"/>
      <c r="E58" s="171"/>
      <c r="F58" s="177">
        <v>0</v>
      </c>
      <c r="G58" s="177">
        <v>0</v>
      </c>
      <c r="H58" s="178">
        <v>314227</v>
      </c>
      <c r="I58" s="202">
        <v>0</v>
      </c>
      <c r="J58" s="178">
        <v>0</v>
      </c>
      <c r="K58" s="179">
        <v>314227</v>
      </c>
    </row>
    <row r="59" spans="1:11">
      <c r="A59" s="173" t="s">
        <v>300</v>
      </c>
      <c r="B59" s="568" t="s">
        <v>560</v>
      </c>
      <c r="C59" s="569"/>
      <c r="D59" s="567"/>
      <c r="E59" s="171"/>
      <c r="F59" s="177">
        <v>3833</v>
      </c>
      <c r="G59" s="177">
        <v>543</v>
      </c>
      <c r="H59" s="178">
        <v>102235.86658999999</v>
      </c>
      <c r="I59" s="202">
        <v>0</v>
      </c>
      <c r="J59" s="178">
        <v>0</v>
      </c>
      <c r="K59" s="179">
        <v>102235.86658999999</v>
      </c>
    </row>
    <row r="60" spans="1:11">
      <c r="A60" s="173" t="s">
        <v>302</v>
      </c>
      <c r="B60" s="939" t="s">
        <v>561</v>
      </c>
      <c r="C60" s="940"/>
      <c r="D60" s="885"/>
      <c r="E60" s="171"/>
      <c r="F60" s="177">
        <v>0</v>
      </c>
      <c r="G60" s="177">
        <v>0</v>
      </c>
      <c r="H60" s="178">
        <v>1308387</v>
      </c>
      <c r="I60" s="202">
        <v>0</v>
      </c>
      <c r="J60" s="178">
        <v>0</v>
      </c>
      <c r="K60" s="179">
        <v>1308387</v>
      </c>
    </row>
    <row r="61" spans="1:11">
      <c r="A61" s="173" t="s">
        <v>303</v>
      </c>
      <c r="B61" s="939" t="s">
        <v>562</v>
      </c>
      <c r="C61" s="940"/>
      <c r="D61" s="885"/>
      <c r="E61" s="171"/>
      <c r="F61" s="177">
        <v>52</v>
      </c>
      <c r="G61" s="177">
        <v>0</v>
      </c>
      <c r="H61" s="178">
        <v>90440</v>
      </c>
      <c r="I61" s="202">
        <v>0</v>
      </c>
      <c r="J61" s="178">
        <v>0</v>
      </c>
      <c r="K61" s="179">
        <v>90440</v>
      </c>
    </row>
    <row r="62" spans="1:11">
      <c r="A62" s="173"/>
      <c r="B62" s="496"/>
      <c r="C62" s="496"/>
      <c r="D62" s="496"/>
      <c r="E62" s="171"/>
      <c r="F62" s="493"/>
      <c r="G62" s="493"/>
      <c r="H62" s="494"/>
      <c r="I62" s="202"/>
      <c r="J62" s="494"/>
      <c r="K62" s="495"/>
    </row>
    <row r="63" spans="1:11">
      <c r="A63" s="173"/>
      <c r="B63" s="171"/>
      <c r="C63" s="171"/>
      <c r="D63" s="171"/>
      <c r="E63" s="171"/>
      <c r="F63" s="171"/>
      <c r="G63" s="171"/>
      <c r="H63" s="171"/>
      <c r="I63" s="187"/>
      <c r="J63" s="171"/>
      <c r="K63" s="171"/>
    </row>
    <row r="64" spans="1:11">
      <c r="A64" s="173" t="s">
        <v>305</v>
      </c>
      <c r="B64" s="172" t="s">
        <v>184</v>
      </c>
      <c r="C64" s="171"/>
      <c r="D64" s="171"/>
      <c r="E64" s="172" t="s">
        <v>276</v>
      </c>
      <c r="F64" s="181">
        <f t="shared" ref="F64:K64" si="2">SUM(F53:F61)</f>
        <v>3897</v>
      </c>
      <c r="G64" s="181">
        <f t="shared" si="2"/>
        <v>547</v>
      </c>
      <c r="H64" s="179">
        <f t="shared" si="2"/>
        <v>5173855.10341</v>
      </c>
      <c r="I64" s="179">
        <f t="shared" si="2"/>
        <v>0</v>
      </c>
      <c r="J64" s="179">
        <f t="shared" si="2"/>
        <v>894486</v>
      </c>
      <c r="K64" s="179">
        <f t="shared" si="2"/>
        <v>4279369.10341</v>
      </c>
    </row>
    <row r="65" spans="1:11">
      <c r="A65" s="171"/>
      <c r="B65" s="171"/>
      <c r="C65" s="171"/>
      <c r="D65" s="171"/>
      <c r="E65" s="171"/>
      <c r="F65" s="188"/>
      <c r="G65" s="188"/>
      <c r="H65" s="188"/>
      <c r="I65" s="188"/>
      <c r="J65" s="188"/>
      <c r="K65" s="188"/>
    </row>
    <row r="66" spans="1:11" ht="26.25">
      <c r="A66" s="171"/>
      <c r="B66" s="171"/>
      <c r="C66" s="171"/>
      <c r="D66" s="171"/>
      <c r="E66" s="171"/>
      <c r="F66" s="175" t="s">
        <v>145</v>
      </c>
      <c r="G66" s="175" t="s">
        <v>146</v>
      </c>
      <c r="H66" s="175" t="s">
        <v>147</v>
      </c>
      <c r="I66" s="175" t="s">
        <v>148</v>
      </c>
      <c r="J66" s="175" t="s">
        <v>149</v>
      </c>
      <c r="K66" s="175" t="s">
        <v>150</v>
      </c>
    </row>
    <row r="67" spans="1:11">
      <c r="A67" s="176" t="s">
        <v>185</v>
      </c>
      <c r="B67" s="172" t="s">
        <v>186</v>
      </c>
      <c r="C67" s="171"/>
      <c r="D67" s="171"/>
      <c r="E67" s="171"/>
      <c r="F67" s="189"/>
      <c r="G67" s="189"/>
      <c r="H67" s="189"/>
      <c r="I67" s="190"/>
      <c r="J67" s="189"/>
      <c r="K67" s="191"/>
    </row>
    <row r="68" spans="1:11">
      <c r="A68" s="173" t="s">
        <v>306</v>
      </c>
      <c r="B68" s="171" t="s">
        <v>188</v>
      </c>
      <c r="C68" s="171"/>
      <c r="D68" s="171"/>
      <c r="E68" s="171"/>
      <c r="F68" s="177">
        <v>48</v>
      </c>
      <c r="G68" s="177">
        <v>0</v>
      </c>
      <c r="H68" s="178">
        <v>33835.828029999997</v>
      </c>
      <c r="I68" s="202">
        <v>0</v>
      </c>
      <c r="J68" s="178">
        <v>0</v>
      </c>
      <c r="K68" s="179">
        <v>33835.828029999997</v>
      </c>
    </row>
    <row r="69" spans="1:11">
      <c r="A69" s="173" t="s">
        <v>307</v>
      </c>
      <c r="B69" s="171" t="s">
        <v>190</v>
      </c>
      <c r="C69" s="171"/>
      <c r="D69" s="171"/>
      <c r="E69" s="171"/>
      <c r="F69" s="177">
        <v>0</v>
      </c>
      <c r="G69" s="177">
        <v>0</v>
      </c>
      <c r="H69" s="178">
        <v>0</v>
      </c>
      <c r="I69" s="202">
        <v>0</v>
      </c>
      <c r="J69" s="178">
        <v>0</v>
      </c>
      <c r="K69" s="179">
        <v>0</v>
      </c>
    </row>
    <row r="70" spans="1:11">
      <c r="A70" s="173" t="s">
        <v>308</v>
      </c>
      <c r="B70" s="568"/>
      <c r="C70" s="569"/>
      <c r="D70" s="567"/>
      <c r="E70" s="172"/>
      <c r="F70" s="249"/>
      <c r="G70" s="249"/>
      <c r="H70" s="250"/>
      <c r="I70" s="202">
        <v>0</v>
      </c>
      <c r="J70" s="250"/>
      <c r="K70" s="179">
        <v>0</v>
      </c>
    </row>
    <row r="71" spans="1:11">
      <c r="A71" s="173" t="s">
        <v>309</v>
      </c>
      <c r="B71" s="568"/>
      <c r="C71" s="569"/>
      <c r="D71" s="567"/>
      <c r="E71" s="172"/>
      <c r="F71" s="249"/>
      <c r="G71" s="249"/>
      <c r="H71" s="250"/>
      <c r="I71" s="202">
        <v>0</v>
      </c>
      <c r="J71" s="250"/>
      <c r="K71" s="179">
        <v>0</v>
      </c>
    </row>
    <row r="72" spans="1:11">
      <c r="A72" s="173" t="s">
        <v>310</v>
      </c>
      <c r="B72" s="565"/>
      <c r="C72" s="566"/>
      <c r="D72" s="192"/>
      <c r="E72" s="172"/>
      <c r="F72" s="177"/>
      <c r="G72" s="177"/>
      <c r="H72" s="178"/>
      <c r="I72" s="202">
        <v>0</v>
      </c>
      <c r="J72" s="178"/>
      <c r="K72" s="179">
        <v>0</v>
      </c>
    </row>
    <row r="73" spans="1:11">
      <c r="A73" s="173"/>
      <c r="B73" s="171"/>
      <c r="C73" s="171"/>
      <c r="D73" s="171"/>
      <c r="E73" s="172"/>
      <c r="F73" s="193"/>
      <c r="G73" s="193"/>
      <c r="H73" s="194"/>
      <c r="I73" s="190"/>
      <c r="J73" s="194"/>
      <c r="K73" s="191"/>
    </row>
    <row r="74" spans="1:11">
      <c r="A74" s="176" t="s">
        <v>311</v>
      </c>
      <c r="B74" s="172" t="s">
        <v>191</v>
      </c>
      <c r="C74" s="171"/>
      <c r="D74" s="171"/>
      <c r="E74" s="172" t="s">
        <v>276</v>
      </c>
      <c r="F74" s="197">
        <f t="shared" ref="F74:K74" si="3">SUM(F68:F72)</f>
        <v>48</v>
      </c>
      <c r="G74" s="197">
        <f t="shared" si="3"/>
        <v>0</v>
      </c>
      <c r="H74" s="195">
        <f t="shared" si="3"/>
        <v>33835.828029999997</v>
      </c>
      <c r="I74" s="195">
        <f t="shared" si="3"/>
        <v>0</v>
      </c>
      <c r="J74" s="195">
        <f t="shared" si="3"/>
        <v>0</v>
      </c>
      <c r="K74" s="195">
        <f t="shared" si="3"/>
        <v>33835.828029999997</v>
      </c>
    </row>
    <row r="75" spans="1:11" ht="41.25" customHeight="1">
      <c r="A75" s="171"/>
      <c r="B75" s="171"/>
      <c r="C75" s="171"/>
      <c r="D75" s="171"/>
      <c r="E75" s="171"/>
      <c r="F75" s="175" t="s">
        <v>145</v>
      </c>
      <c r="G75" s="175" t="s">
        <v>146</v>
      </c>
      <c r="H75" s="175" t="s">
        <v>147</v>
      </c>
      <c r="I75" s="175" t="s">
        <v>148</v>
      </c>
      <c r="J75" s="175" t="s">
        <v>149</v>
      </c>
      <c r="K75" s="175" t="s">
        <v>150</v>
      </c>
    </row>
    <row r="76" spans="1:11">
      <c r="A76" s="176" t="s">
        <v>192</v>
      </c>
      <c r="B76" s="172" t="s">
        <v>193</v>
      </c>
      <c r="C76" s="171"/>
      <c r="D76" s="171"/>
      <c r="E76" s="171"/>
      <c r="F76" s="171"/>
      <c r="G76" s="171"/>
      <c r="H76" s="171"/>
      <c r="I76" s="171"/>
      <c r="J76" s="171"/>
      <c r="K76" s="171"/>
    </row>
    <row r="77" spans="1:11">
      <c r="A77" s="173" t="s">
        <v>312</v>
      </c>
      <c r="B77" s="171" t="s">
        <v>195</v>
      </c>
      <c r="C77" s="171"/>
      <c r="D77" s="171"/>
      <c r="E77" s="171"/>
      <c r="F77" s="177">
        <v>106</v>
      </c>
      <c r="G77" s="177">
        <v>506</v>
      </c>
      <c r="H77" s="178">
        <v>256832.03949999998</v>
      </c>
      <c r="I77" s="202">
        <v>0</v>
      </c>
      <c r="J77" s="178">
        <v>0</v>
      </c>
      <c r="K77" s="179">
        <v>256832.03949999998</v>
      </c>
    </row>
    <row r="78" spans="1:11">
      <c r="A78" s="173" t="s">
        <v>313</v>
      </c>
      <c r="B78" s="171" t="s">
        <v>197</v>
      </c>
      <c r="C78" s="171"/>
      <c r="D78" s="171"/>
      <c r="E78" s="171"/>
      <c r="F78" s="177">
        <v>0</v>
      </c>
      <c r="G78" s="177">
        <v>0</v>
      </c>
      <c r="H78" s="178">
        <v>0</v>
      </c>
      <c r="I78" s="202">
        <v>0</v>
      </c>
      <c r="J78" s="178">
        <v>0</v>
      </c>
      <c r="K78" s="179">
        <v>0</v>
      </c>
    </row>
    <row r="79" spans="1:11">
      <c r="A79" s="173" t="s">
        <v>314</v>
      </c>
      <c r="B79" s="171" t="s">
        <v>199</v>
      </c>
      <c r="C79" s="171"/>
      <c r="D79" s="171"/>
      <c r="E79" s="171"/>
      <c r="F79" s="177">
        <v>6330.73</v>
      </c>
      <c r="G79" s="177">
        <v>28731</v>
      </c>
      <c r="H79" s="178">
        <v>1842119.0174099999</v>
      </c>
      <c r="I79" s="202">
        <v>175635.07073945855</v>
      </c>
      <c r="J79" s="178">
        <v>0</v>
      </c>
      <c r="K79" s="179">
        <v>2017754.0881494584</v>
      </c>
    </row>
    <row r="80" spans="1:11">
      <c r="A80" s="173" t="s">
        <v>315</v>
      </c>
      <c r="B80" s="171" t="s">
        <v>316</v>
      </c>
      <c r="C80" s="171"/>
      <c r="D80" s="171"/>
      <c r="E80" s="171"/>
      <c r="F80" s="177">
        <v>0</v>
      </c>
      <c r="G80" s="177">
        <v>0</v>
      </c>
      <c r="H80" s="178">
        <v>0</v>
      </c>
      <c r="I80" s="202">
        <v>0</v>
      </c>
      <c r="J80" s="178">
        <v>0</v>
      </c>
      <c r="K80" s="179">
        <v>0</v>
      </c>
    </row>
    <row r="81" spans="1:11">
      <c r="A81" s="173"/>
      <c r="B81" s="171"/>
      <c r="C81" s="171"/>
      <c r="D81" s="171"/>
      <c r="E81" s="171"/>
      <c r="F81" s="171"/>
      <c r="G81" s="171"/>
      <c r="H81" s="171"/>
      <c r="I81" s="171"/>
      <c r="J81" s="171"/>
      <c r="K81" s="196"/>
    </row>
    <row r="82" spans="1:11">
      <c r="A82" s="173" t="s">
        <v>317</v>
      </c>
      <c r="B82" s="172" t="s">
        <v>318</v>
      </c>
      <c r="C82" s="171"/>
      <c r="D82" s="171"/>
      <c r="E82" s="172" t="s">
        <v>276</v>
      </c>
      <c r="F82" s="197">
        <f t="shared" ref="F82:K82" si="4">SUM(F77:F80)</f>
        <v>6436.73</v>
      </c>
      <c r="G82" s="197">
        <f t="shared" si="4"/>
        <v>29237</v>
      </c>
      <c r="H82" s="185">
        <f t="shared" si="4"/>
        <v>2098951.0569099998</v>
      </c>
      <c r="I82" s="185">
        <f t="shared" si="4"/>
        <v>175635.07073945855</v>
      </c>
      <c r="J82" s="185">
        <f t="shared" si="4"/>
        <v>0</v>
      </c>
      <c r="K82" s="185">
        <f t="shared" si="4"/>
        <v>2274586.1276494586</v>
      </c>
    </row>
    <row r="83" spans="1:11" ht="16.5" thickBot="1">
      <c r="A83" s="173"/>
      <c r="B83" s="171"/>
      <c r="C83" s="171"/>
      <c r="D83" s="171"/>
      <c r="E83" s="171"/>
      <c r="F83" s="186"/>
      <c r="G83" s="186"/>
      <c r="H83" s="186"/>
      <c r="I83" s="186"/>
      <c r="J83" s="186"/>
      <c r="K83" s="186"/>
    </row>
    <row r="84" spans="1:11" ht="45.75" customHeight="1">
      <c r="A84" s="171"/>
      <c r="B84" s="171"/>
      <c r="C84" s="171"/>
      <c r="D84" s="171"/>
      <c r="E84" s="171"/>
      <c r="F84" s="175" t="s">
        <v>145</v>
      </c>
      <c r="G84" s="175" t="s">
        <v>146</v>
      </c>
      <c r="H84" s="175" t="s">
        <v>147</v>
      </c>
      <c r="I84" s="175" t="s">
        <v>148</v>
      </c>
      <c r="J84" s="175" t="s">
        <v>149</v>
      </c>
      <c r="K84" s="175" t="s">
        <v>150</v>
      </c>
    </row>
    <row r="85" spans="1:11">
      <c r="A85" s="176" t="s">
        <v>201</v>
      </c>
      <c r="B85" s="172" t="s">
        <v>202</v>
      </c>
      <c r="C85" s="171"/>
      <c r="D85" s="171"/>
      <c r="E85" s="171"/>
      <c r="F85" s="171"/>
      <c r="G85" s="171"/>
      <c r="H85" s="171"/>
      <c r="I85" s="171"/>
      <c r="J85" s="171"/>
      <c r="K85" s="171"/>
    </row>
    <row r="86" spans="1:11">
      <c r="A86" s="173" t="s">
        <v>319</v>
      </c>
      <c r="B86" s="171" t="s">
        <v>204</v>
      </c>
      <c r="C86" s="171"/>
      <c r="D86" s="171"/>
      <c r="E86" s="171"/>
      <c r="F86" s="177">
        <v>62</v>
      </c>
      <c r="G86" s="177">
        <v>648</v>
      </c>
      <c r="H86" s="178">
        <v>34200.78011</v>
      </c>
      <c r="I86" s="202">
        <v>17804.842020572694</v>
      </c>
      <c r="J86" s="178">
        <v>0</v>
      </c>
      <c r="K86" s="179">
        <v>52005.622130572694</v>
      </c>
    </row>
    <row r="87" spans="1:11">
      <c r="A87" s="173" t="s">
        <v>320</v>
      </c>
      <c r="B87" s="171" t="s">
        <v>206</v>
      </c>
      <c r="C87" s="171"/>
      <c r="D87" s="171"/>
      <c r="E87" s="171"/>
      <c r="F87" s="177">
        <v>0</v>
      </c>
      <c r="G87" s="177">
        <v>0</v>
      </c>
      <c r="H87" s="178">
        <v>0</v>
      </c>
      <c r="I87" s="202">
        <v>0</v>
      </c>
      <c r="J87" s="178">
        <v>0</v>
      </c>
      <c r="K87" s="179">
        <v>0</v>
      </c>
    </row>
    <row r="88" spans="1:11">
      <c r="A88" s="173" t="s">
        <v>321</v>
      </c>
      <c r="B88" s="171" t="s">
        <v>208</v>
      </c>
      <c r="C88" s="171"/>
      <c r="D88" s="171"/>
      <c r="E88" s="171"/>
      <c r="F88" s="177">
        <v>1113.5</v>
      </c>
      <c r="G88" s="177">
        <v>179</v>
      </c>
      <c r="H88" s="178">
        <v>84678.957200000019</v>
      </c>
      <c r="I88" s="202">
        <v>44083.656880446426</v>
      </c>
      <c r="J88" s="178">
        <v>0</v>
      </c>
      <c r="K88" s="179">
        <v>128762.61408044644</v>
      </c>
    </row>
    <row r="89" spans="1:11">
      <c r="A89" s="173" t="s">
        <v>322</v>
      </c>
      <c r="B89" s="171" t="s">
        <v>210</v>
      </c>
      <c r="C89" s="171"/>
      <c r="D89" s="171"/>
      <c r="E89" s="171"/>
      <c r="F89" s="177">
        <v>0</v>
      </c>
      <c r="G89" s="177">
        <v>0</v>
      </c>
      <c r="H89" s="178">
        <v>0</v>
      </c>
      <c r="I89" s="202">
        <v>0</v>
      </c>
      <c r="J89" s="178">
        <v>0</v>
      </c>
      <c r="K89" s="179">
        <v>0</v>
      </c>
    </row>
    <row r="90" spans="1:11">
      <c r="A90" s="173" t="s">
        <v>323</v>
      </c>
      <c r="B90" s="936" t="s">
        <v>212</v>
      </c>
      <c r="C90" s="936"/>
      <c r="D90" s="171"/>
      <c r="E90" s="171"/>
      <c r="F90" s="177">
        <v>0</v>
      </c>
      <c r="G90" s="177">
        <v>0</v>
      </c>
      <c r="H90" s="178">
        <v>0</v>
      </c>
      <c r="I90" s="202">
        <v>0</v>
      </c>
      <c r="J90" s="178">
        <v>0</v>
      </c>
      <c r="K90" s="179">
        <v>0</v>
      </c>
    </row>
    <row r="91" spans="1:11">
      <c r="A91" s="173" t="s">
        <v>324</v>
      </c>
      <c r="B91" s="171" t="s">
        <v>214</v>
      </c>
      <c r="C91" s="171"/>
      <c r="D91" s="171"/>
      <c r="E91" s="171"/>
      <c r="F91" s="177">
        <v>0</v>
      </c>
      <c r="G91" s="177">
        <v>0</v>
      </c>
      <c r="H91" s="178">
        <v>0</v>
      </c>
      <c r="I91" s="202">
        <v>0</v>
      </c>
      <c r="J91" s="178">
        <v>0</v>
      </c>
      <c r="K91" s="179">
        <v>0</v>
      </c>
    </row>
    <row r="92" spans="1:11">
      <c r="A92" s="173" t="s">
        <v>325</v>
      </c>
      <c r="B92" s="171" t="s">
        <v>216</v>
      </c>
      <c r="C92" s="171"/>
      <c r="D92" s="171"/>
      <c r="E92" s="171"/>
      <c r="F92" s="177">
        <v>10</v>
      </c>
      <c r="G92" s="177">
        <v>4</v>
      </c>
      <c r="H92" s="178">
        <v>769.35509999999999</v>
      </c>
      <c r="I92" s="202">
        <v>400.5243731038949</v>
      </c>
      <c r="J92" s="178">
        <v>0</v>
      </c>
      <c r="K92" s="179">
        <v>1169.879473103895</v>
      </c>
    </row>
    <row r="93" spans="1:11">
      <c r="A93" s="173" t="s">
        <v>326</v>
      </c>
      <c r="B93" s="171" t="s">
        <v>218</v>
      </c>
      <c r="C93" s="171"/>
      <c r="D93" s="171"/>
      <c r="E93" s="171"/>
      <c r="F93" s="177">
        <v>364</v>
      </c>
      <c r="G93" s="177">
        <v>2707</v>
      </c>
      <c r="H93" s="178">
        <v>22828.691160000002</v>
      </c>
      <c r="I93" s="202">
        <v>11884.560478823663</v>
      </c>
      <c r="J93" s="178">
        <v>2430</v>
      </c>
      <c r="K93" s="179">
        <v>32283.251638823665</v>
      </c>
    </row>
    <row r="94" spans="1:11">
      <c r="A94" s="173" t="s">
        <v>327</v>
      </c>
      <c r="B94" s="939" t="s">
        <v>563</v>
      </c>
      <c r="C94" s="940"/>
      <c r="D94" s="885"/>
      <c r="E94" s="171"/>
      <c r="F94" s="177">
        <v>0</v>
      </c>
      <c r="G94" s="177">
        <v>4</v>
      </c>
      <c r="H94" s="178">
        <v>19500</v>
      </c>
      <c r="I94" s="202">
        <v>10151.652046663434</v>
      </c>
      <c r="J94" s="178">
        <v>0</v>
      </c>
      <c r="K94" s="179">
        <v>29651.652046663432</v>
      </c>
    </row>
    <row r="95" spans="1:11">
      <c r="A95" s="173" t="s">
        <v>329</v>
      </c>
      <c r="B95" s="939"/>
      <c r="C95" s="940"/>
      <c r="D95" s="885"/>
      <c r="E95" s="171"/>
      <c r="F95" s="177"/>
      <c r="G95" s="177"/>
      <c r="H95" s="178"/>
      <c r="I95" s="202">
        <v>0</v>
      </c>
      <c r="J95" s="178"/>
      <c r="K95" s="179">
        <v>0</v>
      </c>
    </row>
    <row r="96" spans="1:11">
      <c r="A96" s="173" t="s">
        <v>330</v>
      </c>
      <c r="B96" s="939"/>
      <c r="C96" s="940"/>
      <c r="D96" s="885"/>
      <c r="E96" s="171"/>
      <c r="F96" s="177"/>
      <c r="G96" s="177"/>
      <c r="H96" s="178"/>
      <c r="I96" s="202">
        <v>0</v>
      </c>
      <c r="J96" s="178"/>
      <c r="K96" s="179">
        <v>0</v>
      </c>
    </row>
    <row r="97" spans="1:11">
      <c r="A97" s="173"/>
      <c r="B97" s="171"/>
      <c r="C97" s="171"/>
      <c r="D97" s="171"/>
      <c r="E97" s="171"/>
      <c r="F97" s="171"/>
      <c r="G97" s="171"/>
      <c r="H97" s="171"/>
      <c r="I97" s="171"/>
      <c r="J97" s="171"/>
      <c r="K97" s="171"/>
    </row>
    <row r="98" spans="1:11">
      <c r="A98" s="176" t="s">
        <v>331</v>
      </c>
      <c r="B98" s="172" t="s">
        <v>220</v>
      </c>
      <c r="C98" s="171"/>
      <c r="D98" s="171"/>
      <c r="E98" s="172" t="s">
        <v>276</v>
      </c>
      <c r="F98" s="181">
        <f>SUM(F86:F96)</f>
        <v>1549.5</v>
      </c>
      <c r="G98" s="181">
        <f>SUM(G86:G96)</f>
        <v>3542</v>
      </c>
      <c r="H98" s="178">
        <f>SUM(H86:H96)</f>
        <v>161977.78357000003</v>
      </c>
      <c r="I98" s="178">
        <f t="shared" ref="I98:K98" si="5">SUM(I86:I96)</f>
        <v>84325.23579961012</v>
      </c>
      <c r="J98" s="178">
        <f t="shared" si="5"/>
        <v>2430</v>
      </c>
      <c r="K98" s="178">
        <f t="shared" si="5"/>
        <v>243873.01936961012</v>
      </c>
    </row>
    <row r="99" spans="1:11" ht="16.5" thickBot="1">
      <c r="A99" s="171"/>
      <c r="B99" s="172"/>
      <c r="C99" s="171"/>
      <c r="D99" s="171"/>
      <c r="E99" s="171"/>
      <c r="F99" s="186"/>
      <c r="G99" s="186"/>
      <c r="H99" s="186"/>
      <c r="I99" s="186"/>
      <c r="J99" s="186"/>
      <c r="K99" s="186"/>
    </row>
    <row r="100" spans="1:11" ht="26.25">
      <c r="A100" s="171"/>
      <c r="B100" s="171"/>
      <c r="C100" s="171"/>
      <c r="D100" s="171"/>
      <c r="E100" s="171"/>
      <c r="F100" s="175" t="s">
        <v>145</v>
      </c>
      <c r="G100" s="175" t="s">
        <v>146</v>
      </c>
      <c r="H100" s="175" t="s">
        <v>147</v>
      </c>
      <c r="I100" s="175" t="s">
        <v>148</v>
      </c>
      <c r="J100" s="175" t="s">
        <v>149</v>
      </c>
      <c r="K100" s="175" t="s">
        <v>150</v>
      </c>
    </row>
    <row r="101" spans="1:11">
      <c r="A101" s="176" t="s">
        <v>221</v>
      </c>
      <c r="B101" s="172" t="s">
        <v>222</v>
      </c>
      <c r="C101" s="171"/>
      <c r="D101" s="171"/>
      <c r="E101" s="171"/>
      <c r="F101" s="171"/>
      <c r="G101" s="171"/>
      <c r="H101" s="171"/>
      <c r="I101" s="171"/>
      <c r="J101" s="171"/>
      <c r="K101" s="171"/>
    </row>
    <row r="102" spans="1:11">
      <c r="A102" s="173" t="s">
        <v>332</v>
      </c>
      <c r="B102" s="171" t="s">
        <v>224</v>
      </c>
      <c r="C102" s="171"/>
      <c r="D102" s="171"/>
      <c r="E102" s="171"/>
      <c r="F102" s="177">
        <v>1534</v>
      </c>
      <c r="G102" s="177">
        <v>573</v>
      </c>
      <c r="H102" s="178">
        <v>64954.54783000001</v>
      </c>
      <c r="I102" s="202">
        <v>33815.177867616272</v>
      </c>
      <c r="J102" s="178">
        <v>0</v>
      </c>
      <c r="K102" s="179">
        <v>98769.725697616275</v>
      </c>
    </row>
    <row r="103" spans="1:11">
      <c r="A103" s="173" t="s">
        <v>333</v>
      </c>
      <c r="B103" s="952" t="s">
        <v>226</v>
      </c>
      <c r="C103" s="952"/>
      <c r="D103" s="171"/>
      <c r="E103" s="171"/>
      <c r="F103" s="177">
        <v>1263</v>
      </c>
      <c r="G103" s="177">
        <v>0</v>
      </c>
      <c r="H103" s="178">
        <v>40972.557560000001</v>
      </c>
      <c r="I103" s="202">
        <v>21330.212708256891</v>
      </c>
      <c r="J103" s="178">
        <v>0</v>
      </c>
      <c r="K103" s="179">
        <v>62302.770268256892</v>
      </c>
    </row>
    <row r="104" spans="1:11">
      <c r="A104" s="173" t="s">
        <v>334</v>
      </c>
      <c r="B104" s="939"/>
      <c r="C104" s="940"/>
      <c r="D104" s="885"/>
      <c r="E104" s="171"/>
      <c r="F104" s="177"/>
      <c r="G104" s="177"/>
      <c r="H104" s="178"/>
      <c r="I104" s="202">
        <v>0</v>
      </c>
      <c r="J104" s="178"/>
      <c r="K104" s="179">
        <v>0</v>
      </c>
    </row>
    <row r="105" spans="1:11">
      <c r="A105" s="173" t="s">
        <v>336</v>
      </c>
      <c r="B105" s="939"/>
      <c r="C105" s="940"/>
      <c r="D105" s="885"/>
      <c r="E105" s="171"/>
      <c r="F105" s="177"/>
      <c r="G105" s="177"/>
      <c r="H105" s="178"/>
      <c r="I105" s="202">
        <v>0</v>
      </c>
      <c r="J105" s="178"/>
      <c r="K105" s="179">
        <v>0</v>
      </c>
    </row>
    <row r="106" spans="1:11">
      <c r="A106" s="173" t="s">
        <v>337</v>
      </c>
      <c r="B106" s="939"/>
      <c r="C106" s="940"/>
      <c r="D106" s="885"/>
      <c r="E106" s="171"/>
      <c r="F106" s="177"/>
      <c r="G106" s="177"/>
      <c r="H106" s="178"/>
      <c r="I106" s="202">
        <v>0</v>
      </c>
      <c r="J106" s="178"/>
      <c r="K106" s="179">
        <v>0</v>
      </c>
    </row>
    <row r="107" spans="1:11">
      <c r="A107" s="171"/>
      <c r="B107" s="172"/>
      <c r="C107" s="171"/>
      <c r="D107" s="171"/>
      <c r="E107" s="171"/>
      <c r="F107" s="171"/>
      <c r="G107" s="171"/>
      <c r="H107" s="171"/>
      <c r="I107" s="171"/>
      <c r="J107" s="171"/>
      <c r="K107" s="171"/>
    </row>
    <row r="108" spans="1:11">
      <c r="A108" s="176" t="s">
        <v>338</v>
      </c>
      <c r="B108" s="172" t="s">
        <v>229</v>
      </c>
      <c r="C108" s="171"/>
      <c r="D108" s="171"/>
      <c r="E108" s="172" t="s">
        <v>276</v>
      </c>
      <c r="F108" s="181">
        <f>SUM(F102:F106)</f>
        <v>2797</v>
      </c>
      <c r="G108" s="181">
        <f>SUM(G102:G106)</f>
        <v>573</v>
      </c>
      <c r="H108" s="179">
        <f>SUM(H102:H106)</f>
        <v>105927.10539000001</v>
      </c>
      <c r="I108" s="179">
        <f t="shared" ref="I108:K108" si="6">SUM(I102:I106)</f>
        <v>55145.390575873163</v>
      </c>
      <c r="J108" s="179">
        <f t="shared" si="6"/>
        <v>0</v>
      </c>
      <c r="K108" s="179">
        <f t="shared" si="6"/>
        <v>161072.49596587318</v>
      </c>
    </row>
    <row r="109" spans="1:11" ht="16.5" thickBot="1">
      <c r="A109" s="198"/>
      <c r="B109" s="199"/>
      <c r="C109" s="200"/>
      <c r="D109" s="200"/>
      <c r="E109" s="200"/>
      <c r="F109" s="186"/>
      <c r="G109" s="186"/>
      <c r="H109" s="186"/>
      <c r="I109" s="186"/>
      <c r="J109" s="186"/>
      <c r="K109" s="186"/>
    </row>
    <row r="110" spans="1:11">
      <c r="A110" s="176" t="s">
        <v>230</v>
      </c>
      <c r="B110" s="172" t="s">
        <v>231</v>
      </c>
      <c r="C110" s="171"/>
      <c r="D110" s="171"/>
      <c r="E110" s="171"/>
      <c r="F110" s="171"/>
      <c r="G110" s="171"/>
      <c r="H110" s="171"/>
      <c r="I110" s="171"/>
      <c r="J110" s="171"/>
      <c r="K110" s="171"/>
    </row>
    <row r="111" spans="1:11">
      <c r="A111" s="176" t="s">
        <v>339</v>
      </c>
      <c r="B111" s="172" t="s">
        <v>232</v>
      </c>
      <c r="C111" s="171"/>
      <c r="D111" s="171"/>
      <c r="E111" s="172" t="s">
        <v>276</v>
      </c>
      <c r="F111" s="178">
        <v>26313000</v>
      </c>
      <c r="G111" s="171"/>
      <c r="H111" s="171"/>
      <c r="I111" s="171"/>
      <c r="J111" s="171"/>
      <c r="K111" s="171"/>
    </row>
    <row r="112" spans="1:11">
      <c r="A112" s="171"/>
      <c r="B112" s="172"/>
      <c r="C112" s="171"/>
      <c r="D112" s="171"/>
      <c r="E112" s="172"/>
      <c r="F112" s="171"/>
      <c r="G112" s="171"/>
      <c r="H112" s="171"/>
      <c r="I112" s="171"/>
      <c r="J112" s="171"/>
      <c r="K112" s="171"/>
    </row>
    <row r="113" spans="1:6">
      <c r="A113" s="176" t="s">
        <v>234</v>
      </c>
      <c r="B113" s="172" t="s">
        <v>233</v>
      </c>
      <c r="C113" s="171"/>
      <c r="D113" s="171"/>
      <c r="E113" s="171"/>
      <c r="F113" s="171"/>
    </row>
    <row r="114" spans="1:6">
      <c r="A114" s="173" t="s">
        <v>340</v>
      </c>
      <c r="B114" s="171" t="s">
        <v>341</v>
      </c>
      <c r="C114" s="171"/>
      <c r="D114" s="171"/>
      <c r="E114" s="171"/>
      <c r="F114" s="201">
        <v>0.52059754085453502</v>
      </c>
    </row>
    <row r="115" spans="1:6">
      <c r="A115" s="173"/>
      <c r="B115" s="172"/>
      <c r="C115" s="171"/>
      <c r="D115" s="171"/>
      <c r="E115" s="171"/>
      <c r="F115" s="171"/>
    </row>
    <row r="116" spans="1:6">
      <c r="A116" s="173"/>
      <c r="B116" s="172" t="s">
        <v>235</v>
      </c>
      <c r="C116" s="171"/>
      <c r="D116" s="171"/>
      <c r="E116" s="171"/>
      <c r="F116" s="171"/>
    </row>
    <row r="117" spans="1:6">
      <c r="A117" s="173" t="s">
        <v>342</v>
      </c>
      <c r="B117" s="171" t="s">
        <v>236</v>
      </c>
      <c r="C117" s="171"/>
      <c r="D117" s="171"/>
      <c r="E117" s="171"/>
      <c r="F117" s="178">
        <v>489294000</v>
      </c>
    </row>
    <row r="118" spans="1:6">
      <c r="A118" s="173" t="s">
        <v>343</v>
      </c>
      <c r="B118" s="171" t="s">
        <v>237</v>
      </c>
      <c r="C118" s="171"/>
      <c r="D118" s="171"/>
      <c r="E118" s="171"/>
      <c r="F118" s="178">
        <v>45223000</v>
      </c>
    </row>
    <row r="119" spans="1:6">
      <c r="A119" s="173" t="s">
        <v>344</v>
      </c>
      <c r="B119" s="172" t="s">
        <v>238</v>
      </c>
      <c r="C119" s="171"/>
      <c r="D119" s="171"/>
      <c r="E119" s="171"/>
      <c r="F119" s="185">
        <f>SUM(F117:F118)</f>
        <v>534517000</v>
      </c>
    </row>
    <row r="120" spans="1:6">
      <c r="A120" s="173"/>
      <c r="B120" s="172"/>
      <c r="C120" s="171"/>
      <c r="D120" s="171"/>
      <c r="E120" s="171"/>
      <c r="F120" s="171"/>
    </row>
    <row r="121" spans="1:6">
      <c r="A121" s="173" t="s">
        <v>345</v>
      </c>
      <c r="B121" s="172" t="s">
        <v>346</v>
      </c>
      <c r="C121" s="171"/>
      <c r="D121" s="171"/>
      <c r="E121" s="171"/>
      <c r="F121" s="178">
        <v>541313000</v>
      </c>
    </row>
    <row r="122" spans="1:6">
      <c r="A122" s="173"/>
      <c r="B122" s="171"/>
      <c r="C122" s="171"/>
      <c r="D122" s="171"/>
      <c r="E122" s="171"/>
      <c r="F122" s="171"/>
    </row>
    <row r="123" spans="1:6">
      <c r="A123" s="173" t="s">
        <v>347</v>
      </c>
      <c r="B123" s="172" t="s">
        <v>348</v>
      </c>
      <c r="C123" s="171"/>
      <c r="D123" s="171"/>
      <c r="E123" s="171"/>
      <c r="F123" s="178">
        <v>-6796000</v>
      </c>
    </row>
    <row r="124" spans="1:6">
      <c r="A124" s="173"/>
      <c r="B124" s="171"/>
      <c r="C124" s="171"/>
      <c r="D124" s="171"/>
      <c r="E124" s="171"/>
      <c r="F124" s="171"/>
    </row>
    <row r="125" spans="1:6">
      <c r="A125" s="173" t="s">
        <v>349</v>
      </c>
      <c r="B125" s="172" t="s">
        <v>350</v>
      </c>
      <c r="C125" s="171"/>
      <c r="D125" s="171"/>
      <c r="E125" s="171"/>
      <c r="F125" s="178">
        <v>5636000</v>
      </c>
    </row>
    <row r="126" spans="1:6">
      <c r="A126" s="173"/>
      <c r="B126" s="171"/>
      <c r="C126" s="171"/>
      <c r="D126" s="171"/>
      <c r="E126" s="171"/>
      <c r="F126" s="171"/>
    </row>
    <row r="127" spans="1:6">
      <c r="A127" s="173" t="s">
        <v>351</v>
      </c>
      <c r="B127" s="172" t="s">
        <v>352</v>
      </c>
      <c r="C127" s="171"/>
      <c r="D127" s="171"/>
      <c r="E127" s="171"/>
      <c r="F127" s="178">
        <v>-1160000</v>
      </c>
    </row>
    <row r="128" spans="1:6">
      <c r="A128" s="173"/>
      <c r="B128" s="171"/>
      <c r="C128" s="171"/>
      <c r="D128" s="171"/>
      <c r="E128" s="171"/>
      <c r="F128" s="171"/>
    </row>
    <row r="129" spans="1:11" ht="26.25">
      <c r="A129" s="171"/>
      <c r="B129" s="171"/>
      <c r="C129" s="171"/>
      <c r="D129" s="171"/>
      <c r="E129" s="171"/>
      <c r="F129" s="175" t="s">
        <v>145</v>
      </c>
      <c r="G129" s="175" t="s">
        <v>146</v>
      </c>
      <c r="H129" s="175" t="s">
        <v>147</v>
      </c>
      <c r="I129" s="175" t="s">
        <v>148</v>
      </c>
      <c r="J129" s="175" t="s">
        <v>149</v>
      </c>
      <c r="K129" s="175" t="s">
        <v>150</v>
      </c>
    </row>
    <row r="130" spans="1:11">
      <c r="A130" s="176" t="s">
        <v>239</v>
      </c>
      <c r="B130" s="172" t="s">
        <v>240</v>
      </c>
      <c r="C130" s="171"/>
      <c r="D130" s="171"/>
      <c r="E130" s="171"/>
      <c r="F130" s="171"/>
      <c r="G130" s="171"/>
      <c r="H130" s="171"/>
      <c r="I130" s="171"/>
      <c r="J130" s="171"/>
      <c r="K130" s="171"/>
    </row>
    <row r="131" spans="1:11">
      <c r="A131" s="173" t="s">
        <v>353</v>
      </c>
      <c r="B131" s="171" t="s">
        <v>242</v>
      </c>
      <c r="C131" s="171"/>
      <c r="D131" s="171"/>
      <c r="E131" s="171"/>
      <c r="F131" s="177"/>
      <c r="G131" s="177"/>
      <c r="H131" s="178"/>
      <c r="I131" s="202">
        <v>0</v>
      </c>
      <c r="J131" s="178"/>
      <c r="K131" s="179">
        <v>0</v>
      </c>
    </row>
    <row r="132" spans="1:11">
      <c r="A132" s="173" t="s">
        <v>354</v>
      </c>
      <c r="B132" s="171" t="s">
        <v>128</v>
      </c>
      <c r="C132" s="171"/>
      <c r="D132" s="171"/>
      <c r="E132" s="171"/>
      <c r="F132" s="177"/>
      <c r="G132" s="177"/>
      <c r="H132" s="178"/>
      <c r="I132" s="202">
        <v>0</v>
      </c>
      <c r="J132" s="178"/>
      <c r="K132" s="179">
        <v>0</v>
      </c>
    </row>
    <row r="133" spans="1:11">
      <c r="A133" s="173" t="s">
        <v>355</v>
      </c>
      <c r="B133" s="933"/>
      <c r="C133" s="934"/>
      <c r="D133" s="935"/>
      <c r="E133" s="171"/>
      <c r="F133" s="177"/>
      <c r="G133" s="177"/>
      <c r="H133" s="178"/>
      <c r="I133" s="202">
        <v>0</v>
      </c>
      <c r="J133" s="178"/>
      <c r="K133" s="179">
        <v>0</v>
      </c>
    </row>
    <row r="134" spans="1:11">
      <c r="A134" s="173" t="s">
        <v>356</v>
      </c>
      <c r="B134" s="933"/>
      <c r="C134" s="934"/>
      <c r="D134" s="935"/>
      <c r="E134" s="171"/>
      <c r="F134" s="177"/>
      <c r="G134" s="177"/>
      <c r="H134" s="178"/>
      <c r="I134" s="202">
        <v>0</v>
      </c>
      <c r="J134" s="178"/>
      <c r="K134" s="179">
        <v>0</v>
      </c>
    </row>
    <row r="135" spans="1:11">
      <c r="A135" s="173" t="s">
        <v>357</v>
      </c>
      <c r="B135" s="933"/>
      <c r="C135" s="934"/>
      <c r="D135" s="935"/>
      <c r="E135" s="171"/>
      <c r="F135" s="177"/>
      <c r="G135" s="177"/>
      <c r="H135" s="178"/>
      <c r="I135" s="202">
        <v>0</v>
      </c>
      <c r="J135" s="178"/>
      <c r="K135" s="179">
        <v>0</v>
      </c>
    </row>
    <row r="136" spans="1:11">
      <c r="A136" s="176"/>
      <c r="B136" s="171"/>
      <c r="C136" s="171"/>
      <c r="D136" s="171"/>
      <c r="E136" s="171"/>
      <c r="F136" s="171"/>
      <c r="G136" s="171"/>
      <c r="H136" s="171"/>
      <c r="I136" s="171"/>
      <c r="J136" s="171"/>
      <c r="K136" s="171"/>
    </row>
    <row r="137" spans="1:11">
      <c r="A137" s="176" t="s">
        <v>358</v>
      </c>
      <c r="B137" s="172" t="s">
        <v>359</v>
      </c>
      <c r="C137" s="171"/>
      <c r="D137" s="171"/>
      <c r="E137" s="171"/>
      <c r="F137" s="181">
        <v>0</v>
      </c>
      <c r="G137" s="181">
        <v>0</v>
      </c>
      <c r="H137" s="179">
        <v>0</v>
      </c>
      <c r="I137" s="179">
        <v>0</v>
      </c>
      <c r="J137" s="179">
        <v>0</v>
      </c>
      <c r="K137" s="179">
        <v>0</v>
      </c>
    </row>
    <row r="138" spans="1:11">
      <c r="A138" s="171"/>
      <c r="B138" s="171"/>
      <c r="C138" s="171"/>
      <c r="D138" s="171"/>
      <c r="E138" s="171"/>
      <c r="F138" s="171"/>
      <c r="G138" s="171"/>
      <c r="H138" s="171"/>
      <c r="I138" s="171"/>
      <c r="J138" s="171"/>
      <c r="K138" s="171"/>
    </row>
    <row r="139" spans="1:11" ht="26.25">
      <c r="A139" s="171"/>
      <c r="B139" s="171"/>
      <c r="C139" s="171"/>
      <c r="D139" s="171"/>
      <c r="E139" s="171"/>
      <c r="F139" s="175" t="s">
        <v>145</v>
      </c>
      <c r="G139" s="175" t="s">
        <v>146</v>
      </c>
      <c r="H139" s="175" t="s">
        <v>147</v>
      </c>
      <c r="I139" s="175" t="s">
        <v>148</v>
      </c>
      <c r="J139" s="175" t="s">
        <v>149</v>
      </c>
      <c r="K139" s="175" t="s">
        <v>150</v>
      </c>
    </row>
    <row r="140" spans="1:11">
      <c r="A140" s="176" t="s">
        <v>244</v>
      </c>
      <c r="B140" s="172" t="s">
        <v>245</v>
      </c>
      <c r="C140" s="171"/>
      <c r="D140" s="171"/>
      <c r="E140" s="171"/>
      <c r="F140" s="171"/>
      <c r="G140" s="171"/>
      <c r="H140" s="171"/>
      <c r="I140" s="171"/>
      <c r="J140" s="171"/>
      <c r="K140" s="171"/>
    </row>
    <row r="141" spans="1:11">
      <c r="A141" s="173" t="s">
        <v>275</v>
      </c>
      <c r="B141" s="172" t="s">
        <v>246</v>
      </c>
      <c r="C141" s="171"/>
      <c r="D141" s="171"/>
      <c r="E141" s="171"/>
      <c r="F141" s="203">
        <v>26307.599999999999</v>
      </c>
      <c r="G141" s="203">
        <v>330892.69999999995</v>
      </c>
      <c r="H141" s="251">
        <v>3097510.3160120002</v>
      </c>
      <c r="I141" s="251">
        <v>882166.00815804978</v>
      </c>
      <c r="J141" s="251">
        <v>0</v>
      </c>
      <c r="K141" s="251">
        <v>3979676.3241700493</v>
      </c>
    </row>
    <row r="142" spans="1:11">
      <c r="A142" s="173" t="s">
        <v>286</v>
      </c>
      <c r="B142" s="172" t="s">
        <v>125</v>
      </c>
      <c r="C142" s="171"/>
      <c r="D142" s="171"/>
      <c r="E142" s="171"/>
      <c r="F142" s="203">
        <v>44854.604299999999</v>
      </c>
      <c r="G142" s="203">
        <v>3273</v>
      </c>
      <c r="H142" s="251">
        <v>23881341.705313984</v>
      </c>
      <c r="I142" s="251">
        <v>0</v>
      </c>
      <c r="J142" s="251">
        <v>0</v>
      </c>
      <c r="K142" s="251">
        <v>23881341.705313984</v>
      </c>
    </row>
    <row r="143" spans="1:11">
      <c r="A143" s="173" t="s">
        <v>305</v>
      </c>
      <c r="B143" s="172" t="s">
        <v>247</v>
      </c>
      <c r="C143" s="171"/>
      <c r="D143" s="171"/>
      <c r="E143" s="171"/>
      <c r="F143" s="203">
        <v>3897</v>
      </c>
      <c r="G143" s="203">
        <v>547</v>
      </c>
      <c r="H143" s="251">
        <v>5173855.10341</v>
      </c>
      <c r="I143" s="251">
        <v>0</v>
      </c>
      <c r="J143" s="251">
        <v>894486</v>
      </c>
      <c r="K143" s="251">
        <v>4279369.10341</v>
      </c>
    </row>
    <row r="144" spans="1:11">
      <c r="A144" s="173" t="s">
        <v>311</v>
      </c>
      <c r="B144" s="172" t="s">
        <v>127</v>
      </c>
      <c r="C144" s="171"/>
      <c r="D144" s="171"/>
      <c r="E144" s="171"/>
      <c r="F144" s="203">
        <v>48</v>
      </c>
      <c r="G144" s="203">
        <v>0</v>
      </c>
      <c r="H144" s="251">
        <v>33835.828029999997</v>
      </c>
      <c r="I144" s="251">
        <v>0</v>
      </c>
      <c r="J144" s="251">
        <v>0</v>
      </c>
      <c r="K144" s="251">
        <v>33835.828029999997</v>
      </c>
    </row>
    <row r="145" spans="1:11">
      <c r="A145" s="173" t="s">
        <v>317</v>
      </c>
      <c r="B145" s="172" t="s">
        <v>248</v>
      </c>
      <c r="C145" s="171"/>
      <c r="D145" s="171"/>
      <c r="E145" s="171"/>
      <c r="F145" s="203">
        <v>6436.73</v>
      </c>
      <c r="G145" s="203">
        <v>29237</v>
      </c>
      <c r="H145" s="251">
        <v>2098951.0569099998</v>
      </c>
      <c r="I145" s="251">
        <v>175635.07073945855</v>
      </c>
      <c r="J145" s="251">
        <v>0</v>
      </c>
      <c r="K145" s="251">
        <v>2274586.1276494586</v>
      </c>
    </row>
    <row r="146" spans="1:11">
      <c r="A146" s="173" t="s">
        <v>331</v>
      </c>
      <c r="B146" s="172" t="s">
        <v>249</v>
      </c>
      <c r="C146" s="171"/>
      <c r="D146" s="171"/>
      <c r="E146" s="171"/>
      <c r="F146" s="203">
        <v>1549.5</v>
      </c>
      <c r="G146" s="203">
        <v>3542</v>
      </c>
      <c r="H146" s="251">
        <v>161977.78357000003</v>
      </c>
      <c r="I146" s="251">
        <v>84325.23579961012</v>
      </c>
      <c r="J146" s="251">
        <v>2430</v>
      </c>
      <c r="K146" s="251">
        <v>243873.01936961012</v>
      </c>
    </row>
    <row r="147" spans="1:11">
      <c r="A147" s="173" t="s">
        <v>338</v>
      </c>
      <c r="B147" s="172" t="s">
        <v>129</v>
      </c>
      <c r="C147" s="171"/>
      <c r="D147" s="171"/>
      <c r="E147" s="171"/>
      <c r="F147" s="181">
        <v>2797</v>
      </c>
      <c r="G147" s="181">
        <v>573</v>
      </c>
      <c r="H147" s="252">
        <v>105927.10539000001</v>
      </c>
      <c r="I147" s="252">
        <v>55145.390575873163</v>
      </c>
      <c r="J147" s="252">
        <v>0</v>
      </c>
      <c r="K147" s="252">
        <v>161072.49596587318</v>
      </c>
    </row>
    <row r="148" spans="1:11">
      <c r="A148" s="173" t="s">
        <v>339</v>
      </c>
      <c r="B148" s="172" t="s">
        <v>131</v>
      </c>
      <c r="C148" s="171"/>
      <c r="D148" s="171"/>
      <c r="E148" s="171"/>
      <c r="F148" s="204" t="s">
        <v>122</v>
      </c>
      <c r="G148" s="204" t="s">
        <v>122</v>
      </c>
      <c r="H148" s="205" t="s">
        <v>122</v>
      </c>
      <c r="I148" s="205" t="s">
        <v>122</v>
      </c>
      <c r="J148" s="205" t="s">
        <v>122</v>
      </c>
      <c r="K148" s="253">
        <f>+F111</f>
        <v>26313000</v>
      </c>
    </row>
    <row r="149" spans="1:11">
      <c r="A149" s="173" t="s">
        <v>358</v>
      </c>
      <c r="B149" s="172" t="s">
        <v>250</v>
      </c>
      <c r="C149" s="171"/>
      <c r="D149" s="171"/>
      <c r="E149" s="171"/>
      <c r="F149" s="181">
        <f>F137</f>
        <v>0</v>
      </c>
      <c r="G149" s="181">
        <v>0</v>
      </c>
      <c r="H149" s="181">
        <v>0</v>
      </c>
      <c r="I149" s="181">
        <v>0</v>
      </c>
      <c r="J149" s="181">
        <v>0</v>
      </c>
      <c r="K149" s="181">
        <v>0</v>
      </c>
    </row>
    <row r="150" spans="1:11">
      <c r="A150" s="173" t="s">
        <v>259</v>
      </c>
      <c r="B150" s="172" t="s">
        <v>153</v>
      </c>
      <c r="C150" s="171"/>
      <c r="D150" s="171"/>
      <c r="E150" s="171"/>
      <c r="F150" s="204" t="s">
        <v>122</v>
      </c>
      <c r="G150" s="204" t="s">
        <v>122</v>
      </c>
      <c r="H150" s="181">
        <f>H18</f>
        <v>2166391</v>
      </c>
      <c r="I150" s="181">
        <f>I18</f>
        <v>0</v>
      </c>
      <c r="J150" s="181">
        <f>J18</f>
        <v>0</v>
      </c>
      <c r="K150" s="181">
        <f>K18</f>
        <v>2166391</v>
      </c>
    </row>
    <row r="151" spans="1:11">
      <c r="A151" s="171"/>
      <c r="B151" s="172"/>
      <c r="C151" s="171"/>
      <c r="D151" s="171"/>
      <c r="E151" s="171"/>
      <c r="F151" s="188"/>
      <c r="G151" s="188"/>
      <c r="H151" s="188"/>
      <c r="I151" s="188"/>
      <c r="J151" s="188"/>
      <c r="K151" s="188"/>
    </row>
    <row r="152" spans="1:11">
      <c r="A152" s="176" t="s">
        <v>360</v>
      </c>
      <c r="B152" s="172" t="s">
        <v>245</v>
      </c>
      <c r="C152" s="171"/>
      <c r="D152" s="171"/>
      <c r="E152" s="171"/>
      <c r="F152" s="206">
        <f t="shared" ref="F152:K152" si="7">SUM(F141:F150)</f>
        <v>85890.434299999994</v>
      </c>
      <c r="G152" s="206">
        <f t="shared" si="7"/>
        <v>368064.69999999995</v>
      </c>
      <c r="H152" s="252">
        <f t="shared" si="7"/>
        <v>36719789.898635976</v>
      </c>
      <c r="I152" s="252">
        <f t="shared" si="7"/>
        <v>1197271.7052729917</v>
      </c>
      <c r="J152" s="252">
        <f t="shared" si="7"/>
        <v>896916</v>
      </c>
      <c r="K152" s="252">
        <f t="shared" si="7"/>
        <v>63333145.603908978</v>
      </c>
    </row>
    <row r="154" spans="1:11">
      <c r="A154" s="176" t="s">
        <v>361</v>
      </c>
      <c r="B154" s="172" t="s">
        <v>252</v>
      </c>
      <c r="C154" s="171"/>
      <c r="D154" s="171"/>
      <c r="E154" s="171"/>
      <c r="F154" s="254">
        <f>K152/F121</f>
        <v>0.11699912177226296</v>
      </c>
      <c r="G154" s="171"/>
      <c r="H154" s="171"/>
      <c r="I154" s="171"/>
      <c r="J154" s="171"/>
      <c r="K154" s="171"/>
    </row>
    <row r="155" spans="1:11">
      <c r="A155" s="176" t="s">
        <v>362</v>
      </c>
      <c r="B155" s="172" t="s">
        <v>253</v>
      </c>
      <c r="C155" s="171"/>
      <c r="D155" s="171"/>
      <c r="E155" s="171"/>
      <c r="F155" s="254">
        <f>K152/F127</f>
        <v>-54.597539313714634</v>
      </c>
      <c r="G155" s="172"/>
      <c r="H155" s="171"/>
      <c r="I155" s="171"/>
      <c r="J155" s="171"/>
      <c r="K155" s="171"/>
    </row>
    <row r="156" spans="1:11">
      <c r="A156" s="171"/>
      <c r="B156" s="171"/>
      <c r="C156" s="171"/>
      <c r="D156" s="171"/>
      <c r="E156" s="171"/>
      <c r="F156" s="171"/>
      <c r="G156" s="172"/>
      <c r="H156" s="171"/>
      <c r="I156" s="171"/>
      <c r="J156" s="171"/>
      <c r="K156" s="171"/>
    </row>
  </sheetData>
  <mergeCells count="28">
    <mergeCell ref="C10:G10"/>
    <mergeCell ref="D2:H2"/>
    <mergeCell ref="C5:G5"/>
    <mergeCell ref="C6:G6"/>
    <mergeCell ref="C7:G7"/>
    <mergeCell ref="C9:G9"/>
    <mergeCell ref="B106:D106"/>
    <mergeCell ref="B133:D133"/>
    <mergeCell ref="B134:D134"/>
    <mergeCell ref="B135:D135"/>
    <mergeCell ref="C11:G11"/>
    <mergeCell ref="B13:H13"/>
    <mergeCell ref="A16:B16"/>
    <mergeCell ref="A19:B19"/>
    <mergeCell ref="B30:D30"/>
    <mergeCell ref="B31:D31"/>
    <mergeCell ref="B34:D34"/>
    <mergeCell ref="B41:C41"/>
    <mergeCell ref="B95:D95"/>
    <mergeCell ref="B96:D96"/>
    <mergeCell ref="B103:C103"/>
    <mergeCell ref="B104:D104"/>
    <mergeCell ref="B105:D105"/>
    <mergeCell ref="B52:C52"/>
    <mergeCell ref="B60:D60"/>
    <mergeCell ref="B61:D61"/>
    <mergeCell ref="B90:C90"/>
    <mergeCell ref="B94:D9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41" workbookViewId="0">
      <selection activeCell="B43" sqref="B43"/>
    </sheetView>
  </sheetViews>
  <sheetFormatPr defaultRowHeight="12.75"/>
  <cols>
    <col min="1" max="1" width="8.28515625" style="39" customWidth="1"/>
    <col min="2" max="2" width="55.42578125" style="40" bestFit="1" customWidth="1"/>
    <col min="3" max="3" width="6.5703125" style="40" customWidth="1"/>
    <col min="4" max="4" width="4.7109375" style="40" customWidth="1"/>
    <col min="5" max="5" width="12.42578125" style="40" customWidth="1"/>
    <col min="6" max="6" width="18.5703125" style="40" customWidth="1"/>
    <col min="7" max="7" width="23.5703125" style="40" customWidth="1"/>
    <col min="8" max="8" width="17.140625" style="209" customWidth="1"/>
    <col min="9" max="9" width="21.140625" style="209" customWidth="1"/>
    <col min="10" max="10" width="19.85546875" style="209" customWidth="1"/>
    <col min="11" max="11" width="17.5703125" style="40" customWidth="1"/>
    <col min="12" max="16384" width="9.140625" style="40"/>
  </cols>
  <sheetData>
    <row r="1" spans="1:11" ht="18" customHeight="1">
      <c r="C1" s="41"/>
      <c r="D1" s="42"/>
      <c r="E1" s="41"/>
      <c r="F1" s="41"/>
      <c r="G1" s="41"/>
      <c r="H1" s="208"/>
      <c r="I1" s="208"/>
      <c r="J1" s="208"/>
      <c r="K1" s="41"/>
    </row>
    <row r="2" spans="1:11" ht="18" customHeight="1">
      <c r="D2" s="238" t="s">
        <v>133</v>
      </c>
      <c r="E2" s="238"/>
      <c r="F2" s="238"/>
      <c r="G2" s="238"/>
      <c r="H2" s="238"/>
    </row>
    <row r="3" spans="1:11" ht="18" customHeight="1">
      <c r="B3" s="43" t="s">
        <v>134</v>
      </c>
    </row>
    <row r="5" spans="1:11" ht="18" customHeight="1">
      <c r="B5" s="45" t="s">
        <v>135</v>
      </c>
      <c r="C5" s="961" t="s">
        <v>564</v>
      </c>
      <c r="D5" s="962"/>
      <c r="E5" s="962"/>
      <c r="F5" s="962"/>
      <c r="G5" s="963"/>
    </row>
    <row r="6" spans="1:11" ht="18" customHeight="1">
      <c r="B6" s="45" t="s">
        <v>136</v>
      </c>
      <c r="C6" s="961">
        <v>210030</v>
      </c>
      <c r="D6" s="962"/>
      <c r="E6" s="962"/>
      <c r="F6" s="962"/>
      <c r="G6" s="963"/>
    </row>
    <row r="7" spans="1:11" ht="18" customHeight="1">
      <c r="B7" s="45" t="s">
        <v>137</v>
      </c>
      <c r="C7" s="964">
        <v>360</v>
      </c>
      <c r="D7" s="965"/>
      <c r="E7" s="965"/>
      <c r="F7" s="965"/>
      <c r="G7" s="965"/>
    </row>
    <row r="9" spans="1:11" ht="18" customHeight="1">
      <c r="B9" s="45" t="s">
        <v>138</v>
      </c>
      <c r="C9" s="959" t="s">
        <v>565</v>
      </c>
      <c r="D9" s="960"/>
      <c r="E9" s="960"/>
      <c r="F9" s="960"/>
      <c r="G9" s="960"/>
    </row>
    <row r="10" spans="1:11" ht="18" customHeight="1">
      <c r="B10" s="45" t="s">
        <v>140</v>
      </c>
      <c r="C10" s="959" t="s">
        <v>566</v>
      </c>
      <c r="D10" s="960"/>
      <c r="E10" s="960"/>
      <c r="F10" s="960"/>
      <c r="G10" s="960"/>
    </row>
    <row r="11" spans="1:11" ht="18" customHeight="1">
      <c r="B11" s="45" t="s">
        <v>142</v>
      </c>
      <c r="C11" s="959" t="s">
        <v>567</v>
      </c>
      <c r="D11" s="960"/>
      <c r="E11" s="960"/>
      <c r="F11" s="960"/>
      <c r="G11" s="960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208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211" t="s">
        <v>147</v>
      </c>
      <c r="I16" s="211" t="s">
        <v>148</v>
      </c>
      <c r="J16" s="211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214">
        <f>+[12]CRH!E279</f>
        <v>1682732</v>
      </c>
      <c r="I18" s="215">
        <v>0</v>
      </c>
      <c r="J18" s="214">
        <f>+[12]CRH!D279</f>
        <v>1438947</v>
      </c>
      <c r="K18" s="53">
        <f>(H18+I18)-J18</f>
        <v>243785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211" t="s">
        <v>147</v>
      </c>
      <c r="I19" s="211" t="s">
        <v>148</v>
      </c>
      <c r="J19" s="211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f>+'[12]CRH Com Ben Rpt 2013'!E27</f>
        <v>463</v>
      </c>
      <c r="G21" s="50">
        <f>+'[12]CRH Com Ben Rpt 2013'!F27</f>
        <v>3699</v>
      </c>
      <c r="H21" s="214">
        <f>+'[12]CRH Com Ben Rpt 2013'!G27</f>
        <v>18892.868709737631</v>
      </c>
      <c r="I21" s="214">
        <f>+'[12]CRH Com Ben Rpt 2013'!H27</f>
        <v>15865.023243299096</v>
      </c>
      <c r="J21" s="214">
        <f>+'[12]CRH Com Ben Rpt 2013'!I27</f>
        <v>0</v>
      </c>
      <c r="K21" s="53">
        <f t="shared" ref="K21:K34" si="0">(H21+I21)-J21</f>
        <v>34757.891953036728</v>
      </c>
    </row>
    <row r="22" spans="1:11" ht="18" customHeight="1">
      <c r="A22" s="45" t="s">
        <v>261</v>
      </c>
      <c r="B22" s="40" t="s">
        <v>157</v>
      </c>
      <c r="F22" s="50">
        <f>+'[12]CRH Com Ben Rpt 2013'!E32</f>
        <v>187</v>
      </c>
      <c r="G22" s="50">
        <f>+'[12]CRH Com Ben Rpt 2013'!F32</f>
        <v>603</v>
      </c>
      <c r="H22" s="50">
        <f>+'[12]CRH Com Ben Rpt 2013'!G32</f>
        <v>8630.5970814707052</v>
      </c>
      <c r="I22" s="50">
        <f>+'[12]CRH Com Ben Rpt 2013'!H32</f>
        <v>7247.4236392967332</v>
      </c>
      <c r="J22" s="50">
        <f>+'[12]CRH Com Ben Rpt 2013'!I32</f>
        <v>0</v>
      </c>
      <c r="K22" s="53">
        <f t="shared" si="0"/>
        <v>15878.020720767439</v>
      </c>
    </row>
    <row r="23" spans="1:11" ht="18" customHeight="1">
      <c r="A23" s="45" t="s">
        <v>262</v>
      </c>
      <c r="B23" s="40" t="s">
        <v>158</v>
      </c>
      <c r="F23" s="50">
        <f>+'[12]CRH Com Ben Rpt 2013'!E33</f>
        <v>0</v>
      </c>
      <c r="G23" s="50">
        <f>+'[12]CRH Com Ben Rpt 2013'!F33</f>
        <v>0</v>
      </c>
      <c r="H23" s="50">
        <f>+'[12]CRH Com Ben Rpt 2013'!G33</f>
        <v>0</v>
      </c>
      <c r="I23" s="215">
        <f t="shared" ref="I23:I34" si="1">H23*F$114</f>
        <v>0</v>
      </c>
      <c r="J23" s="50">
        <f>+'[12]CRH Com Ben Rpt 2013'!I33</f>
        <v>0</v>
      </c>
      <c r="K23" s="53">
        <f t="shared" si="0"/>
        <v>0</v>
      </c>
    </row>
    <row r="24" spans="1:11" ht="18" customHeight="1">
      <c r="A24" s="45" t="s">
        <v>263</v>
      </c>
      <c r="B24" s="40" t="s">
        <v>159</v>
      </c>
      <c r="F24" s="50">
        <f>+[12]CRH!K121</f>
        <v>500</v>
      </c>
      <c r="G24" s="50">
        <f>+[12]CRH!K119</f>
        <v>63</v>
      </c>
      <c r="H24" s="214">
        <f>+[12]CRH!K120</f>
        <v>20402.66599323718</v>
      </c>
      <c r="I24" s="215">
        <f>+[12]CRH!K125</f>
        <v>17132.854474405071</v>
      </c>
      <c r="J24" s="214">
        <v>0</v>
      </c>
      <c r="K24" s="53">
        <f t="shared" si="0"/>
        <v>37535.520467642251</v>
      </c>
    </row>
    <row r="25" spans="1:11" ht="18" customHeight="1">
      <c r="A25" s="45" t="s">
        <v>264</v>
      </c>
      <c r="B25" s="40" t="s">
        <v>160</v>
      </c>
      <c r="F25" s="50">
        <f>+'[12]CRH Com Ben Rpt 2013'!E37</f>
        <v>8</v>
      </c>
      <c r="G25" s="50">
        <f>+'[12]CRH Com Ben Rpt 2013'!F37</f>
        <v>50</v>
      </c>
      <c r="H25" s="214">
        <f>+'[12]CRH Com Ben Rpt 2013'!G37</f>
        <v>326.44265589179486</v>
      </c>
      <c r="I25" s="215">
        <f>+'[12]CRH Com Ben Rpt 2013'!H37</f>
        <v>274.12567159048109</v>
      </c>
      <c r="J25" s="214">
        <f>+'[12]CRH Com Ben Rpt 2013'!I37</f>
        <v>0</v>
      </c>
      <c r="K25" s="53">
        <f t="shared" si="0"/>
        <v>600.56832748227589</v>
      </c>
    </row>
    <row r="26" spans="1:11" ht="18" customHeight="1">
      <c r="A26" s="45" t="s">
        <v>265</v>
      </c>
      <c r="B26" s="40" t="s">
        <v>161</v>
      </c>
      <c r="F26" s="50"/>
      <c r="G26" s="50"/>
      <c r="H26" s="214"/>
      <c r="I26" s="215">
        <f t="shared" si="1"/>
        <v>0</v>
      </c>
      <c r="J26" s="214"/>
      <c r="K26" s="53">
        <f t="shared" si="0"/>
        <v>0</v>
      </c>
    </row>
    <row r="27" spans="1:11" ht="18" customHeight="1">
      <c r="A27" s="45" t="s">
        <v>266</v>
      </c>
      <c r="B27" s="40" t="s">
        <v>162</v>
      </c>
      <c r="F27" s="50"/>
      <c r="G27" s="50"/>
      <c r="H27" s="214"/>
      <c r="I27" s="215">
        <f t="shared" si="1"/>
        <v>0</v>
      </c>
      <c r="J27" s="214"/>
      <c r="K27" s="53">
        <f t="shared" si="0"/>
        <v>0</v>
      </c>
    </row>
    <row r="28" spans="1:11" ht="18" customHeight="1">
      <c r="A28" s="45" t="s">
        <v>267</v>
      </c>
      <c r="B28" s="40" t="s">
        <v>163</v>
      </c>
      <c r="F28" s="50"/>
      <c r="G28" s="50"/>
      <c r="H28" s="214"/>
      <c r="I28" s="215">
        <f t="shared" si="1"/>
        <v>0</v>
      </c>
      <c r="J28" s="214"/>
      <c r="K28" s="53">
        <f t="shared" si="0"/>
        <v>0</v>
      </c>
    </row>
    <row r="29" spans="1:11" ht="18" customHeight="1">
      <c r="A29" s="45" t="s">
        <v>268</v>
      </c>
      <c r="B29" s="40" t="s">
        <v>165</v>
      </c>
      <c r="F29" s="50">
        <f>+'[12]CRH Com Ben Rpt 2013'!E40</f>
        <v>0</v>
      </c>
      <c r="G29" s="50">
        <v>447</v>
      </c>
      <c r="H29" s="255">
        <v>240123.9</v>
      </c>
      <c r="I29" s="215">
        <f t="shared" si="1"/>
        <v>201640.6991071782</v>
      </c>
      <c r="J29" s="214"/>
      <c r="K29" s="53">
        <f t="shared" si="0"/>
        <v>441764.59910717816</v>
      </c>
    </row>
    <row r="30" spans="1:11" ht="18" customHeight="1">
      <c r="A30" s="45" t="s">
        <v>269</v>
      </c>
      <c r="B30" s="814"/>
      <c r="C30" s="815"/>
      <c r="D30" s="816"/>
      <c r="F30" s="50">
        <f>+'[12]CRH Com Ben Rpt 2013'!E43</f>
        <v>0</v>
      </c>
      <c r="G30" s="50">
        <f>+'[12]CRH Com Ben Rpt 2013'!F43</f>
        <v>0</v>
      </c>
      <c r="H30" s="214">
        <f>+'[12]CRH Com Ben Rpt 2013'!G43</f>
        <v>0</v>
      </c>
      <c r="I30" s="215">
        <f>+'[12]CRH Com Ben Rpt 2013'!H43</f>
        <v>0</v>
      </c>
      <c r="J30" s="214">
        <f>+'[12]CRH Com Ben Rpt 2013'!I43</f>
        <v>0</v>
      </c>
      <c r="K30" s="53">
        <f t="shared" si="0"/>
        <v>0</v>
      </c>
    </row>
    <row r="31" spans="1:11" ht="18" customHeight="1">
      <c r="A31" s="45" t="s">
        <v>270</v>
      </c>
      <c r="B31" s="814"/>
      <c r="C31" s="815"/>
      <c r="D31" s="816"/>
      <c r="F31" s="50"/>
      <c r="G31" s="50"/>
      <c r="H31" s="214"/>
      <c r="I31" s="215">
        <f t="shared" si="1"/>
        <v>0</v>
      </c>
      <c r="J31" s="214"/>
      <c r="K31" s="53">
        <f t="shared" si="0"/>
        <v>0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214"/>
      <c r="I32" s="215">
        <f t="shared" si="1"/>
        <v>0</v>
      </c>
      <c r="J32" s="214"/>
      <c r="K32" s="53">
        <f t="shared" si="0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214"/>
      <c r="I33" s="215">
        <f t="shared" si="1"/>
        <v>0</v>
      </c>
      <c r="J33" s="214"/>
      <c r="K33" s="53">
        <f t="shared" si="0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214"/>
      <c r="I34" s="215">
        <f t="shared" si="1"/>
        <v>0</v>
      </c>
      <c r="J34" s="214"/>
      <c r="K34" s="53">
        <f t="shared" si="0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1158</v>
      </c>
      <c r="G36" s="59">
        <f t="shared" si="2"/>
        <v>4862</v>
      </c>
      <c r="H36" s="216">
        <f t="shared" si="2"/>
        <v>288376.47444033728</v>
      </c>
      <c r="I36" s="216">
        <f t="shared" si="2"/>
        <v>242160.12613576959</v>
      </c>
      <c r="J36" s="216">
        <f t="shared" si="2"/>
        <v>0</v>
      </c>
      <c r="K36" s="53">
        <f t="shared" si="2"/>
        <v>530536.60057610681</v>
      </c>
    </row>
    <row r="37" spans="1:11" ht="18" customHeight="1" thickBot="1">
      <c r="B37" s="43"/>
      <c r="F37" s="60"/>
      <c r="G37" s="60"/>
      <c r="H37" s="218"/>
      <c r="I37" s="218"/>
      <c r="J37" s="218"/>
      <c r="K37" s="62"/>
    </row>
    <row r="38" spans="1:11" ht="42.75" customHeight="1">
      <c r="F38" s="47" t="s">
        <v>145</v>
      </c>
      <c r="G38" s="47" t="s">
        <v>146</v>
      </c>
      <c r="H38" s="211" t="s">
        <v>147</v>
      </c>
      <c r="I38" s="211" t="s">
        <v>148</v>
      </c>
      <c r="J38" s="211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/>
      <c r="G40" s="50"/>
      <c r="H40" s="214"/>
      <c r="I40" s="215">
        <v>0</v>
      </c>
      <c r="J40" s="214"/>
      <c r="K40" s="53">
        <f t="shared" ref="K40:K47" si="3">(H40+I40)-J40</f>
        <v>0</v>
      </c>
    </row>
    <row r="41" spans="1:11" ht="18" customHeight="1">
      <c r="A41" s="45" t="s">
        <v>278</v>
      </c>
      <c r="B41" s="818" t="s">
        <v>172</v>
      </c>
      <c r="C41" s="819"/>
      <c r="F41" s="50">
        <f>+[12]CRH!H28</f>
        <v>0</v>
      </c>
      <c r="G41" s="50">
        <f>+[12]CRH!H29</f>
        <v>0</v>
      </c>
      <c r="H41" s="214">
        <f>+[12]CRH!F28</f>
        <v>0</v>
      </c>
      <c r="I41" s="215">
        <f>+[12]CRH!E32</f>
        <v>0</v>
      </c>
      <c r="J41" s="214">
        <f>+[12]CRH!H78</f>
        <v>0</v>
      </c>
      <c r="K41" s="53">
        <f t="shared" si="3"/>
        <v>0</v>
      </c>
    </row>
    <row r="42" spans="1:11" ht="18" customHeight="1">
      <c r="A42" s="45" t="s">
        <v>279</v>
      </c>
      <c r="B42" s="49" t="s">
        <v>174</v>
      </c>
      <c r="F42" s="50"/>
      <c r="G42" s="50"/>
      <c r="H42" s="214"/>
      <c r="I42" s="215"/>
      <c r="J42" s="214">
        <f>+'[12]CRH Com Ben Rpt 2013'!I45</f>
        <v>0</v>
      </c>
      <c r="K42" s="53">
        <f t="shared" si="3"/>
        <v>0</v>
      </c>
    </row>
    <row r="43" spans="1:11" ht="18" customHeight="1">
      <c r="A43" s="45" t="s">
        <v>280</v>
      </c>
      <c r="B43" s="49" t="s">
        <v>176</v>
      </c>
      <c r="F43" s="50">
        <f>+'[12]CRH Com Ben Rpt 2013'!E45</f>
        <v>0</v>
      </c>
      <c r="G43" s="50">
        <f>+'[12]CRH Com Ben Rpt 2013'!F45</f>
        <v>0</v>
      </c>
      <c r="H43" s="50">
        <f>+'[12]CRH Com Ben Rpt 2013'!G45</f>
        <v>25000</v>
      </c>
      <c r="I43" s="50">
        <f>+'[12]CRH Com Ben Rpt 2013'!H45</f>
        <v>20993.401646730938</v>
      </c>
      <c r="J43" s="50">
        <f>+'[12]CRH Com Ben Rpt 2013'!I45</f>
        <v>0</v>
      </c>
      <c r="K43" s="53">
        <f t="shared" si="3"/>
        <v>45993.401646730941</v>
      </c>
    </row>
    <row r="44" spans="1:11" ht="18" customHeight="1">
      <c r="A44" s="45" t="s">
        <v>281</v>
      </c>
      <c r="B44" s="814" t="s">
        <v>568</v>
      </c>
      <c r="C44" s="815"/>
      <c r="D44" s="816"/>
      <c r="F44" s="50">
        <f>+'[12]CRH Com Ben Rpt 2013'!E48</f>
        <v>0</v>
      </c>
      <c r="G44" s="50">
        <f>+'[12]CRH Com Ben Rpt 2013'!F48</f>
        <v>0</v>
      </c>
      <c r="H44" s="214">
        <f>+'[12]CRH Com Ben Rpt 2013'!G48</f>
        <v>0</v>
      </c>
      <c r="I44" s="215">
        <f>+'[12]CRH Com Ben Rpt 2013'!H48</f>
        <v>0</v>
      </c>
      <c r="J44" s="214">
        <f>+'[12]CRH Com Ben Rpt 2013'!I48</f>
        <v>0</v>
      </c>
      <c r="K44" s="63">
        <f t="shared" si="3"/>
        <v>0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214"/>
      <c r="I45" s="215">
        <v>0</v>
      </c>
      <c r="J45" s="214"/>
      <c r="K45" s="53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214"/>
      <c r="I46" s="215">
        <v>0</v>
      </c>
      <c r="J46" s="214"/>
      <c r="K46" s="53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214"/>
      <c r="I47" s="215">
        <v>0</v>
      </c>
      <c r="J47" s="214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0</v>
      </c>
      <c r="G49" s="64">
        <f t="shared" si="4"/>
        <v>0</v>
      </c>
      <c r="H49" s="216">
        <f t="shared" si="4"/>
        <v>25000</v>
      </c>
      <c r="I49" s="216">
        <f t="shared" si="4"/>
        <v>20993.401646730938</v>
      </c>
      <c r="J49" s="216">
        <f t="shared" si="4"/>
        <v>0</v>
      </c>
      <c r="K49" s="53">
        <f t="shared" si="4"/>
        <v>45993.401646730941</v>
      </c>
    </row>
    <row r="50" spans="1:11" ht="18" customHeight="1" thickBot="1">
      <c r="G50" s="65"/>
      <c r="H50" s="218"/>
      <c r="I50" s="218"/>
      <c r="J50" s="218"/>
      <c r="K50" s="65"/>
    </row>
    <row r="51" spans="1:11" ht="42.75" customHeight="1">
      <c r="F51" s="47" t="s">
        <v>145</v>
      </c>
      <c r="G51" s="47" t="s">
        <v>146</v>
      </c>
      <c r="H51" s="211" t="s">
        <v>147</v>
      </c>
      <c r="I51" s="211" t="s">
        <v>148</v>
      </c>
      <c r="J51" s="211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110" t="s">
        <v>569</v>
      </c>
      <c r="C53" s="105"/>
      <c r="D53" s="106"/>
      <c r="F53" s="50">
        <f>+'[12]CRH Com Ben Rpt 2013'!E50</f>
        <v>98.8</v>
      </c>
      <c r="G53" s="50">
        <f>+'[12]CRH Com Ben Rpt 2013'!F50</f>
        <v>183</v>
      </c>
      <c r="H53" s="214">
        <f>+'[12]CRH Com Ben Rpt 2013'!G50</f>
        <v>38581.566800263667</v>
      </c>
      <c r="I53" s="215">
        <f t="shared" ref="I53:I60" si="5">H53*F$114</f>
        <v>32398.333119924599</v>
      </c>
      <c r="J53" s="214">
        <f>+'[12]CRH Com Ben Rpt 2013'!I50</f>
        <v>0</v>
      </c>
      <c r="K53" s="53">
        <f t="shared" ref="K53:K62" si="6">(H53+I53)-J53</f>
        <v>70979.899920188269</v>
      </c>
    </row>
    <row r="54" spans="1:11" ht="18" customHeight="1">
      <c r="A54" s="45" t="s">
        <v>289</v>
      </c>
      <c r="B54" s="104" t="s">
        <v>570</v>
      </c>
      <c r="C54" s="105"/>
      <c r="D54" s="106"/>
      <c r="F54" s="50"/>
      <c r="G54" s="50">
        <v>9624</v>
      </c>
      <c r="H54" s="214">
        <f>+[12]CRH!I105</f>
        <v>749070.60000000009</v>
      </c>
      <c r="I54" s="215">
        <f t="shared" si="5"/>
        <v>629021.59870230942</v>
      </c>
      <c r="J54" s="214"/>
      <c r="K54" s="53">
        <f t="shared" si="6"/>
        <v>1378092.1987023095</v>
      </c>
    </row>
    <row r="55" spans="1:11" ht="18" customHeight="1">
      <c r="A55" s="45" t="s">
        <v>291</v>
      </c>
      <c r="B55" s="104" t="s">
        <v>571</v>
      </c>
      <c r="C55" s="105"/>
      <c r="D55" s="106"/>
      <c r="F55" s="50">
        <f>+[12]CRH!N96+[12]CRH!N98</f>
        <v>10950</v>
      </c>
      <c r="G55" s="50">
        <f>+[12]CRH!N95+[12]CRH!N97</f>
        <v>15260</v>
      </c>
      <c r="H55" s="214">
        <f>+[12]CRH!K94+[12]CRH!K93</f>
        <v>2767088.26</v>
      </c>
      <c r="I55" s="215">
        <f t="shared" si="5"/>
        <v>2323623.8093653535</v>
      </c>
      <c r="J55" s="214">
        <f>+[12]CRH!I100</f>
        <v>2317943.2400000002</v>
      </c>
      <c r="K55" s="53">
        <f t="shared" si="6"/>
        <v>2772768.8293653531</v>
      </c>
    </row>
    <row r="56" spans="1:11" ht="18" customHeight="1">
      <c r="A56" s="45" t="s">
        <v>293</v>
      </c>
      <c r="B56" s="110" t="s">
        <v>440</v>
      </c>
      <c r="C56" s="105"/>
      <c r="D56" s="106"/>
      <c r="F56" s="50"/>
      <c r="G56" s="50"/>
      <c r="H56" s="214">
        <f>+[12]CRH!I114</f>
        <v>95664.91</v>
      </c>
      <c r="I56" s="215">
        <f t="shared" si="5"/>
        <v>80333.275165134692</v>
      </c>
      <c r="J56" s="214"/>
      <c r="K56" s="53">
        <f t="shared" si="6"/>
        <v>175998.1851651347</v>
      </c>
    </row>
    <row r="57" spans="1:11" ht="18" customHeight="1">
      <c r="A57" s="45" t="s">
        <v>295</v>
      </c>
      <c r="B57" s="110" t="s">
        <v>572</v>
      </c>
      <c r="C57" s="256"/>
      <c r="D57" s="257"/>
      <c r="F57" s="50"/>
      <c r="G57" s="50"/>
      <c r="H57" s="214">
        <f>+[12]CRH!I107</f>
        <v>380920.26</v>
      </c>
      <c r="I57" s="215">
        <f t="shared" si="5"/>
        <v>319872.48054228711</v>
      </c>
      <c r="J57" s="214"/>
      <c r="K57" s="53">
        <f t="shared" si="6"/>
        <v>700792.74054228712</v>
      </c>
    </row>
    <row r="58" spans="1:11" ht="18" customHeight="1">
      <c r="A58" s="45" t="s">
        <v>298</v>
      </c>
      <c r="B58" s="110" t="s">
        <v>573</v>
      </c>
      <c r="C58" s="105"/>
      <c r="D58" s="106"/>
      <c r="F58" s="50"/>
      <c r="G58" s="50"/>
      <c r="H58" s="214">
        <f>+[12]CRH!I108</f>
        <v>198154.31</v>
      </c>
      <c r="I58" s="215">
        <f t="shared" si="5"/>
        <v>166397.32071443333</v>
      </c>
      <c r="J58" s="214"/>
      <c r="K58" s="53">
        <f t="shared" si="6"/>
        <v>364551.63071443333</v>
      </c>
    </row>
    <row r="59" spans="1:11" ht="18" customHeight="1">
      <c r="A59" s="45" t="s">
        <v>300</v>
      </c>
      <c r="B59" s="817" t="s">
        <v>574</v>
      </c>
      <c r="C59" s="812"/>
      <c r="D59" s="813"/>
      <c r="F59" s="50">
        <f>+'[12]CRH Com Ben Rpt 2013'!E51</f>
        <v>129</v>
      </c>
      <c r="G59" s="50">
        <f>+'[12]CRH Com Ben Rpt 2013'!F51</f>
        <v>9</v>
      </c>
      <c r="H59" s="50">
        <f>+'[12]CRH Com Ben Rpt 2013'!G51</f>
        <v>5363.8878262551925</v>
      </c>
      <c r="I59" s="50">
        <f>+'[12]CRH Com Ben Rpt 2013'!H51</f>
        <v>4504.2500609834315</v>
      </c>
      <c r="J59" s="50">
        <f>+'[12]CRH Com Ben Rpt 2013'!I51</f>
        <v>0</v>
      </c>
      <c r="K59" s="53">
        <f t="shared" si="6"/>
        <v>9868.1378872386231</v>
      </c>
    </row>
    <row r="60" spans="1:11" ht="18" customHeight="1">
      <c r="A60" s="45" t="s">
        <v>302</v>
      </c>
      <c r="B60" s="110" t="s">
        <v>575</v>
      </c>
      <c r="C60" s="105"/>
      <c r="D60" s="106"/>
      <c r="F60" s="50">
        <f>+[12]CRH!N91</f>
        <v>1071.6471074380165</v>
      </c>
      <c r="G60" s="50">
        <f>+[12]CRH!N90</f>
        <v>1428.8628099173554</v>
      </c>
      <c r="H60" s="50">
        <f>+[12]CRH!L90</f>
        <v>864462</v>
      </c>
      <c r="I60" s="215">
        <f t="shared" si="5"/>
        <v>725919.91897345288</v>
      </c>
      <c r="J60" s="214"/>
      <c r="K60" s="53">
        <f t="shared" si="6"/>
        <v>1590381.9189734529</v>
      </c>
    </row>
    <row r="61" spans="1:11" ht="18" customHeight="1">
      <c r="A61" s="45" t="s">
        <v>303</v>
      </c>
      <c r="B61" s="817"/>
      <c r="C61" s="812"/>
      <c r="D61" s="813"/>
      <c r="F61" s="50"/>
      <c r="G61" s="50"/>
      <c r="H61" s="214">
        <f>+[12]CRH!I115</f>
        <v>0</v>
      </c>
      <c r="I61" s="215">
        <f>H61*F$114</f>
        <v>0</v>
      </c>
      <c r="J61" s="214"/>
      <c r="K61" s="53">
        <f t="shared" si="6"/>
        <v>0</v>
      </c>
    </row>
    <row r="62" spans="1:11" ht="18" customHeight="1">
      <c r="A62" s="45" t="s">
        <v>304</v>
      </c>
      <c r="B62" s="817"/>
      <c r="C62" s="812"/>
      <c r="D62" s="813"/>
      <c r="F62" s="50"/>
      <c r="G62" s="50"/>
      <c r="H62" s="50"/>
      <c r="I62" s="215">
        <f>H62*F$114</f>
        <v>0</v>
      </c>
      <c r="J62" s="50">
        <f>+'[12]CRH Com Ben Rpt 2013'!I63</f>
        <v>0</v>
      </c>
      <c r="K62" s="53">
        <f t="shared" si="6"/>
        <v>0</v>
      </c>
    </row>
    <row r="63" spans="1:11" ht="18" customHeight="1">
      <c r="A63" s="45"/>
      <c r="I63" s="221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7">SUM(F53:F62)</f>
        <v>12249.447107438016</v>
      </c>
      <c r="G64" s="59">
        <f t="shared" si="7"/>
        <v>26504.862809917355</v>
      </c>
      <c r="H64" s="216">
        <f t="shared" si="7"/>
        <v>5099305.7946265191</v>
      </c>
      <c r="I64" s="216">
        <f t="shared" si="7"/>
        <v>4282070.9866438787</v>
      </c>
      <c r="J64" s="216">
        <f t="shared" si="7"/>
        <v>2317943.2400000002</v>
      </c>
      <c r="K64" s="53">
        <f t="shared" si="7"/>
        <v>7063433.5412703976</v>
      </c>
    </row>
    <row r="65" spans="1:11" ht="18" customHeight="1">
      <c r="F65" s="74"/>
      <c r="G65" s="74"/>
      <c r="H65" s="222"/>
      <c r="I65" s="222"/>
      <c r="J65" s="222"/>
      <c r="K65" s="74"/>
    </row>
    <row r="66" spans="1:11" ht="42.75" customHeight="1">
      <c r="F66" s="47" t="s">
        <v>145</v>
      </c>
      <c r="G66" s="47" t="s">
        <v>146</v>
      </c>
      <c r="H66" s="211" t="s">
        <v>147</v>
      </c>
      <c r="I66" s="211" t="s">
        <v>148</v>
      </c>
      <c r="J66" s="211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223"/>
      <c r="I67" s="224"/>
      <c r="J67" s="223"/>
      <c r="K67" s="77"/>
    </row>
    <row r="68" spans="1:11" ht="18" customHeight="1">
      <c r="A68" s="45" t="s">
        <v>306</v>
      </c>
      <c r="B68" s="40" t="s">
        <v>188</v>
      </c>
      <c r="F68" s="78"/>
      <c r="G68" s="78"/>
      <c r="H68" s="214"/>
      <c r="I68" s="215">
        <v>0</v>
      </c>
      <c r="J68" s="214"/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78"/>
      <c r="G69" s="78"/>
      <c r="H69" s="214"/>
      <c r="I69" s="215">
        <v>0</v>
      </c>
      <c r="J69" s="214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225"/>
      <c r="I70" s="215">
        <v>0</v>
      </c>
      <c r="J70" s="225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225"/>
      <c r="I71" s="215">
        <v>0</v>
      </c>
      <c r="J71" s="225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214"/>
      <c r="I72" s="215">
        <v>0</v>
      </c>
      <c r="J72" s="214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226"/>
      <c r="I73" s="224"/>
      <c r="J73" s="226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8">SUM(F68:F72)</f>
        <v>0</v>
      </c>
      <c r="G74" s="86">
        <f t="shared" si="8"/>
        <v>0</v>
      </c>
      <c r="H74" s="220">
        <f t="shared" si="8"/>
        <v>0</v>
      </c>
      <c r="I74" s="227">
        <f t="shared" si="8"/>
        <v>0</v>
      </c>
      <c r="J74" s="220">
        <f t="shared" si="8"/>
        <v>0</v>
      </c>
      <c r="K74" s="63">
        <f t="shared" si="8"/>
        <v>0</v>
      </c>
    </row>
    <row r="75" spans="1:11" ht="42.75" customHeight="1">
      <c r="F75" s="47" t="s">
        <v>145</v>
      </c>
      <c r="G75" s="47" t="s">
        <v>146</v>
      </c>
      <c r="H75" s="211" t="s">
        <v>147</v>
      </c>
      <c r="I75" s="211" t="s">
        <v>148</v>
      </c>
      <c r="J75" s="211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>
        <f>+'[12]CRH Com Ben Rpt 2013'!E57</f>
        <v>0</v>
      </c>
      <c r="G77" s="50">
        <f>+'[12]CRH Com Ben Rpt 2013'!F57</f>
        <v>0</v>
      </c>
      <c r="H77" s="214">
        <f>+'[12]CRH Com Ben Rpt 2013'!G57</f>
        <v>23400</v>
      </c>
      <c r="I77" s="215">
        <f>+'[12]CRH Com Ben Rpt 2013'!H57</f>
        <v>19649.823941340157</v>
      </c>
      <c r="J77" s="214">
        <f>+'[12]CRH Com Ben Rpt 2013'!I57</f>
        <v>0</v>
      </c>
      <c r="K77" s="53">
        <f>(H77+I77)-J77</f>
        <v>43049.823941340161</v>
      </c>
    </row>
    <row r="78" spans="1:11" ht="18" customHeight="1">
      <c r="A78" s="45" t="s">
        <v>313</v>
      </c>
      <c r="B78" s="49" t="s">
        <v>197</v>
      </c>
      <c r="F78" s="50"/>
      <c r="G78" s="50"/>
      <c r="H78" s="214"/>
      <c r="I78" s="215">
        <v>0</v>
      </c>
      <c r="J78" s="214"/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/>
      <c r="G79" s="50"/>
      <c r="H79" s="214"/>
      <c r="I79" s="215"/>
      <c r="J79" s="214"/>
      <c r="K79" s="53">
        <f>(H79+I79)-J79</f>
        <v>0</v>
      </c>
    </row>
    <row r="80" spans="1:11" ht="18" customHeight="1">
      <c r="A80" s="45" t="s">
        <v>315</v>
      </c>
      <c r="B80" s="49" t="s">
        <v>316</v>
      </c>
      <c r="F80" s="50"/>
      <c r="G80" s="50"/>
      <c r="H80" s="214"/>
      <c r="I80" s="215">
        <v>0</v>
      </c>
      <c r="J80" s="214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9">SUM(F77:F80)</f>
        <v>0</v>
      </c>
      <c r="G82" s="86">
        <f t="shared" si="9"/>
        <v>0</v>
      </c>
      <c r="H82" s="220">
        <f t="shared" si="9"/>
        <v>23400</v>
      </c>
      <c r="I82" s="220">
        <f t="shared" si="9"/>
        <v>19649.823941340157</v>
      </c>
      <c r="J82" s="220">
        <f t="shared" si="9"/>
        <v>0</v>
      </c>
      <c r="K82" s="63">
        <f t="shared" si="9"/>
        <v>43049.823941340161</v>
      </c>
    </row>
    <row r="83" spans="1:11" ht="18" customHeight="1" thickBot="1">
      <c r="A83" s="45"/>
      <c r="F83" s="65"/>
      <c r="G83" s="65"/>
      <c r="H83" s="218"/>
      <c r="I83" s="218"/>
      <c r="J83" s="218"/>
      <c r="K83" s="65"/>
    </row>
    <row r="84" spans="1:11" ht="42.75" customHeight="1">
      <c r="F84" s="47" t="s">
        <v>145</v>
      </c>
      <c r="G84" s="47" t="s">
        <v>146</v>
      </c>
      <c r="H84" s="211" t="s">
        <v>147</v>
      </c>
      <c r="I84" s="211" t="s">
        <v>148</v>
      </c>
      <c r="J84" s="211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/>
      <c r="G86" s="50"/>
      <c r="H86" s="214"/>
      <c r="I86" s="215">
        <f t="shared" ref="I86:I96" si="10">H86*F$114</f>
        <v>0</v>
      </c>
      <c r="J86" s="214"/>
      <c r="K86" s="53">
        <f t="shared" ref="K86:K96" si="11">(H86+I86)-J86</f>
        <v>0</v>
      </c>
    </row>
    <row r="87" spans="1:11" ht="18" customHeight="1">
      <c r="A87" s="45" t="s">
        <v>320</v>
      </c>
      <c r="B87" s="49" t="s">
        <v>206</v>
      </c>
      <c r="F87" s="50">
        <f>+'[12]CRH Com Ben Rpt 2013'!E62</f>
        <v>42</v>
      </c>
      <c r="G87" s="50">
        <f>+'[12]CRH Com Ben Rpt 2013'!F62</f>
        <v>0</v>
      </c>
      <c r="H87" s="50">
        <f>+'[12]CRH Com Ben Rpt 2013'!G62</f>
        <v>1713.823943431923</v>
      </c>
      <c r="I87" s="50">
        <f>+'[12]CRH Com Ben Rpt 2013'!H62</f>
        <v>1439.1597758500257</v>
      </c>
      <c r="J87" s="50">
        <f>+'[12]CRH Com Ben Rpt 2013'!I62</f>
        <v>0</v>
      </c>
      <c r="K87" s="53">
        <f t="shared" si="11"/>
        <v>3152.9837192819487</v>
      </c>
    </row>
    <row r="88" spans="1:11" ht="18" customHeight="1">
      <c r="A88" s="45" t="s">
        <v>321</v>
      </c>
      <c r="B88" s="49" t="s">
        <v>208</v>
      </c>
      <c r="F88" s="50">
        <f>+'[12]CRH Com Ben Rpt 2013'!E64</f>
        <v>472</v>
      </c>
      <c r="G88" s="50">
        <f>+'[12]CRH Com Ben Rpt 2013'!F64</f>
        <v>0</v>
      </c>
      <c r="H88" s="50">
        <f>+'[12]CRH Com Ben Rpt 2013'!G64</f>
        <v>19260.1166976159</v>
      </c>
      <c r="I88" s="50">
        <f>+'[12]CRH Com Ben Rpt 2013'!H64</f>
        <v>16173.414623838387</v>
      </c>
      <c r="J88" s="50">
        <f>+'[12]CRH Com Ben Rpt 2013'!I64</f>
        <v>0</v>
      </c>
      <c r="K88" s="53">
        <f t="shared" si="11"/>
        <v>35433.531321454284</v>
      </c>
    </row>
    <row r="89" spans="1:11" ht="18" customHeight="1">
      <c r="A89" s="45" t="s">
        <v>322</v>
      </c>
      <c r="B89" s="49" t="s">
        <v>210</v>
      </c>
      <c r="F89" s="50"/>
      <c r="G89" s="50"/>
      <c r="H89" s="214"/>
      <c r="I89" s="215">
        <f t="shared" si="10"/>
        <v>0</v>
      </c>
      <c r="J89" s="214"/>
      <c r="K89" s="53">
        <f t="shared" si="11"/>
        <v>0</v>
      </c>
    </row>
    <row r="90" spans="1:11" ht="18" customHeight="1">
      <c r="A90" s="45" t="s">
        <v>323</v>
      </c>
      <c r="B90" s="818" t="s">
        <v>212</v>
      </c>
      <c r="C90" s="819"/>
      <c r="F90" s="50"/>
      <c r="G90" s="50"/>
      <c r="H90" s="214"/>
      <c r="I90" s="215">
        <f t="shared" si="10"/>
        <v>0</v>
      </c>
      <c r="J90" s="214"/>
      <c r="K90" s="53">
        <f t="shared" si="11"/>
        <v>0</v>
      </c>
    </row>
    <row r="91" spans="1:11" ht="18" customHeight="1">
      <c r="A91" s="45" t="s">
        <v>324</v>
      </c>
      <c r="B91" s="49" t="s">
        <v>214</v>
      </c>
      <c r="F91" s="50">
        <f>+'[12]CRH Com Ben Rpt 2013'!E71</f>
        <v>104</v>
      </c>
      <c r="G91" s="50">
        <f>+'[12]CRH Com Ben Rpt 2013'!F71</f>
        <v>0</v>
      </c>
      <c r="H91" s="214">
        <f>+'[12]CRH Com Ben Rpt 2013'!G71</f>
        <v>4243.754526593334</v>
      </c>
      <c r="I91" s="215">
        <f>+'[12]CRH Com Ben Rpt 2013'!H71</f>
        <v>3563.6337306762548</v>
      </c>
      <c r="J91" s="214">
        <f>+'[12]CRH Com Ben Rpt 2013'!I71</f>
        <v>0</v>
      </c>
      <c r="K91" s="53">
        <f t="shared" si="11"/>
        <v>7807.3882572695893</v>
      </c>
    </row>
    <row r="92" spans="1:11" ht="18" customHeight="1">
      <c r="A92" s="45" t="s">
        <v>325</v>
      </c>
      <c r="B92" s="49" t="s">
        <v>216</v>
      </c>
      <c r="F92" s="89">
        <f>+'[12]CRH Com Ben Rpt 2013'!E74</f>
        <v>163.5</v>
      </c>
      <c r="G92" s="89">
        <f>+'[12]CRH Com Ben Rpt 2013'!F74</f>
        <v>0</v>
      </c>
      <c r="H92" s="258">
        <f>+'[12]CRH Com Ben Rpt 2013'!G74</f>
        <v>6671.6717797885585</v>
      </c>
      <c r="I92" s="215">
        <f>+'[12]CRH Com Ben Rpt 2013'!H74</f>
        <v>5602.4434131304579</v>
      </c>
      <c r="J92" s="258">
        <f>+'[12]CRH Com Ben Rpt 2013'!I74</f>
        <v>0</v>
      </c>
      <c r="K92" s="53">
        <f t="shared" si="11"/>
        <v>12274.115192919016</v>
      </c>
    </row>
    <row r="93" spans="1:11" ht="18" customHeight="1">
      <c r="A93" s="45" t="s">
        <v>326</v>
      </c>
      <c r="B93" s="49" t="s">
        <v>218</v>
      </c>
      <c r="F93" s="50">
        <f>+'[12]CRH Com Ben Rpt 2013'!E78</f>
        <v>0</v>
      </c>
      <c r="G93" s="50">
        <f>+'[12]CRH Com Ben Rpt 2013'!F78</f>
        <v>0</v>
      </c>
      <c r="H93" s="214">
        <f>+'[12]CRH Com Ben Rpt 2013'!G78</f>
        <v>0</v>
      </c>
      <c r="I93" s="215">
        <f>+'[12]CRH Com Ben Rpt 2013'!H78</f>
        <v>0</v>
      </c>
      <c r="J93" s="214">
        <f>+'[12]CRH Com Ben Rpt 2013'!I78</f>
        <v>0</v>
      </c>
      <c r="K93" s="53">
        <f t="shared" si="11"/>
        <v>0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214"/>
      <c r="I94" s="215">
        <f t="shared" si="10"/>
        <v>0</v>
      </c>
      <c r="J94" s="214"/>
      <c r="K94" s="53">
        <f t="shared" si="11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214"/>
      <c r="I95" s="215">
        <f t="shared" si="10"/>
        <v>0</v>
      </c>
      <c r="J95" s="214"/>
      <c r="K95" s="53">
        <f t="shared" si="11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214"/>
      <c r="I96" s="215">
        <f t="shared" si="10"/>
        <v>0</v>
      </c>
      <c r="J96" s="214"/>
      <c r="K96" s="53">
        <f t="shared" si="11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2">SUM(F86:F96)</f>
        <v>781.5</v>
      </c>
      <c r="G98" s="59">
        <f t="shared" si="12"/>
        <v>0</v>
      </c>
      <c r="H98" s="216">
        <f t="shared" si="12"/>
        <v>31889.366947429713</v>
      </c>
      <c r="I98" s="216">
        <f t="shared" si="12"/>
        <v>26778.651543495125</v>
      </c>
      <c r="J98" s="216">
        <f t="shared" si="12"/>
        <v>0</v>
      </c>
      <c r="K98" s="59">
        <f t="shared" si="12"/>
        <v>58668.018490924835</v>
      </c>
    </row>
    <row r="99" spans="1:11" ht="18" customHeight="1" thickBot="1">
      <c r="B99" s="43"/>
      <c r="F99" s="65"/>
      <c r="G99" s="65"/>
      <c r="H99" s="218"/>
      <c r="I99" s="218"/>
      <c r="J99" s="218"/>
      <c r="K99" s="65"/>
    </row>
    <row r="100" spans="1:11" ht="42.75" customHeight="1">
      <c r="F100" s="47" t="s">
        <v>145</v>
      </c>
      <c r="G100" s="47" t="s">
        <v>146</v>
      </c>
      <c r="H100" s="211" t="s">
        <v>147</v>
      </c>
      <c r="I100" s="211" t="s">
        <v>148</v>
      </c>
      <c r="J100" s="211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f>+'[12]CRH Com Ben Rpt 2013'!E79</f>
        <v>260</v>
      </c>
      <c r="G102" s="50">
        <f>+'[12]CRH Com Ben Rpt 2013'!F79</f>
        <v>0</v>
      </c>
      <c r="H102" s="50">
        <f>+'[12]CRH Com Ben Rpt 2013'!G79</f>
        <v>10609.386316483335</v>
      </c>
      <c r="I102" s="50">
        <f>+'[12]CRH Com Ben Rpt 2013'!H79</f>
        <v>8909.0843266906377</v>
      </c>
      <c r="J102" s="50">
        <f>+'[12]CRH Com Ben Rpt 2013'!I79</f>
        <v>0</v>
      </c>
      <c r="K102" s="53">
        <f>(H102+I102)-J102</f>
        <v>19518.470643173972</v>
      </c>
    </row>
    <row r="103" spans="1:11" ht="18" customHeight="1">
      <c r="A103" s="45" t="s">
        <v>333</v>
      </c>
      <c r="B103" s="818" t="s">
        <v>226</v>
      </c>
      <c r="C103" s="818"/>
      <c r="F103" s="50">
        <f>+'[12]CRH Com Ben Rpt 2013'!E87</f>
        <v>240</v>
      </c>
      <c r="G103" s="50">
        <f>+'[12]CRH Com Ben Rpt 2013'!F87</f>
        <v>0</v>
      </c>
      <c r="H103" s="214">
        <f>+'[12]CRH Com Ben Rpt 2013'!G87</f>
        <v>9793.2796767538475</v>
      </c>
      <c r="I103" s="215">
        <f>+'[12]CRH Com Ben Rpt 2013'!H87</f>
        <v>8223.7701477144346</v>
      </c>
      <c r="J103" s="214">
        <f>+'[12]CRH Com Ben Rpt 2013'!I87</f>
        <v>0</v>
      </c>
      <c r="K103" s="53">
        <f>(H103+I103)-J103</f>
        <v>18017.049824468282</v>
      </c>
    </row>
    <row r="104" spans="1:11" ht="18" customHeight="1">
      <c r="A104" s="45" t="s">
        <v>334</v>
      </c>
      <c r="B104" s="811"/>
      <c r="C104" s="812"/>
      <c r="D104" s="813"/>
      <c r="F104" s="50"/>
      <c r="G104" s="50"/>
      <c r="H104" s="214"/>
      <c r="I104" s="215">
        <f>H104*F$114</f>
        <v>0</v>
      </c>
      <c r="J104" s="214"/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214"/>
      <c r="I105" s="215">
        <f>H105*F$114</f>
        <v>0</v>
      </c>
      <c r="J105" s="214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214"/>
      <c r="I106" s="215">
        <f>H106*F$114</f>
        <v>0</v>
      </c>
      <c r="J106" s="214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3">SUM(F102:F106)</f>
        <v>500</v>
      </c>
      <c r="G108" s="59">
        <f t="shared" si="13"/>
        <v>0</v>
      </c>
      <c r="H108" s="216">
        <f t="shared" si="13"/>
        <v>20402.665993237184</v>
      </c>
      <c r="I108" s="216">
        <f t="shared" si="13"/>
        <v>17132.854474405074</v>
      </c>
      <c r="J108" s="216">
        <f t="shared" si="13"/>
        <v>0</v>
      </c>
      <c r="K108" s="53">
        <f t="shared" si="13"/>
        <v>37535.520467642258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218"/>
      <c r="I109" s="218"/>
      <c r="J109" s="218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259">
        <f>+'[12]UMMS FSS FIN DATA 2013'!Q27*1000</f>
        <v>4169000</v>
      </c>
    </row>
    <row r="112" spans="1:11" ht="18" customHeight="1">
      <c r="B112" s="43"/>
      <c r="E112" s="43"/>
    </row>
    <row r="113" spans="1:6" s="40" customFormat="1">
      <c r="A113" s="48"/>
      <c r="B113" s="43" t="s">
        <v>233</v>
      </c>
    </row>
    <row r="114" spans="1:6" s="40" customFormat="1">
      <c r="A114" s="45" t="s">
        <v>340</v>
      </c>
      <c r="B114" s="49" t="s">
        <v>341</v>
      </c>
      <c r="F114" s="94">
        <f>+'[12]UMMS FSS FIN DATA 2013'!AZ16</f>
        <v>0.83973606586923755</v>
      </c>
    </row>
    <row r="115" spans="1:6" s="40" customFormat="1">
      <c r="A115" s="45"/>
      <c r="B115" s="43"/>
    </row>
    <row r="116" spans="1:6" s="40" customFormat="1">
      <c r="A116" s="45" t="s">
        <v>234</v>
      </c>
      <c r="B116" s="43" t="s">
        <v>235</v>
      </c>
    </row>
    <row r="117" spans="1:6" s="40" customFormat="1">
      <c r="A117" s="45" t="s">
        <v>342</v>
      </c>
      <c r="B117" s="49" t="s">
        <v>236</v>
      </c>
      <c r="F117" s="230">
        <f>+'[12]UMMS FSS FIN DATA 2013'!Q8</f>
        <v>51376000</v>
      </c>
    </row>
    <row r="118" spans="1:6" s="40" customFormat="1">
      <c r="A118" s="45" t="s">
        <v>343</v>
      </c>
      <c r="B118" s="40" t="s">
        <v>237</v>
      </c>
      <c r="F118" s="230">
        <f>+'[12]UMMS FSS FIN DATA 2013'!Q9</f>
        <v>304000</v>
      </c>
    </row>
    <row r="119" spans="1:6" s="40" customFormat="1">
      <c r="A119" s="45" t="s">
        <v>344</v>
      </c>
      <c r="B119" s="43" t="s">
        <v>238</v>
      </c>
      <c r="F119" s="231">
        <f>SUM(F117:F118)</f>
        <v>51680000</v>
      </c>
    </row>
    <row r="120" spans="1:6" s="40" customFormat="1">
      <c r="A120" s="45"/>
      <c r="B120" s="43"/>
      <c r="F120" s="133"/>
    </row>
    <row r="121" spans="1:6" s="40" customFormat="1">
      <c r="A121" s="45" t="s">
        <v>345</v>
      </c>
      <c r="B121" s="43" t="s">
        <v>346</v>
      </c>
      <c r="F121" s="230">
        <f>+'[12]UMMS FSS FIN DATA 2013'!Q12</f>
        <v>51866000</v>
      </c>
    </row>
    <row r="122" spans="1:6" s="40" customFormat="1">
      <c r="A122" s="45"/>
      <c r="F122" s="133"/>
    </row>
    <row r="123" spans="1:6" s="40" customFormat="1">
      <c r="A123" s="45" t="s">
        <v>347</v>
      </c>
      <c r="B123" s="43" t="s">
        <v>348</v>
      </c>
      <c r="F123" s="230">
        <f>-F121+F119</f>
        <v>-186000</v>
      </c>
    </row>
    <row r="124" spans="1:6" s="40" customFormat="1">
      <c r="A124" s="45"/>
    </row>
    <row r="125" spans="1:6" s="40" customFormat="1">
      <c r="A125" s="45" t="s">
        <v>349</v>
      </c>
      <c r="B125" s="43" t="s">
        <v>350</v>
      </c>
      <c r="F125" s="230">
        <f>+'[12]UMMS FSS FIN DATA 2013'!Q16</f>
        <v>1252000</v>
      </c>
    </row>
    <row r="126" spans="1:6" s="40" customFormat="1">
      <c r="A126" s="45"/>
      <c r="F126" s="133"/>
    </row>
    <row r="127" spans="1:6" s="40" customFormat="1">
      <c r="A127" s="45" t="s">
        <v>351</v>
      </c>
      <c r="B127" s="43" t="s">
        <v>352</v>
      </c>
      <c r="F127" s="230">
        <f>+F123+F125</f>
        <v>1066000</v>
      </c>
    </row>
    <row r="128" spans="1:6" s="40" customFormat="1">
      <c r="A128" s="45"/>
    </row>
    <row r="129" spans="1:11" ht="42.75" customHeight="1">
      <c r="F129" s="47" t="s">
        <v>145</v>
      </c>
      <c r="G129" s="47" t="s">
        <v>146</v>
      </c>
      <c r="H129" s="211" t="s">
        <v>147</v>
      </c>
      <c r="I129" s="211" t="s">
        <v>148</v>
      </c>
      <c r="J129" s="211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214"/>
      <c r="I131" s="215">
        <v>0</v>
      </c>
      <c r="J131" s="214">
        <v>0</v>
      </c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214"/>
      <c r="I132" s="215">
        <v>0</v>
      </c>
      <c r="J132" s="214">
        <v>0</v>
      </c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214"/>
      <c r="I133" s="215">
        <v>0</v>
      </c>
      <c r="J133" s="214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214"/>
      <c r="I134" s="215">
        <v>0</v>
      </c>
      <c r="J134" s="214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214"/>
      <c r="I135" s="215">
        <v>0</v>
      </c>
      <c r="J135" s="214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4">SUM(F131:F135)</f>
        <v>0</v>
      </c>
      <c r="G137" s="59">
        <f t="shared" si="14"/>
        <v>0</v>
      </c>
      <c r="H137" s="216">
        <f t="shared" si="14"/>
        <v>0</v>
      </c>
      <c r="I137" s="216">
        <f t="shared" si="14"/>
        <v>0</v>
      </c>
      <c r="J137" s="216">
        <f t="shared" si="14"/>
        <v>0</v>
      </c>
      <c r="K137" s="53">
        <f t="shared" si="14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211" t="s">
        <v>147</v>
      </c>
      <c r="I139" s="211" t="s">
        <v>148</v>
      </c>
      <c r="J139" s="211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5">F36</f>
        <v>1158</v>
      </c>
      <c r="G141" s="95">
        <f t="shared" si="15"/>
        <v>4862</v>
      </c>
      <c r="H141" s="233">
        <f t="shared" si="15"/>
        <v>288376.47444033728</v>
      </c>
      <c r="I141" s="233">
        <f t="shared" si="15"/>
        <v>242160.12613576959</v>
      </c>
      <c r="J141" s="233">
        <f t="shared" si="15"/>
        <v>0</v>
      </c>
      <c r="K141" s="95">
        <f t="shared" si="15"/>
        <v>530536.60057610681</v>
      </c>
    </row>
    <row r="142" spans="1:11" ht="18" customHeight="1">
      <c r="A142" s="45" t="s">
        <v>286</v>
      </c>
      <c r="B142" s="43" t="s">
        <v>125</v>
      </c>
      <c r="F142" s="95">
        <f t="shared" ref="F142:K142" si="16">F49</f>
        <v>0</v>
      </c>
      <c r="G142" s="95">
        <f t="shared" si="16"/>
        <v>0</v>
      </c>
      <c r="H142" s="233">
        <f t="shared" si="16"/>
        <v>25000</v>
      </c>
      <c r="I142" s="233">
        <f t="shared" si="16"/>
        <v>20993.401646730938</v>
      </c>
      <c r="J142" s="233">
        <f t="shared" si="16"/>
        <v>0</v>
      </c>
      <c r="K142" s="95">
        <f t="shared" si="16"/>
        <v>45993.401646730941</v>
      </c>
    </row>
    <row r="143" spans="1:11" ht="18" customHeight="1">
      <c r="A143" s="45" t="s">
        <v>305</v>
      </c>
      <c r="B143" s="43" t="s">
        <v>247</v>
      </c>
      <c r="F143" s="95">
        <f t="shared" ref="F143:K143" si="17">F64</f>
        <v>12249.447107438016</v>
      </c>
      <c r="G143" s="95">
        <f t="shared" si="17"/>
        <v>26504.862809917355</v>
      </c>
      <c r="H143" s="233">
        <f t="shared" si="17"/>
        <v>5099305.7946265191</v>
      </c>
      <c r="I143" s="233">
        <f t="shared" si="17"/>
        <v>4282070.9866438787</v>
      </c>
      <c r="J143" s="233">
        <f t="shared" si="17"/>
        <v>2317943.2400000002</v>
      </c>
      <c r="K143" s="95">
        <f t="shared" si="17"/>
        <v>7063433.5412703976</v>
      </c>
    </row>
    <row r="144" spans="1:11" ht="18" customHeight="1">
      <c r="A144" s="45" t="s">
        <v>311</v>
      </c>
      <c r="B144" s="43" t="s">
        <v>127</v>
      </c>
      <c r="F144" s="95">
        <f t="shared" ref="F144:K144" si="18">F74</f>
        <v>0</v>
      </c>
      <c r="G144" s="95">
        <f t="shared" si="18"/>
        <v>0</v>
      </c>
      <c r="H144" s="233">
        <f t="shared" si="18"/>
        <v>0</v>
      </c>
      <c r="I144" s="233">
        <f t="shared" si="18"/>
        <v>0</v>
      </c>
      <c r="J144" s="233">
        <f t="shared" si="18"/>
        <v>0</v>
      </c>
      <c r="K144" s="95">
        <f t="shared" si="18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19">F82</f>
        <v>0</v>
      </c>
      <c r="G145" s="95">
        <f t="shared" si="19"/>
        <v>0</v>
      </c>
      <c r="H145" s="233">
        <f t="shared" si="19"/>
        <v>23400</v>
      </c>
      <c r="I145" s="233">
        <f t="shared" si="19"/>
        <v>19649.823941340157</v>
      </c>
      <c r="J145" s="233">
        <f t="shared" si="19"/>
        <v>0</v>
      </c>
      <c r="K145" s="95">
        <f t="shared" si="19"/>
        <v>43049.823941340161</v>
      </c>
    </row>
    <row r="146" spans="1:11" ht="18" customHeight="1">
      <c r="A146" s="45" t="s">
        <v>331</v>
      </c>
      <c r="B146" s="43" t="s">
        <v>249</v>
      </c>
      <c r="F146" s="95">
        <f t="shared" ref="F146:K146" si="20">F98</f>
        <v>781.5</v>
      </c>
      <c r="G146" s="95">
        <f t="shared" si="20"/>
        <v>0</v>
      </c>
      <c r="H146" s="233">
        <f t="shared" si="20"/>
        <v>31889.366947429713</v>
      </c>
      <c r="I146" s="233">
        <f t="shared" si="20"/>
        <v>26778.651543495125</v>
      </c>
      <c r="J146" s="233">
        <f t="shared" si="20"/>
        <v>0</v>
      </c>
      <c r="K146" s="95">
        <f t="shared" si="20"/>
        <v>58668.018490924835</v>
      </c>
    </row>
    <row r="147" spans="1:11" ht="18" customHeight="1">
      <c r="A147" s="45" t="s">
        <v>338</v>
      </c>
      <c r="B147" s="43" t="s">
        <v>129</v>
      </c>
      <c r="F147" s="59">
        <f t="shared" ref="F147:K147" si="21">F108</f>
        <v>500</v>
      </c>
      <c r="G147" s="59">
        <f t="shared" si="21"/>
        <v>0</v>
      </c>
      <c r="H147" s="216">
        <f t="shared" si="21"/>
        <v>20402.665993237184</v>
      </c>
      <c r="I147" s="216">
        <f t="shared" si="21"/>
        <v>17132.854474405074</v>
      </c>
      <c r="J147" s="216">
        <f t="shared" si="21"/>
        <v>0</v>
      </c>
      <c r="K147" s="59">
        <f t="shared" si="21"/>
        <v>37535.520467642258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234" t="s">
        <v>122</v>
      </c>
      <c r="I148" s="234" t="s">
        <v>122</v>
      </c>
      <c r="J148" s="234" t="s">
        <v>122</v>
      </c>
      <c r="K148" s="98">
        <f>F111</f>
        <v>4169000</v>
      </c>
    </row>
    <row r="149" spans="1:11" ht="18" customHeight="1">
      <c r="A149" s="45" t="s">
        <v>358</v>
      </c>
      <c r="B149" s="43" t="s">
        <v>250</v>
      </c>
      <c r="F149" s="59">
        <f t="shared" ref="F149:K149" si="22">F137</f>
        <v>0</v>
      </c>
      <c r="G149" s="59">
        <f t="shared" si="22"/>
        <v>0</v>
      </c>
      <c r="H149" s="216">
        <f t="shared" si="22"/>
        <v>0</v>
      </c>
      <c r="I149" s="216">
        <f t="shared" si="22"/>
        <v>0</v>
      </c>
      <c r="J149" s="216">
        <f t="shared" si="22"/>
        <v>0</v>
      </c>
      <c r="K149" s="59">
        <f t="shared" si="22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216">
        <f>H18</f>
        <v>1682732</v>
      </c>
      <c r="I150" s="216">
        <f>I18</f>
        <v>0</v>
      </c>
      <c r="J150" s="216">
        <f>J18</f>
        <v>1438947</v>
      </c>
      <c r="K150" s="59">
        <f>K18</f>
        <v>243785</v>
      </c>
    </row>
    <row r="151" spans="1:11" ht="18" customHeight="1">
      <c r="B151" s="43"/>
      <c r="F151" s="74"/>
      <c r="G151" s="74"/>
      <c r="H151" s="222"/>
      <c r="I151" s="222"/>
      <c r="J151" s="222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3">SUM(F141:F150)</f>
        <v>14688.947107438016</v>
      </c>
      <c r="G152" s="99">
        <f t="shared" si="23"/>
        <v>31366.862809917355</v>
      </c>
      <c r="H152" s="235">
        <f t="shared" si="23"/>
        <v>7171106.3020075224</v>
      </c>
      <c r="I152" s="235">
        <f t="shared" si="23"/>
        <v>4608785.8443856193</v>
      </c>
      <c r="J152" s="235">
        <f t="shared" si="23"/>
        <v>3756890.24</v>
      </c>
      <c r="K152" s="99">
        <f t="shared" si="23"/>
        <v>12192001.906393142</v>
      </c>
    </row>
    <row r="154" spans="1:11" ht="18" customHeight="1">
      <c r="A154" s="48" t="s">
        <v>361</v>
      </c>
      <c r="B154" s="43" t="s">
        <v>252</v>
      </c>
      <c r="F154" s="165">
        <f>K152/F121</f>
        <v>0.23506732553875645</v>
      </c>
    </row>
    <row r="155" spans="1:11" ht="18" customHeight="1">
      <c r="A155" s="48" t="s">
        <v>362</v>
      </c>
      <c r="B155" s="43" t="s">
        <v>253</v>
      </c>
      <c r="F155" s="165">
        <f>K152/F127</f>
        <v>11.437150005997319</v>
      </c>
      <c r="G155" s="43"/>
    </row>
    <row r="156" spans="1:11" ht="18" customHeight="1">
      <c r="G156" s="43"/>
    </row>
  </sheetData>
  <mergeCells count="30">
    <mergeCell ref="C11:G11"/>
    <mergeCell ref="C5:G5"/>
    <mergeCell ref="C6:G6"/>
    <mergeCell ref="C7:G7"/>
    <mergeCell ref="C9:G9"/>
    <mergeCell ref="C10:G10"/>
    <mergeCell ref="B61:D61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B59:D59"/>
    <mergeCell ref="B135:D135"/>
    <mergeCell ref="B62:D62"/>
    <mergeCell ref="B90:C90"/>
    <mergeCell ref="B94:D94"/>
    <mergeCell ref="B95:D95"/>
    <mergeCell ref="B96:D96"/>
    <mergeCell ref="B103:C103"/>
    <mergeCell ref="B104:D104"/>
    <mergeCell ref="B105:D105"/>
    <mergeCell ref="B106:D106"/>
    <mergeCell ref="B133:D133"/>
    <mergeCell ref="B134:D13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33" workbookViewId="0">
      <selection activeCell="B43" sqref="B43"/>
    </sheetView>
  </sheetViews>
  <sheetFormatPr defaultRowHeight="12.75"/>
  <cols>
    <col min="1" max="1" width="8.28515625" style="135" customWidth="1"/>
    <col min="2" max="2" width="55.42578125" style="49" bestFit="1" customWidth="1"/>
    <col min="3" max="3" width="9.5703125" style="49" customWidth="1"/>
    <col min="4" max="4" width="9.140625" style="49"/>
    <col min="5" max="5" width="12.42578125" style="49" customWidth="1"/>
    <col min="6" max="6" width="18.5703125" style="49" customWidth="1"/>
    <col min="7" max="7" width="23.5703125" style="49" customWidth="1"/>
    <col min="8" max="8" width="17.140625" style="49" customWidth="1"/>
    <col min="9" max="9" width="21.140625" style="49" customWidth="1"/>
    <col min="10" max="10" width="19.85546875" style="49" customWidth="1"/>
    <col min="11" max="11" width="17.5703125" style="49" customWidth="1"/>
    <col min="12" max="16384" width="9.14062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75">
      <c r="D2" s="824" t="s">
        <v>133</v>
      </c>
      <c r="E2" s="825"/>
      <c r="F2" s="825"/>
      <c r="G2" s="825"/>
      <c r="H2" s="825"/>
      <c r="I2" s="384"/>
      <c r="J2" s="384"/>
      <c r="K2" s="384"/>
    </row>
    <row r="3" spans="1:11" ht="15">
      <c r="B3" s="43" t="s">
        <v>134</v>
      </c>
      <c r="F3" s="44"/>
      <c r="H3" s="384"/>
      <c r="I3" s="384"/>
      <c r="J3" s="384"/>
      <c r="K3" s="384"/>
    </row>
    <row r="5" spans="1:11">
      <c r="B5" s="45" t="s">
        <v>135</v>
      </c>
      <c r="C5" s="826" t="s">
        <v>576</v>
      </c>
      <c r="D5" s="851"/>
      <c r="E5" s="851"/>
      <c r="F5" s="851"/>
      <c r="G5" s="852"/>
      <c r="H5" s="384"/>
      <c r="I5" s="384"/>
      <c r="J5" s="384"/>
      <c r="K5" s="384"/>
    </row>
    <row r="6" spans="1:11">
      <c r="B6" s="45" t="s">
        <v>136</v>
      </c>
      <c r="C6" s="829">
        <v>32</v>
      </c>
      <c r="D6" s="854"/>
      <c r="E6" s="854"/>
      <c r="F6" s="854"/>
      <c r="G6" s="855"/>
      <c r="H6" s="384"/>
      <c r="I6" s="384"/>
      <c r="J6" s="384"/>
      <c r="K6" s="384"/>
    </row>
    <row r="7" spans="1:11">
      <c r="B7" s="45" t="s">
        <v>137</v>
      </c>
      <c r="C7" s="878">
        <v>1200</v>
      </c>
      <c r="D7" s="857"/>
      <c r="E7" s="857"/>
      <c r="F7" s="857"/>
      <c r="G7" s="858"/>
      <c r="H7" s="384"/>
      <c r="I7" s="384"/>
      <c r="J7" s="384"/>
      <c r="K7" s="384"/>
    </row>
    <row r="9" spans="1:11">
      <c r="B9" s="45" t="s">
        <v>138</v>
      </c>
      <c r="C9" s="826" t="s">
        <v>577</v>
      </c>
      <c r="D9" s="851"/>
      <c r="E9" s="851"/>
      <c r="F9" s="851"/>
      <c r="G9" s="852"/>
      <c r="H9" s="384"/>
      <c r="I9" s="384"/>
      <c r="J9" s="384"/>
      <c r="K9" s="384"/>
    </row>
    <row r="10" spans="1:11">
      <c r="B10" s="45" t="s">
        <v>140</v>
      </c>
      <c r="C10" s="835" t="s">
        <v>578</v>
      </c>
      <c r="D10" s="860"/>
      <c r="E10" s="860"/>
      <c r="F10" s="860"/>
      <c r="G10" s="861"/>
      <c r="H10" s="384"/>
      <c r="I10" s="384"/>
      <c r="J10" s="384"/>
      <c r="K10" s="384"/>
    </row>
    <row r="11" spans="1:11">
      <c r="B11" s="45" t="s">
        <v>142</v>
      </c>
      <c r="C11" s="838" t="s">
        <v>579</v>
      </c>
      <c r="D11" s="874"/>
      <c r="E11" s="874"/>
      <c r="F11" s="874"/>
      <c r="G11" s="874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5.5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3760037</v>
      </c>
      <c r="I18" s="167">
        <v>0</v>
      </c>
      <c r="J18" s="347">
        <v>3215302</v>
      </c>
      <c r="K18" s="348">
        <v>544735</v>
      </c>
    </row>
    <row r="19" spans="1:11" ht="25.5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1311</v>
      </c>
      <c r="G21" s="57">
        <v>8397</v>
      </c>
      <c r="H21" s="347">
        <v>54834</v>
      </c>
      <c r="I21" s="167">
        <v>19687</v>
      </c>
      <c r="J21" s="347">
        <v>0</v>
      </c>
      <c r="K21" s="348">
        <v>74521</v>
      </c>
    </row>
    <row r="22" spans="1:11">
      <c r="A22" s="45" t="s">
        <v>261</v>
      </c>
      <c r="B22" s="49" t="s">
        <v>157</v>
      </c>
      <c r="F22" s="57">
        <v>587</v>
      </c>
      <c r="G22" s="57">
        <v>1007</v>
      </c>
      <c r="H22" s="347">
        <v>21845</v>
      </c>
      <c r="I22" s="167">
        <v>15366</v>
      </c>
      <c r="J22" s="347">
        <v>0</v>
      </c>
      <c r="K22" s="348">
        <v>37211</v>
      </c>
    </row>
    <row r="23" spans="1:11">
      <c r="A23" s="45" t="s">
        <v>262</v>
      </c>
      <c r="B23" s="49" t="s">
        <v>158</v>
      </c>
      <c r="F23" s="57">
        <v>0</v>
      </c>
      <c r="G23" s="57">
        <v>0</v>
      </c>
      <c r="H23" s="347">
        <v>0</v>
      </c>
      <c r="I23" s="167">
        <v>0</v>
      </c>
      <c r="J23" s="347">
        <v>0</v>
      </c>
      <c r="K23" s="348">
        <v>0</v>
      </c>
    </row>
    <row r="24" spans="1:11">
      <c r="A24" s="45" t="s">
        <v>263</v>
      </c>
      <c r="B24" s="49" t="s">
        <v>159</v>
      </c>
      <c r="F24" s="57">
        <v>0</v>
      </c>
      <c r="G24" s="57">
        <v>0</v>
      </c>
      <c r="H24" s="347">
        <v>0</v>
      </c>
      <c r="I24" s="167">
        <v>0</v>
      </c>
      <c r="J24" s="347">
        <v>0</v>
      </c>
      <c r="K24" s="348">
        <v>0</v>
      </c>
    </row>
    <row r="25" spans="1:11">
      <c r="A25" s="45" t="s">
        <v>264</v>
      </c>
      <c r="B25" s="49" t="s">
        <v>160</v>
      </c>
      <c r="F25" s="57">
        <v>268</v>
      </c>
      <c r="G25" s="57">
        <v>490</v>
      </c>
      <c r="H25" s="347">
        <v>15202</v>
      </c>
      <c r="I25" s="167">
        <v>6142</v>
      </c>
      <c r="J25" s="347">
        <v>0</v>
      </c>
      <c r="K25" s="348">
        <v>21344</v>
      </c>
    </row>
    <row r="26" spans="1:11">
      <c r="A26" s="45" t="s">
        <v>265</v>
      </c>
      <c r="B26" s="49" t="s">
        <v>161</v>
      </c>
      <c r="F26" s="57">
        <v>114</v>
      </c>
      <c r="G26" s="57">
        <v>250</v>
      </c>
      <c r="H26" s="347">
        <v>3150</v>
      </c>
      <c r="I26" s="167">
        <v>0</v>
      </c>
      <c r="J26" s="347">
        <v>0</v>
      </c>
      <c r="K26" s="348">
        <v>3150</v>
      </c>
    </row>
    <row r="27" spans="1:11">
      <c r="A27" s="45" t="s">
        <v>266</v>
      </c>
      <c r="B27" s="49" t="s">
        <v>162</v>
      </c>
      <c r="F27" s="57">
        <v>860</v>
      </c>
      <c r="G27" s="57">
        <v>291</v>
      </c>
      <c r="H27" s="347">
        <v>23431</v>
      </c>
      <c r="I27" s="167">
        <v>0</v>
      </c>
      <c r="J27" s="347">
        <v>0</v>
      </c>
      <c r="K27" s="348">
        <v>23431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501</v>
      </c>
      <c r="G29" s="57">
        <v>1215</v>
      </c>
      <c r="H29" s="347">
        <v>150058</v>
      </c>
      <c r="I29" s="167">
        <v>11447</v>
      </c>
      <c r="J29" s="347">
        <v>120756</v>
      </c>
      <c r="K29" s="348">
        <v>40749</v>
      </c>
    </row>
    <row r="30" spans="1:11">
      <c r="A30" s="45" t="s">
        <v>269</v>
      </c>
      <c r="B30" s="814" t="s">
        <v>580</v>
      </c>
      <c r="C30" s="815"/>
      <c r="D30" s="816"/>
      <c r="F30" s="57">
        <v>927</v>
      </c>
      <c r="G30" s="57">
        <v>1273</v>
      </c>
      <c r="H30" s="347">
        <v>35476</v>
      </c>
      <c r="I30" s="167">
        <v>3523</v>
      </c>
      <c r="J30" s="347">
        <v>0</v>
      </c>
      <c r="K30" s="348">
        <v>38999</v>
      </c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332"/>
      <c r="C32" s="333"/>
      <c r="D32" s="334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332"/>
      <c r="C33" s="333"/>
      <c r="D33" s="334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4568</v>
      </c>
      <c r="G36" s="350">
        <f t="shared" si="0"/>
        <v>12923</v>
      </c>
      <c r="H36" s="348">
        <f t="shared" si="0"/>
        <v>303996</v>
      </c>
      <c r="I36" s="348">
        <f t="shared" si="0"/>
        <v>56165</v>
      </c>
      <c r="J36" s="348">
        <f t="shared" si="0"/>
        <v>120756</v>
      </c>
      <c r="K36" s="348">
        <f t="shared" si="0"/>
        <v>239405</v>
      </c>
    </row>
    <row r="37" spans="1:11" ht="13.5" thickBot="1">
      <c r="B37" s="43"/>
      <c r="F37" s="351"/>
      <c r="G37" s="351"/>
      <c r="H37" s="352"/>
      <c r="I37" s="352"/>
      <c r="J37" s="352"/>
      <c r="K37" s="353"/>
    </row>
    <row r="38" spans="1:11" ht="25.5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237</v>
      </c>
      <c r="G40" s="57">
        <v>12</v>
      </c>
      <c r="H40" s="347">
        <v>11872</v>
      </c>
      <c r="I40" s="167">
        <v>8548</v>
      </c>
      <c r="J40" s="347">
        <v>0</v>
      </c>
      <c r="K40" s="348">
        <v>20420</v>
      </c>
    </row>
    <row r="41" spans="1:11">
      <c r="A41" s="45" t="s">
        <v>278</v>
      </c>
      <c r="B41" s="818" t="s">
        <v>172</v>
      </c>
      <c r="C41" s="818"/>
      <c r="F41" s="57">
        <v>1924</v>
      </c>
      <c r="G41" s="57">
        <v>160</v>
      </c>
      <c r="H41" s="347">
        <v>65399</v>
      </c>
      <c r="I41" s="167">
        <v>47085</v>
      </c>
      <c r="J41" s="347">
        <v>0</v>
      </c>
      <c r="K41" s="348">
        <v>112484</v>
      </c>
    </row>
    <row r="42" spans="1:11">
      <c r="A42" s="45" t="s">
        <v>279</v>
      </c>
      <c r="B42" s="49" t="s">
        <v>174</v>
      </c>
      <c r="F42" s="57">
        <v>2601</v>
      </c>
      <c r="G42" s="57">
        <v>178</v>
      </c>
      <c r="H42" s="347">
        <v>90799</v>
      </c>
      <c r="I42" s="167">
        <v>65373</v>
      </c>
      <c r="J42" s="347">
        <v>0</v>
      </c>
      <c r="K42" s="348">
        <v>156172</v>
      </c>
    </row>
    <row r="43" spans="1:11">
      <c r="A43" s="45" t="s">
        <v>280</v>
      </c>
      <c r="B43" s="49" t="s">
        <v>176</v>
      </c>
      <c r="F43" s="57">
        <v>120</v>
      </c>
      <c r="G43" s="57">
        <v>1125</v>
      </c>
      <c r="H43" s="347">
        <v>4710</v>
      </c>
      <c r="I43" s="167">
        <v>0</v>
      </c>
      <c r="J43" s="347">
        <v>0</v>
      </c>
      <c r="K43" s="348">
        <v>4710</v>
      </c>
    </row>
    <row r="44" spans="1:11">
      <c r="A44" s="45" t="s">
        <v>281</v>
      </c>
      <c r="B44" s="814"/>
      <c r="C44" s="815"/>
      <c r="D44" s="816"/>
      <c r="F44" s="57"/>
      <c r="G44" s="57"/>
      <c r="H44" s="347"/>
      <c r="I44" s="167"/>
      <c r="J44" s="347"/>
      <c r="K44" s="354"/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1">SUM(F40:F47)</f>
        <v>4882</v>
      </c>
      <c r="G49" s="355">
        <f t="shared" si="1"/>
        <v>1475</v>
      </c>
      <c r="H49" s="348">
        <f t="shared" si="1"/>
        <v>172780</v>
      </c>
      <c r="I49" s="348">
        <f t="shared" si="1"/>
        <v>121006</v>
      </c>
      <c r="J49" s="348">
        <f t="shared" si="1"/>
        <v>0</v>
      </c>
      <c r="K49" s="348">
        <f t="shared" si="1"/>
        <v>293786</v>
      </c>
    </row>
    <row r="50" spans="1:11" ht="13.5" thickBot="1">
      <c r="G50" s="356"/>
      <c r="H50" s="352"/>
      <c r="I50" s="352"/>
      <c r="J50" s="352"/>
      <c r="K50" s="352"/>
    </row>
    <row r="51" spans="1:11" ht="25.5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22" t="s">
        <v>182</v>
      </c>
      <c r="C53" s="867" t="s">
        <v>182</v>
      </c>
      <c r="D53" s="865" t="s">
        <v>182</v>
      </c>
      <c r="F53" s="57">
        <v>0</v>
      </c>
      <c r="G53" s="57">
        <v>18</v>
      </c>
      <c r="H53" s="347">
        <v>9621935</v>
      </c>
      <c r="I53" s="167">
        <v>9225</v>
      </c>
      <c r="J53" s="347">
        <v>5276971</v>
      </c>
      <c r="K53" s="348">
        <v>4354189</v>
      </c>
    </row>
    <row r="54" spans="1:11">
      <c r="A54" s="45" t="s">
        <v>289</v>
      </c>
      <c r="B54" s="335" t="s">
        <v>183</v>
      </c>
      <c r="C54" s="337"/>
      <c r="D54" s="338"/>
      <c r="F54" s="57">
        <v>0</v>
      </c>
      <c r="G54" s="57">
        <v>0</v>
      </c>
      <c r="H54" s="347">
        <v>509550</v>
      </c>
      <c r="I54" s="167">
        <v>366876</v>
      </c>
      <c r="J54" s="347">
        <v>0</v>
      </c>
      <c r="K54" s="348">
        <v>876426</v>
      </c>
    </row>
    <row r="55" spans="1:11">
      <c r="A55" s="45" t="s">
        <v>291</v>
      </c>
      <c r="B55" s="817" t="s">
        <v>546</v>
      </c>
      <c r="C55" s="864" t="s">
        <v>546</v>
      </c>
      <c r="D55" s="865" t="s">
        <v>546</v>
      </c>
      <c r="F55" s="57">
        <v>24713</v>
      </c>
      <c r="G55" s="57">
        <v>4541</v>
      </c>
      <c r="H55" s="347">
        <v>943334</v>
      </c>
      <c r="I55" s="167">
        <v>0</v>
      </c>
      <c r="J55" s="347">
        <v>642007</v>
      </c>
      <c r="K55" s="348">
        <v>301327</v>
      </c>
    </row>
    <row r="56" spans="1:11">
      <c r="A56" s="45" t="s">
        <v>293</v>
      </c>
      <c r="B56" s="817" t="s">
        <v>547</v>
      </c>
      <c r="C56" s="864" t="s">
        <v>547</v>
      </c>
      <c r="D56" s="865" t="s">
        <v>547</v>
      </c>
      <c r="F56" s="57">
        <v>0</v>
      </c>
      <c r="G56" s="57">
        <v>47</v>
      </c>
      <c r="H56" s="347">
        <v>209061</v>
      </c>
      <c r="I56" s="167">
        <v>0</v>
      </c>
      <c r="J56" s="347">
        <v>0</v>
      </c>
      <c r="K56" s="348">
        <v>209061</v>
      </c>
    </row>
    <row r="57" spans="1:11">
      <c r="A57" s="45" t="s">
        <v>295</v>
      </c>
      <c r="B57" s="817"/>
      <c r="C57" s="864"/>
      <c r="D57" s="865"/>
      <c r="F57" s="70"/>
      <c r="G57" s="57"/>
      <c r="H57" s="347"/>
      <c r="I57" s="167"/>
      <c r="J57" s="347"/>
      <c r="K57" s="348"/>
    </row>
    <row r="58" spans="1:11">
      <c r="A58" s="45" t="s">
        <v>298</v>
      </c>
      <c r="B58" s="335"/>
      <c r="C58" s="337"/>
      <c r="D58" s="338"/>
      <c r="F58" s="70"/>
      <c r="G58" s="70"/>
      <c r="H58" s="347"/>
      <c r="I58" s="167"/>
      <c r="J58" s="347"/>
      <c r="K58" s="348"/>
    </row>
    <row r="59" spans="1:11">
      <c r="A59" s="45" t="s">
        <v>300</v>
      </c>
      <c r="B59" s="817"/>
      <c r="C59" s="864"/>
      <c r="D59" s="865"/>
      <c r="F59" s="70"/>
      <c r="G59" s="70"/>
      <c r="H59" s="347"/>
      <c r="I59" s="167"/>
      <c r="J59" s="347"/>
      <c r="K59" s="348"/>
    </row>
    <row r="60" spans="1:11">
      <c r="A60" s="45" t="s">
        <v>302</v>
      </c>
      <c r="B60" s="335"/>
      <c r="C60" s="337"/>
      <c r="D60" s="338"/>
      <c r="F60" s="57"/>
      <c r="G60" s="57"/>
      <c r="H60" s="347"/>
      <c r="I60" s="167"/>
      <c r="J60" s="347"/>
      <c r="K60" s="348"/>
    </row>
    <row r="61" spans="1:11">
      <c r="A61" s="45" t="s">
        <v>303</v>
      </c>
      <c r="B61" s="335"/>
      <c r="C61" s="337"/>
      <c r="D61" s="338"/>
      <c r="F61" s="57"/>
      <c r="G61" s="57"/>
      <c r="H61" s="347"/>
      <c r="I61" s="167"/>
      <c r="J61" s="347"/>
      <c r="K61" s="348"/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/>
      <c r="J62" s="347"/>
      <c r="K62" s="348"/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SUM(F53:F62)</f>
        <v>24713</v>
      </c>
      <c r="G64" s="350">
        <f t="shared" si="2"/>
        <v>4606</v>
      </c>
      <c r="H64" s="348">
        <f t="shared" si="2"/>
        <v>11283880</v>
      </c>
      <c r="I64" s="348">
        <f t="shared" si="2"/>
        <v>376101</v>
      </c>
      <c r="J64" s="348">
        <f t="shared" si="2"/>
        <v>5918978</v>
      </c>
      <c r="K64" s="348">
        <f t="shared" si="2"/>
        <v>5741003</v>
      </c>
    </row>
    <row r="65" spans="1:11">
      <c r="F65" s="358"/>
      <c r="G65" s="358"/>
      <c r="H65" s="394"/>
      <c r="I65" s="394"/>
      <c r="J65" s="394"/>
      <c r="K65" s="394"/>
    </row>
    <row r="66" spans="1:11" ht="25.5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0</v>
      </c>
      <c r="G68" s="362">
        <v>0</v>
      </c>
      <c r="H68" s="347">
        <v>0</v>
      </c>
      <c r="I68" s="167">
        <v>0</v>
      </c>
      <c r="J68" s="347">
        <v>0</v>
      </c>
      <c r="K68" s="348">
        <v>0</v>
      </c>
    </row>
    <row r="69" spans="1:11">
      <c r="A69" s="45" t="s">
        <v>307</v>
      </c>
      <c r="B69" s="49" t="s">
        <v>190</v>
      </c>
      <c r="F69" s="362">
        <v>0</v>
      </c>
      <c r="G69" s="362">
        <v>0</v>
      </c>
      <c r="H69" s="347">
        <v>0</v>
      </c>
      <c r="I69" s="167">
        <v>0</v>
      </c>
      <c r="J69" s="347">
        <v>0</v>
      </c>
      <c r="K69" s="348">
        <v>0</v>
      </c>
    </row>
    <row r="70" spans="1:11">
      <c r="A70" s="45" t="s">
        <v>308</v>
      </c>
      <c r="B70" s="335"/>
      <c r="C70" s="337"/>
      <c r="D70" s="338"/>
      <c r="E70" s="43"/>
      <c r="F70" s="364"/>
      <c r="G70" s="364"/>
      <c r="H70" s="363"/>
      <c r="I70" s="167"/>
      <c r="J70" s="363"/>
      <c r="K70" s="348"/>
    </row>
    <row r="71" spans="1:11">
      <c r="A71" s="45" t="s">
        <v>309</v>
      </c>
      <c r="B71" s="335"/>
      <c r="C71" s="337"/>
      <c r="D71" s="338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336"/>
      <c r="C72" s="339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3">SUM(F68:F72)</f>
        <v>0</v>
      </c>
      <c r="G74" s="368">
        <f t="shared" si="3"/>
        <v>0</v>
      </c>
      <c r="H74" s="354">
        <f t="shared" si="3"/>
        <v>0</v>
      </c>
      <c r="I74" s="370">
        <f t="shared" si="3"/>
        <v>0</v>
      </c>
      <c r="J74" s="354">
        <f t="shared" si="3"/>
        <v>0</v>
      </c>
      <c r="K74" s="354">
        <f t="shared" si="3"/>
        <v>0</v>
      </c>
    </row>
    <row r="75" spans="1:11" ht="25.5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0</v>
      </c>
      <c r="G77" s="57">
        <v>0</v>
      </c>
      <c r="H77" s="347">
        <v>200</v>
      </c>
      <c r="I77" s="167">
        <v>0</v>
      </c>
      <c r="J77" s="347">
        <v>0</v>
      </c>
      <c r="K77" s="348">
        <v>200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57">
        <v>2231</v>
      </c>
      <c r="G79" s="57">
        <v>24402</v>
      </c>
      <c r="H79" s="347">
        <v>454409</v>
      </c>
      <c r="I79" s="167">
        <v>115923</v>
      </c>
      <c r="J79" s="347">
        <v>135202</v>
      </c>
      <c r="K79" s="348">
        <v>435130</v>
      </c>
    </row>
    <row r="80" spans="1:11">
      <c r="A80" s="45" t="s">
        <v>315</v>
      </c>
      <c r="B80" s="49" t="s">
        <v>316</v>
      </c>
      <c r="F80" s="57">
        <v>104</v>
      </c>
      <c r="G80" s="57">
        <v>272</v>
      </c>
      <c r="H80" s="347">
        <v>4114</v>
      </c>
      <c r="I80" s="167">
        <v>973</v>
      </c>
      <c r="J80" s="347">
        <v>0</v>
      </c>
      <c r="K80" s="348">
        <v>5087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4">SUM(F77:F80)</f>
        <v>2335</v>
      </c>
      <c r="G82" s="455">
        <f t="shared" si="4"/>
        <v>24674</v>
      </c>
      <c r="H82" s="354">
        <f t="shared" si="4"/>
        <v>458723</v>
      </c>
      <c r="I82" s="354">
        <f t="shared" si="4"/>
        <v>116896</v>
      </c>
      <c r="J82" s="354">
        <f t="shared" si="4"/>
        <v>135202</v>
      </c>
      <c r="K82" s="354">
        <f t="shared" si="4"/>
        <v>440417</v>
      </c>
    </row>
    <row r="83" spans="1:11" ht="13.5" thickBot="1">
      <c r="A83" s="45"/>
      <c r="F83" s="356"/>
      <c r="G83" s="356"/>
      <c r="H83" s="352"/>
      <c r="I83" s="352"/>
      <c r="J83" s="352"/>
      <c r="K83" s="352"/>
    </row>
    <row r="84" spans="1:11" ht="25.5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60</v>
      </c>
      <c r="G87" s="57">
        <v>335</v>
      </c>
      <c r="H87" s="347">
        <v>21330</v>
      </c>
      <c r="I87" s="167">
        <v>0</v>
      </c>
      <c r="J87" s="347">
        <v>0</v>
      </c>
      <c r="K87" s="348">
        <v>21330</v>
      </c>
    </row>
    <row r="88" spans="1:11">
      <c r="A88" s="45" t="s">
        <v>321</v>
      </c>
      <c r="B88" s="49" t="s">
        <v>208</v>
      </c>
      <c r="F88" s="57">
        <v>106</v>
      </c>
      <c r="G88" s="57">
        <v>149</v>
      </c>
      <c r="H88" s="347">
        <v>8828</v>
      </c>
      <c r="I88" s="167">
        <v>986</v>
      </c>
      <c r="J88" s="347">
        <v>0</v>
      </c>
      <c r="K88" s="348">
        <v>9814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v>0</v>
      </c>
      <c r="J89" s="347">
        <v>0</v>
      </c>
      <c r="K89" s="348">
        <v>0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0</v>
      </c>
      <c r="G91" s="57">
        <v>0</v>
      </c>
      <c r="H91" s="347">
        <v>0</v>
      </c>
      <c r="I91" s="167">
        <v>0</v>
      </c>
      <c r="J91" s="347">
        <v>0</v>
      </c>
      <c r="K91" s="348">
        <v>0</v>
      </c>
    </row>
    <row r="92" spans="1:11">
      <c r="A92" s="45" t="s">
        <v>325</v>
      </c>
      <c r="B92" s="49" t="s">
        <v>216</v>
      </c>
      <c r="F92" s="372">
        <v>0</v>
      </c>
      <c r="G92" s="372">
        <v>0</v>
      </c>
      <c r="H92" s="373">
        <v>0</v>
      </c>
      <c r="I92" s="167">
        <v>0</v>
      </c>
      <c r="J92" s="373">
        <v>0</v>
      </c>
      <c r="K92" s="348">
        <v>0</v>
      </c>
    </row>
    <row r="93" spans="1:11">
      <c r="A93" s="45" t="s">
        <v>326</v>
      </c>
      <c r="B93" s="49" t="s">
        <v>218</v>
      </c>
      <c r="F93" s="57">
        <v>1140</v>
      </c>
      <c r="G93" s="57">
        <v>433</v>
      </c>
      <c r="H93" s="347">
        <v>88625</v>
      </c>
      <c r="I93" s="167">
        <v>13962</v>
      </c>
      <c r="J93" s="347">
        <v>0</v>
      </c>
      <c r="K93" s="348">
        <v>102587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1306</v>
      </c>
      <c r="G98" s="350">
        <f t="shared" si="5"/>
        <v>917</v>
      </c>
      <c r="H98" s="348">
        <f t="shared" si="5"/>
        <v>118783</v>
      </c>
      <c r="I98" s="348">
        <f t="shared" si="5"/>
        <v>14948</v>
      </c>
      <c r="J98" s="348">
        <f t="shared" si="5"/>
        <v>0</v>
      </c>
      <c r="K98" s="348">
        <f t="shared" si="5"/>
        <v>133731</v>
      </c>
    </row>
    <row r="99" spans="1:11" ht="13.5" thickBot="1">
      <c r="B99" s="43"/>
      <c r="F99" s="356"/>
      <c r="G99" s="356"/>
      <c r="H99" s="352"/>
      <c r="I99" s="352"/>
      <c r="J99" s="352"/>
      <c r="K99" s="352"/>
    </row>
    <row r="100" spans="1:11" ht="25.5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2172</v>
      </c>
      <c r="G102" s="57">
        <v>0</v>
      </c>
      <c r="H102" s="347">
        <v>68776</v>
      </c>
      <c r="I102" s="167">
        <v>49518</v>
      </c>
      <c r="J102" s="347">
        <v>0</v>
      </c>
      <c r="K102" s="348">
        <v>118294</v>
      </c>
    </row>
    <row r="103" spans="1:11">
      <c r="A103" s="45" t="s">
        <v>333</v>
      </c>
      <c r="B103" s="818" t="s">
        <v>226</v>
      </c>
      <c r="C103" s="818"/>
      <c r="F103" s="57">
        <v>44</v>
      </c>
      <c r="G103" s="57">
        <v>57</v>
      </c>
      <c r="H103" s="347">
        <v>2115</v>
      </c>
      <c r="I103" s="167">
        <v>1231</v>
      </c>
      <c r="J103" s="347">
        <v>0</v>
      </c>
      <c r="K103" s="348">
        <v>3346</v>
      </c>
    </row>
    <row r="104" spans="1:11">
      <c r="A104" s="45" t="s">
        <v>334</v>
      </c>
      <c r="B104" s="817"/>
      <c r="C104" s="864"/>
      <c r="D104" s="865"/>
      <c r="F104" s="57">
        <v>29</v>
      </c>
      <c r="G104" s="57">
        <v>82</v>
      </c>
      <c r="H104" s="347">
        <v>4643</v>
      </c>
      <c r="I104" s="167">
        <v>643</v>
      </c>
      <c r="J104" s="347">
        <v>0</v>
      </c>
      <c r="K104" s="348">
        <v>5286</v>
      </c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/>
      <c r="J105" s="347"/>
      <c r="K105" s="348"/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2245</v>
      </c>
      <c r="G108" s="350">
        <f t="shared" si="6"/>
        <v>139</v>
      </c>
      <c r="H108" s="348">
        <f t="shared" si="6"/>
        <v>75534</v>
      </c>
      <c r="I108" s="348">
        <f t="shared" si="6"/>
        <v>51392</v>
      </c>
      <c r="J108" s="348">
        <f t="shared" si="6"/>
        <v>0</v>
      </c>
      <c r="K108" s="348">
        <f t="shared" si="6"/>
        <v>126926</v>
      </c>
    </row>
    <row r="109" spans="1:11" ht="13.5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3767210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0.72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151255378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4465685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f>SUM(F117:F118)</f>
        <v>155721063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141135143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4957918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4323594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9281512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5.5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  <c r="H138" s="384"/>
      <c r="I138" s="384"/>
      <c r="J138" s="384"/>
      <c r="K138" s="384"/>
    </row>
    <row r="139" spans="1:11" ht="25.5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8">F36</f>
        <v>4568</v>
      </c>
      <c r="G141" s="377">
        <f t="shared" si="8"/>
        <v>12923</v>
      </c>
      <c r="H141" s="380">
        <f t="shared" si="8"/>
        <v>303996</v>
      </c>
      <c r="I141" s="380">
        <f t="shared" si="8"/>
        <v>56165</v>
      </c>
      <c r="J141" s="380">
        <f t="shared" si="8"/>
        <v>120756</v>
      </c>
      <c r="K141" s="380">
        <f t="shared" si="8"/>
        <v>239405</v>
      </c>
    </row>
    <row r="142" spans="1:11">
      <c r="A142" s="45" t="s">
        <v>286</v>
      </c>
      <c r="B142" s="43" t="s">
        <v>125</v>
      </c>
      <c r="F142" s="456">
        <f t="shared" ref="F142:K142" si="9">F49</f>
        <v>4882</v>
      </c>
      <c r="G142" s="456">
        <f t="shared" si="9"/>
        <v>1475</v>
      </c>
      <c r="H142" s="380">
        <f t="shared" si="9"/>
        <v>172780</v>
      </c>
      <c r="I142" s="380">
        <f t="shared" si="9"/>
        <v>121006</v>
      </c>
      <c r="J142" s="380">
        <f t="shared" si="9"/>
        <v>0</v>
      </c>
      <c r="K142" s="380">
        <f t="shared" si="9"/>
        <v>293786</v>
      </c>
    </row>
    <row r="143" spans="1:11">
      <c r="A143" s="45" t="s">
        <v>305</v>
      </c>
      <c r="B143" s="43" t="s">
        <v>247</v>
      </c>
      <c r="F143" s="377">
        <f t="shared" ref="F143:K143" si="10">F64</f>
        <v>24713</v>
      </c>
      <c r="G143" s="377">
        <f t="shared" si="10"/>
        <v>4606</v>
      </c>
      <c r="H143" s="380">
        <f t="shared" si="10"/>
        <v>11283880</v>
      </c>
      <c r="I143" s="380">
        <f t="shared" si="10"/>
        <v>376101</v>
      </c>
      <c r="J143" s="380">
        <f t="shared" si="10"/>
        <v>5918978</v>
      </c>
      <c r="K143" s="380">
        <f t="shared" si="10"/>
        <v>5741003</v>
      </c>
    </row>
    <row r="144" spans="1:11">
      <c r="A144" s="45" t="s">
        <v>311</v>
      </c>
      <c r="B144" s="43" t="s">
        <v>127</v>
      </c>
      <c r="F144" s="377">
        <f t="shared" ref="F144:K144" si="11">F74</f>
        <v>0</v>
      </c>
      <c r="G144" s="377">
        <f t="shared" si="11"/>
        <v>0</v>
      </c>
      <c r="H144" s="380">
        <f t="shared" si="11"/>
        <v>0</v>
      </c>
      <c r="I144" s="380">
        <f t="shared" si="11"/>
        <v>0</v>
      </c>
      <c r="J144" s="380">
        <f t="shared" si="11"/>
        <v>0</v>
      </c>
      <c r="K144" s="380">
        <f t="shared" si="11"/>
        <v>0</v>
      </c>
    </row>
    <row r="145" spans="1:11">
      <c r="A145" s="45" t="s">
        <v>317</v>
      </c>
      <c r="B145" s="43" t="s">
        <v>248</v>
      </c>
      <c r="F145" s="377">
        <f t="shared" ref="F145:K145" si="12">F82</f>
        <v>2335</v>
      </c>
      <c r="G145" s="377">
        <f t="shared" si="12"/>
        <v>24674</v>
      </c>
      <c r="H145" s="380">
        <f t="shared" si="12"/>
        <v>458723</v>
      </c>
      <c r="I145" s="380">
        <f t="shared" si="12"/>
        <v>116896</v>
      </c>
      <c r="J145" s="380">
        <f t="shared" si="12"/>
        <v>135202</v>
      </c>
      <c r="K145" s="380">
        <f t="shared" si="12"/>
        <v>440417</v>
      </c>
    </row>
    <row r="146" spans="1:11">
      <c r="A146" s="45" t="s">
        <v>331</v>
      </c>
      <c r="B146" s="43" t="s">
        <v>249</v>
      </c>
      <c r="F146" s="377">
        <f t="shared" ref="F146:K146" si="13">F98</f>
        <v>1306</v>
      </c>
      <c r="G146" s="377">
        <f t="shared" si="13"/>
        <v>917</v>
      </c>
      <c r="H146" s="380">
        <f t="shared" si="13"/>
        <v>118783</v>
      </c>
      <c r="I146" s="380">
        <f t="shared" si="13"/>
        <v>14948</v>
      </c>
      <c r="J146" s="380">
        <f t="shared" si="13"/>
        <v>0</v>
      </c>
      <c r="K146" s="380">
        <f t="shared" si="13"/>
        <v>133731</v>
      </c>
    </row>
    <row r="147" spans="1:11">
      <c r="A147" s="45" t="s">
        <v>338</v>
      </c>
      <c r="B147" s="43" t="s">
        <v>129</v>
      </c>
      <c r="F147" s="350">
        <f t="shared" ref="F147:K147" si="14">F108</f>
        <v>2245</v>
      </c>
      <c r="G147" s="350">
        <f t="shared" si="14"/>
        <v>139</v>
      </c>
      <c r="H147" s="348">
        <f t="shared" si="14"/>
        <v>75534</v>
      </c>
      <c r="I147" s="348">
        <f t="shared" si="14"/>
        <v>51392</v>
      </c>
      <c r="J147" s="348">
        <f t="shared" si="14"/>
        <v>0</v>
      </c>
      <c r="K147" s="348">
        <f t="shared" si="14"/>
        <v>126926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3767210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3760037</v>
      </c>
      <c r="I150" s="348">
        <f>I18</f>
        <v>0</v>
      </c>
      <c r="J150" s="348">
        <f>J18</f>
        <v>3215302</v>
      </c>
      <c r="K150" s="348">
        <f>K18</f>
        <v>544735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40049</v>
      </c>
      <c r="G152" s="381">
        <f t="shared" si="16"/>
        <v>44734</v>
      </c>
      <c r="H152" s="457">
        <f t="shared" si="16"/>
        <v>16173733</v>
      </c>
      <c r="I152" s="457">
        <f t="shared" si="16"/>
        <v>736508</v>
      </c>
      <c r="J152" s="457">
        <f t="shared" si="16"/>
        <v>9390238</v>
      </c>
      <c r="K152" s="457">
        <f t="shared" si="16"/>
        <v>11287213</v>
      </c>
    </row>
    <row r="154" spans="1:11">
      <c r="A154" s="48" t="s">
        <v>361</v>
      </c>
      <c r="B154" s="43" t="s">
        <v>252</v>
      </c>
      <c r="F154" s="459">
        <f>K152/F121</f>
        <v>7.99745035862542E-2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1.2160963644716507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C11:G11"/>
    <mergeCell ref="D2:H2"/>
    <mergeCell ref="C5:G5"/>
    <mergeCell ref="C6:G6"/>
    <mergeCell ref="C7:G7"/>
    <mergeCell ref="C9:G9"/>
    <mergeCell ref="C10:G10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90:C90"/>
    <mergeCell ref="B94:D94"/>
    <mergeCell ref="B95:D95"/>
    <mergeCell ref="B96:D96"/>
    <mergeCell ref="B134:D134"/>
    <mergeCell ref="B135:D135"/>
    <mergeCell ref="B103:C103"/>
    <mergeCell ref="B104:D104"/>
    <mergeCell ref="B105:D105"/>
    <mergeCell ref="B106:D106"/>
    <mergeCell ref="B133:D13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2" workbookViewId="0">
      <selection activeCell="B43" sqref="B43"/>
    </sheetView>
  </sheetViews>
  <sheetFormatPr defaultRowHeight="12.75"/>
  <cols>
    <col min="1" max="1" width="8.28515625" style="39" customWidth="1"/>
    <col min="2" max="2" width="55.42578125" style="40" bestFit="1" customWidth="1"/>
    <col min="3" max="3" width="9.5703125" style="40" customWidth="1"/>
    <col min="4" max="4" width="9.140625" style="40"/>
    <col min="5" max="5" width="12.42578125" style="40" customWidth="1"/>
    <col min="6" max="6" width="18.5703125" style="40" customWidth="1"/>
    <col min="7" max="7" width="23.5703125" style="40" customWidth="1"/>
    <col min="8" max="8" width="17.140625" style="40" customWidth="1"/>
    <col min="9" max="9" width="21.140625" style="40" customWidth="1"/>
    <col min="10" max="10" width="19.85546875" style="40" customWidth="1"/>
    <col min="11" max="11" width="17.5703125" style="40" customWidth="1"/>
    <col min="12" max="16384" width="9.14062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581</v>
      </c>
      <c r="D5" s="827"/>
      <c r="E5" s="827"/>
      <c r="F5" s="827"/>
      <c r="G5" s="828"/>
    </row>
    <row r="6" spans="1:11" ht="18" customHeight="1">
      <c r="B6" s="45" t="s">
        <v>136</v>
      </c>
      <c r="C6" s="886" t="s">
        <v>582</v>
      </c>
      <c r="D6" s="830"/>
      <c r="E6" s="830"/>
      <c r="F6" s="830"/>
      <c r="G6" s="831"/>
    </row>
    <row r="7" spans="1:11" ht="18" customHeight="1">
      <c r="B7" s="45" t="s">
        <v>137</v>
      </c>
      <c r="C7" s="966">
        <v>1975</v>
      </c>
      <c r="D7" s="967"/>
      <c r="E7" s="967"/>
      <c r="F7" s="967"/>
      <c r="G7" s="968"/>
    </row>
    <row r="9" spans="1:11" ht="18" customHeight="1">
      <c r="B9" s="45" t="s">
        <v>138</v>
      </c>
      <c r="C9" s="843" t="s">
        <v>583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584</v>
      </c>
      <c r="D10" s="836"/>
      <c r="E10" s="836"/>
      <c r="F10" s="836"/>
      <c r="G10" s="837"/>
    </row>
    <row r="11" spans="1:11" ht="18" customHeight="1">
      <c r="B11" s="45" t="s">
        <v>142</v>
      </c>
      <c r="C11" s="969" t="s">
        <v>585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6434694</v>
      </c>
      <c r="I18" s="52">
        <v>0</v>
      </c>
      <c r="J18" s="51">
        <v>5502468</v>
      </c>
      <c r="K18" s="53">
        <f>(H18+I18)-J18</f>
        <v>932226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14508</v>
      </c>
      <c r="G21" s="50">
        <v>30310</v>
      </c>
      <c r="H21" s="51">
        <v>834548</v>
      </c>
      <c r="I21" s="52">
        <f t="shared" ref="I21:I34" si="0">H21*F$114</f>
        <v>417274</v>
      </c>
      <c r="J21" s="51">
        <v>36388</v>
      </c>
      <c r="K21" s="53">
        <f t="shared" ref="K21:K34" si="1">(H21+I21)-J21</f>
        <v>1215434</v>
      </c>
    </row>
    <row r="22" spans="1:11" ht="18" customHeight="1">
      <c r="A22" s="45" t="s">
        <v>261</v>
      </c>
      <c r="B22" s="40" t="s">
        <v>157</v>
      </c>
      <c r="F22" s="50">
        <v>104</v>
      </c>
      <c r="G22" s="50">
        <v>1848</v>
      </c>
      <c r="H22" s="51">
        <v>5078</v>
      </c>
      <c r="I22" s="52">
        <f t="shared" si="0"/>
        <v>2539</v>
      </c>
      <c r="J22" s="51"/>
      <c r="K22" s="53">
        <f t="shared" si="1"/>
        <v>7617</v>
      </c>
    </row>
    <row r="23" spans="1:11" ht="18" customHeight="1">
      <c r="A23" s="45" t="s">
        <v>262</v>
      </c>
      <c r="B23" s="40" t="s">
        <v>158</v>
      </c>
      <c r="F23" s="50"/>
      <c r="G23" s="50">
        <v>132</v>
      </c>
      <c r="H23" s="51">
        <v>750</v>
      </c>
      <c r="I23" s="52">
        <f t="shared" si="0"/>
        <v>375</v>
      </c>
      <c r="J23" s="51">
        <v>0</v>
      </c>
      <c r="K23" s="53">
        <f t="shared" si="1"/>
        <v>1125</v>
      </c>
    </row>
    <row r="24" spans="1:11" ht="18" customHeight="1">
      <c r="A24" s="45" t="s">
        <v>263</v>
      </c>
      <c r="B24" s="40" t="s">
        <v>159</v>
      </c>
      <c r="F24" s="50"/>
      <c r="G24" s="50"/>
      <c r="H24" s="51"/>
      <c r="I24" s="52">
        <f t="shared" si="0"/>
        <v>0</v>
      </c>
      <c r="J24" s="51"/>
      <c r="K24" s="53">
        <f t="shared" si="1"/>
        <v>0</v>
      </c>
    </row>
    <row r="25" spans="1:11" ht="18" customHeight="1">
      <c r="A25" s="45" t="s">
        <v>264</v>
      </c>
      <c r="B25" s="40" t="s">
        <v>160</v>
      </c>
      <c r="F25" s="50">
        <v>4</v>
      </c>
      <c r="G25" s="50">
        <v>1775</v>
      </c>
      <c r="H25" s="51">
        <v>3760</v>
      </c>
      <c r="I25" s="52">
        <f t="shared" si="0"/>
        <v>1880</v>
      </c>
      <c r="J25" s="51">
        <v>2169</v>
      </c>
      <c r="K25" s="53">
        <f t="shared" si="1"/>
        <v>3471</v>
      </c>
    </row>
    <row r="26" spans="1:11" ht="18" customHeight="1">
      <c r="A26" s="45" t="s">
        <v>265</v>
      </c>
      <c r="B26" s="40" t="s">
        <v>161</v>
      </c>
      <c r="F26" s="50"/>
      <c r="G26" s="50"/>
      <c r="H26" s="51"/>
      <c r="I26" s="52">
        <f t="shared" si="0"/>
        <v>0</v>
      </c>
      <c r="J26" s="51"/>
      <c r="K26" s="53">
        <f t="shared" si="1"/>
        <v>0</v>
      </c>
    </row>
    <row r="27" spans="1:11" ht="18" customHeight="1">
      <c r="A27" s="45" t="s">
        <v>266</v>
      </c>
      <c r="B27" s="40" t="s">
        <v>162</v>
      </c>
      <c r="F27" s="50"/>
      <c r="G27" s="50"/>
      <c r="H27" s="51"/>
      <c r="I27" s="52">
        <f t="shared" si="0"/>
        <v>0</v>
      </c>
      <c r="J27" s="51"/>
      <c r="K27" s="53">
        <f t="shared" si="1"/>
        <v>0</v>
      </c>
    </row>
    <row r="28" spans="1:11" ht="18" customHeight="1">
      <c r="A28" s="45" t="s">
        <v>267</v>
      </c>
      <c r="B28" s="40" t="s">
        <v>163</v>
      </c>
      <c r="F28" s="50"/>
      <c r="G28" s="50"/>
      <c r="H28" s="51"/>
      <c r="I28" s="52">
        <f t="shared" si="0"/>
        <v>0</v>
      </c>
      <c r="J28" s="51"/>
      <c r="K28" s="53">
        <f t="shared" si="1"/>
        <v>0</v>
      </c>
    </row>
    <row r="29" spans="1:11" ht="18" customHeight="1">
      <c r="A29" s="45" t="s">
        <v>268</v>
      </c>
      <c r="B29" s="40" t="s">
        <v>165</v>
      </c>
      <c r="F29" s="50">
        <v>6477</v>
      </c>
      <c r="G29" s="50">
        <v>9323</v>
      </c>
      <c r="H29" s="51">
        <v>564217</v>
      </c>
      <c r="I29" s="52">
        <f t="shared" si="0"/>
        <v>282108.5</v>
      </c>
      <c r="J29" s="51"/>
      <c r="K29" s="53">
        <f t="shared" si="1"/>
        <v>846325.5</v>
      </c>
    </row>
    <row r="30" spans="1:11" ht="18" customHeight="1">
      <c r="A30" s="45" t="s">
        <v>269</v>
      </c>
      <c r="B30" s="814" t="s">
        <v>586</v>
      </c>
      <c r="C30" s="815"/>
      <c r="D30" s="816"/>
      <c r="F30" s="50"/>
      <c r="G30" s="50">
        <v>157</v>
      </c>
      <c r="H30" s="51">
        <v>56688</v>
      </c>
      <c r="I30" s="52">
        <f t="shared" si="0"/>
        <v>28344</v>
      </c>
      <c r="J30" s="51"/>
      <c r="K30" s="53">
        <f t="shared" si="1"/>
        <v>85032</v>
      </c>
    </row>
    <row r="31" spans="1:11" ht="18" customHeight="1">
      <c r="A31" s="45" t="s">
        <v>270</v>
      </c>
      <c r="B31" s="814" t="s">
        <v>587</v>
      </c>
      <c r="C31" s="815"/>
      <c r="D31" s="816"/>
      <c r="F31" s="50">
        <v>1462</v>
      </c>
      <c r="G31" s="50">
        <v>37</v>
      </c>
      <c r="H31" s="51">
        <v>126637</v>
      </c>
      <c r="I31" s="52">
        <f t="shared" si="0"/>
        <v>63318.5</v>
      </c>
      <c r="J31" s="51"/>
      <c r="K31" s="53">
        <f t="shared" si="1"/>
        <v>189955.5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0"/>
        <v>0</v>
      </c>
      <c r="J32" s="51"/>
      <c r="K32" s="53">
        <f t="shared" si="1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0"/>
        <v>0</v>
      </c>
      <c r="J33" s="51"/>
      <c r="K33" s="53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0"/>
        <v>0</v>
      </c>
      <c r="J34" s="51"/>
      <c r="K34" s="53">
        <f t="shared" si="1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22555</v>
      </c>
      <c r="G36" s="59">
        <f t="shared" si="2"/>
        <v>43582</v>
      </c>
      <c r="H36" s="59">
        <f t="shared" si="2"/>
        <v>1591678</v>
      </c>
      <c r="I36" s="53">
        <f t="shared" si="2"/>
        <v>795839</v>
      </c>
      <c r="J36" s="53">
        <f t="shared" si="2"/>
        <v>38557</v>
      </c>
      <c r="K36" s="53">
        <f t="shared" si="2"/>
        <v>2348960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/>
      <c r="G40" s="50"/>
      <c r="H40" s="51"/>
      <c r="I40" s="52">
        <v>0</v>
      </c>
      <c r="J40" s="51"/>
      <c r="K40" s="53">
        <f t="shared" ref="K40:K47" si="3">(H40+I40)-J40</f>
        <v>0</v>
      </c>
    </row>
    <row r="41" spans="1:11" ht="18" customHeight="1">
      <c r="A41" s="45" t="s">
        <v>278</v>
      </c>
      <c r="B41" s="818" t="s">
        <v>172</v>
      </c>
      <c r="C41" s="819"/>
      <c r="F41" s="50">
        <v>8784</v>
      </c>
      <c r="G41" s="50">
        <v>387</v>
      </c>
      <c r="H41" s="51">
        <v>270108</v>
      </c>
      <c r="I41" s="52">
        <v>0</v>
      </c>
      <c r="J41" s="51"/>
      <c r="K41" s="53">
        <f t="shared" si="3"/>
        <v>270108</v>
      </c>
    </row>
    <row r="42" spans="1:11" ht="18" customHeight="1">
      <c r="A42" s="45" t="s">
        <v>279</v>
      </c>
      <c r="B42" s="49" t="s">
        <v>174</v>
      </c>
      <c r="F42" s="50">
        <v>3926</v>
      </c>
      <c r="G42" s="50">
        <v>88</v>
      </c>
      <c r="H42" s="51">
        <v>120724</v>
      </c>
      <c r="I42" s="52">
        <v>0</v>
      </c>
      <c r="J42" s="51"/>
      <c r="K42" s="53">
        <f t="shared" si="3"/>
        <v>120724</v>
      </c>
    </row>
    <row r="43" spans="1:11" ht="18" customHeight="1">
      <c r="A43" s="45" t="s">
        <v>280</v>
      </c>
      <c r="B43" s="49" t="s">
        <v>176</v>
      </c>
      <c r="F43" s="50"/>
      <c r="G43" s="50">
        <v>10</v>
      </c>
      <c r="H43" s="51">
        <v>14000</v>
      </c>
      <c r="I43" s="52">
        <v>0</v>
      </c>
      <c r="J43" s="51"/>
      <c r="K43" s="53">
        <f t="shared" si="3"/>
        <v>14000</v>
      </c>
    </row>
    <row r="44" spans="1:11" ht="18" customHeight="1">
      <c r="A44" s="45" t="s">
        <v>281</v>
      </c>
      <c r="B44" s="814" t="s">
        <v>588</v>
      </c>
      <c r="C44" s="815"/>
      <c r="D44" s="816"/>
      <c r="F44" s="50">
        <v>306</v>
      </c>
      <c r="G44" s="50">
        <v>114</v>
      </c>
      <c r="H44" s="50">
        <v>5646</v>
      </c>
      <c r="I44" s="52">
        <v>0</v>
      </c>
      <c r="J44" s="50"/>
      <c r="K44" s="63">
        <f t="shared" si="3"/>
        <v>5646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v>0</v>
      </c>
      <c r="J45" s="51"/>
      <c r="K45" s="53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v>0</v>
      </c>
      <c r="J46" s="51"/>
      <c r="K46" s="53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59">
        <f t="shared" ref="F49:K49" si="4">SUM(F40:F47)</f>
        <v>13016</v>
      </c>
      <c r="G49" s="64">
        <f t="shared" si="4"/>
        <v>599</v>
      </c>
      <c r="H49" s="53">
        <f t="shared" si="4"/>
        <v>410478</v>
      </c>
      <c r="I49" s="53">
        <f t="shared" si="4"/>
        <v>0</v>
      </c>
      <c r="J49" s="53">
        <f t="shared" si="4"/>
        <v>0</v>
      </c>
      <c r="K49" s="53">
        <f t="shared" si="4"/>
        <v>410478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46" t="s">
        <v>589</v>
      </c>
      <c r="C53" s="823"/>
      <c r="D53" s="813"/>
      <c r="F53" s="50">
        <v>4335</v>
      </c>
      <c r="G53" s="50">
        <v>9860</v>
      </c>
      <c r="H53" s="51">
        <v>321808</v>
      </c>
      <c r="I53" s="52">
        <v>0</v>
      </c>
      <c r="J53" s="51"/>
      <c r="K53" s="53">
        <f t="shared" ref="K53:K62" si="5">(H53+I53)-J53</f>
        <v>321808</v>
      </c>
    </row>
    <row r="54" spans="1:11" ht="18" customHeight="1">
      <c r="A54" s="45" t="s">
        <v>289</v>
      </c>
      <c r="B54" s="104" t="s">
        <v>590</v>
      </c>
      <c r="C54" s="105"/>
      <c r="D54" s="106"/>
      <c r="F54" s="50">
        <v>9403003</v>
      </c>
      <c r="G54" s="50">
        <v>47995</v>
      </c>
      <c r="H54" s="51">
        <v>9199003</v>
      </c>
      <c r="I54" s="52">
        <v>0</v>
      </c>
      <c r="J54" s="51">
        <v>2569416</v>
      </c>
      <c r="K54" s="53">
        <f t="shared" si="5"/>
        <v>6629587</v>
      </c>
    </row>
    <row r="55" spans="1:11" ht="18" customHeight="1">
      <c r="A55" s="45" t="s">
        <v>291</v>
      </c>
      <c r="B55" s="811" t="s">
        <v>440</v>
      </c>
      <c r="C55" s="812"/>
      <c r="D55" s="813"/>
      <c r="F55" s="50"/>
      <c r="G55" s="50"/>
      <c r="H55" s="51">
        <v>185500</v>
      </c>
      <c r="I55" s="52">
        <v>18500</v>
      </c>
      <c r="J55" s="51"/>
      <c r="K55" s="53">
        <f t="shared" si="5"/>
        <v>204000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v>0</v>
      </c>
      <c r="J56" s="51"/>
      <c r="K56" s="53">
        <f t="shared" si="5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v>0</v>
      </c>
      <c r="J57" s="51"/>
      <c r="K57" s="53">
        <f t="shared" si="5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v>0</v>
      </c>
      <c r="J58" s="51"/>
      <c r="K58" s="53">
        <f t="shared" si="5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v>0</v>
      </c>
      <c r="J59" s="51"/>
      <c r="K59" s="53">
        <f t="shared" si="5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v>0</v>
      </c>
      <c r="J60" s="51"/>
      <c r="K60" s="53">
        <f t="shared" si="5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v>0</v>
      </c>
      <c r="J61" s="51"/>
      <c r="K61" s="53">
        <f t="shared" si="5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5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v>104027</v>
      </c>
      <c r="G64" s="59">
        <f t="shared" ref="G64:K64" si="6">SUM(G53:G62)</f>
        <v>57855</v>
      </c>
      <c r="H64" s="53">
        <f t="shared" si="6"/>
        <v>9706311</v>
      </c>
      <c r="I64" s="53">
        <f t="shared" si="6"/>
        <v>18500</v>
      </c>
      <c r="J64" s="53">
        <f t="shared" si="6"/>
        <v>2569416</v>
      </c>
      <c r="K64" s="53">
        <f t="shared" si="6"/>
        <v>7155395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/>
      <c r="G68" s="78"/>
      <c r="H68" s="78"/>
      <c r="I68" s="52">
        <v>0</v>
      </c>
      <c r="J68" s="78"/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78"/>
      <c r="G69" s="78">
        <v>158</v>
      </c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7">SUM(F68:F72)</f>
        <v>0</v>
      </c>
      <c r="G74" s="86">
        <f t="shared" si="7"/>
        <v>158</v>
      </c>
      <c r="H74" s="86">
        <f t="shared" si="7"/>
        <v>0</v>
      </c>
      <c r="I74" s="87">
        <f t="shared" si="7"/>
        <v>0</v>
      </c>
      <c r="J74" s="86">
        <f t="shared" si="7"/>
        <v>0</v>
      </c>
      <c r="K74" s="63">
        <f t="shared" si="7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/>
      <c r="G77" s="50"/>
      <c r="H77" s="51">
        <v>85898</v>
      </c>
      <c r="I77" s="52">
        <v>0</v>
      </c>
      <c r="J77" s="51"/>
      <c r="K77" s="53">
        <f>(H77+I77)-J77</f>
        <v>85898</v>
      </c>
    </row>
    <row r="78" spans="1:11" ht="18" customHeight="1">
      <c r="A78" s="45" t="s">
        <v>313</v>
      </c>
      <c r="B78" s="49" t="s">
        <v>197</v>
      </c>
      <c r="F78" s="50"/>
      <c r="G78" s="50"/>
      <c r="H78" s="51"/>
      <c r="I78" s="52">
        <v>0</v>
      </c>
      <c r="J78" s="51"/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>
        <v>1447</v>
      </c>
      <c r="G79" s="50">
        <v>8858</v>
      </c>
      <c r="H79" s="51">
        <v>131083</v>
      </c>
      <c r="I79" s="52">
        <v>0</v>
      </c>
      <c r="J79" s="51"/>
      <c r="K79" s="53">
        <f>(H79+I79)-J79</f>
        <v>131083</v>
      </c>
    </row>
    <row r="80" spans="1:11" ht="18" customHeight="1">
      <c r="A80" s="45" t="s">
        <v>315</v>
      </c>
      <c r="B80" s="49" t="s">
        <v>316</v>
      </c>
      <c r="F80" s="50"/>
      <c r="G80" s="50"/>
      <c r="H80" s="51"/>
      <c r="I80" s="52">
        <v>0</v>
      </c>
      <c r="J80" s="51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260">
        <f t="shared" ref="F82:K82" si="8">SUM(F77:F80)</f>
        <v>1447</v>
      </c>
      <c r="G82" s="260">
        <f t="shared" si="8"/>
        <v>8858</v>
      </c>
      <c r="H82" s="63">
        <f t="shared" si="8"/>
        <v>216981</v>
      </c>
      <c r="I82" s="63">
        <f t="shared" si="8"/>
        <v>0</v>
      </c>
      <c r="J82" s="63">
        <f t="shared" si="8"/>
        <v>0</v>
      </c>
      <c r="K82" s="63">
        <f t="shared" si="8"/>
        <v>216981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/>
      <c r="G86" s="50"/>
      <c r="H86" s="51"/>
      <c r="I86" s="52">
        <f t="shared" ref="I86:I96" si="9">H86*F$114</f>
        <v>0</v>
      </c>
      <c r="J86" s="51"/>
      <c r="K86" s="53">
        <f t="shared" ref="K86:K96" si="10">(H86+I86)-J86</f>
        <v>0</v>
      </c>
    </row>
    <row r="87" spans="1:11" ht="18" customHeight="1">
      <c r="A87" s="45" t="s">
        <v>320</v>
      </c>
      <c r="B87" s="49" t="s">
        <v>206</v>
      </c>
      <c r="F87" s="50"/>
      <c r="G87" s="50"/>
      <c r="H87" s="51"/>
      <c r="I87" s="52">
        <f t="shared" si="9"/>
        <v>0</v>
      </c>
      <c r="J87" s="51"/>
      <c r="K87" s="53">
        <f t="shared" si="10"/>
        <v>0</v>
      </c>
    </row>
    <row r="88" spans="1:11" ht="18" customHeight="1">
      <c r="A88" s="45" t="s">
        <v>321</v>
      </c>
      <c r="B88" s="49" t="s">
        <v>208</v>
      </c>
      <c r="F88" s="50">
        <v>34</v>
      </c>
      <c r="G88" s="50"/>
      <c r="H88" s="51">
        <v>1095</v>
      </c>
      <c r="I88" s="52">
        <f t="shared" si="9"/>
        <v>547.5</v>
      </c>
      <c r="J88" s="51"/>
      <c r="K88" s="53">
        <f t="shared" si="10"/>
        <v>1642.5</v>
      </c>
    </row>
    <row r="89" spans="1:11" ht="18" customHeight="1">
      <c r="A89" s="45" t="s">
        <v>322</v>
      </c>
      <c r="B89" s="49" t="s">
        <v>210</v>
      </c>
      <c r="F89" s="50"/>
      <c r="G89" s="50"/>
      <c r="H89" s="51"/>
      <c r="I89" s="52">
        <f t="shared" si="9"/>
        <v>0</v>
      </c>
      <c r="J89" s="51"/>
      <c r="K89" s="53">
        <f t="shared" si="10"/>
        <v>0</v>
      </c>
    </row>
    <row r="90" spans="1:11" ht="18" customHeight="1">
      <c r="A90" s="45" t="s">
        <v>323</v>
      </c>
      <c r="B90" s="818" t="s">
        <v>212</v>
      </c>
      <c r="C90" s="819"/>
      <c r="F90" s="50"/>
      <c r="G90" s="50"/>
      <c r="H90" s="51"/>
      <c r="I90" s="52">
        <f t="shared" si="9"/>
        <v>0</v>
      </c>
      <c r="J90" s="51"/>
      <c r="K90" s="53">
        <f t="shared" si="10"/>
        <v>0</v>
      </c>
    </row>
    <row r="91" spans="1:11" ht="18" customHeight="1">
      <c r="A91" s="45" t="s">
        <v>324</v>
      </c>
      <c r="B91" s="49" t="s">
        <v>214</v>
      </c>
      <c r="F91" s="50"/>
      <c r="G91" s="50"/>
      <c r="H91" s="51"/>
      <c r="I91" s="52">
        <f t="shared" si="9"/>
        <v>0</v>
      </c>
      <c r="J91" s="51"/>
      <c r="K91" s="53">
        <f t="shared" si="10"/>
        <v>0</v>
      </c>
    </row>
    <row r="92" spans="1:11" ht="18" customHeight="1">
      <c r="A92" s="45" t="s">
        <v>325</v>
      </c>
      <c r="B92" s="49" t="s">
        <v>216</v>
      </c>
      <c r="F92" s="89">
        <v>2664</v>
      </c>
      <c r="G92" s="89">
        <v>3588</v>
      </c>
      <c r="H92" s="90">
        <v>374833</v>
      </c>
      <c r="I92" s="52">
        <f t="shared" si="9"/>
        <v>187416.5</v>
      </c>
      <c r="J92" s="90"/>
      <c r="K92" s="53">
        <f t="shared" si="10"/>
        <v>562249.5</v>
      </c>
    </row>
    <row r="93" spans="1:11" ht="18" customHeight="1">
      <c r="A93" s="45" t="s">
        <v>326</v>
      </c>
      <c r="B93" s="49" t="s">
        <v>218</v>
      </c>
      <c r="F93" s="50"/>
      <c r="G93" s="50"/>
      <c r="H93" s="51"/>
      <c r="I93" s="52">
        <f t="shared" si="9"/>
        <v>0</v>
      </c>
      <c r="J93" s="51"/>
      <c r="K93" s="53">
        <f t="shared" si="10"/>
        <v>0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si="9"/>
        <v>0</v>
      </c>
      <c r="J94" s="51"/>
      <c r="K94" s="53">
        <f t="shared" si="10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9"/>
        <v>0</v>
      </c>
      <c r="J95" s="51"/>
      <c r="K95" s="53">
        <f t="shared" si="10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9"/>
        <v>0</v>
      </c>
      <c r="J96" s="51"/>
      <c r="K96" s="53">
        <f t="shared" si="10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1">SUM(F86:F96)</f>
        <v>2698</v>
      </c>
      <c r="G98" s="59">
        <f t="shared" si="11"/>
        <v>3588</v>
      </c>
      <c r="H98" s="59">
        <f t="shared" si="11"/>
        <v>375928</v>
      </c>
      <c r="I98" s="59">
        <f t="shared" si="11"/>
        <v>187964</v>
      </c>
      <c r="J98" s="59">
        <f t="shared" si="11"/>
        <v>0</v>
      </c>
      <c r="K98" s="53">
        <f t="shared" si="11"/>
        <v>563892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2080</v>
      </c>
      <c r="G102" s="50"/>
      <c r="H102" s="51">
        <v>128820</v>
      </c>
      <c r="I102" s="52">
        <f>H102*F$114</f>
        <v>64410</v>
      </c>
      <c r="J102" s="51"/>
      <c r="K102" s="53">
        <f>(H102+I102)-J102</f>
        <v>193230</v>
      </c>
    </row>
    <row r="103" spans="1:11" ht="18" customHeight="1">
      <c r="A103" s="45" t="s">
        <v>333</v>
      </c>
      <c r="B103" s="818" t="s">
        <v>226</v>
      </c>
      <c r="C103" s="818"/>
      <c r="F103" s="50"/>
      <c r="G103" s="50"/>
      <c r="H103" s="51"/>
      <c r="I103" s="52">
        <f>H103*F$114</f>
        <v>0</v>
      </c>
      <c r="J103" s="51"/>
      <c r="K103" s="53">
        <f>(H103+I103)-J103</f>
        <v>0</v>
      </c>
    </row>
    <row r="104" spans="1:11" ht="18" customHeight="1">
      <c r="A104" s="45" t="s">
        <v>334</v>
      </c>
      <c r="B104" s="811"/>
      <c r="C104" s="812"/>
      <c r="D104" s="813"/>
      <c r="F104" s="50"/>
      <c r="G104" s="50"/>
      <c r="H104" s="51"/>
      <c r="I104" s="52">
        <f>H104*F$114</f>
        <v>0</v>
      </c>
      <c r="J104" s="51"/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2">SUM(F102:F106)</f>
        <v>2080</v>
      </c>
      <c r="G108" s="59">
        <f t="shared" si="12"/>
        <v>0</v>
      </c>
      <c r="H108" s="53">
        <f t="shared" si="12"/>
        <v>128820</v>
      </c>
      <c r="I108" s="53">
        <f t="shared" si="12"/>
        <v>64410</v>
      </c>
      <c r="J108" s="53">
        <f t="shared" si="12"/>
        <v>0</v>
      </c>
      <c r="K108" s="53">
        <f t="shared" si="12"/>
        <v>193230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6198891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0.5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215935000</v>
      </c>
    </row>
    <row r="118" spans="1:6">
      <c r="A118" s="45" t="s">
        <v>343</v>
      </c>
      <c r="B118" s="40" t="s">
        <v>237</v>
      </c>
      <c r="F118" s="51">
        <v>8283000</v>
      </c>
    </row>
    <row r="119" spans="1:6">
      <c r="A119" s="45" t="s">
        <v>344</v>
      </c>
      <c r="B119" s="43" t="s">
        <v>238</v>
      </c>
      <c r="F119" s="63">
        <f>SUM(F117:F118)</f>
        <v>224218000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207816000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v>16402000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8690000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v>25092000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3">SUM(F131:F135)</f>
        <v>0</v>
      </c>
      <c r="G137" s="59">
        <f t="shared" si="13"/>
        <v>0</v>
      </c>
      <c r="H137" s="53">
        <f t="shared" si="13"/>
        <v>0</v>
      </c>
      <c r="I137" s="53">
        <f t="shared" si="13"/>
        <v>0</v>
      </c>
      <c r="J137" s="53">
        <f t="shared" si="13"/>
        <v>0</v>
      </c>
      <c r="K137" s="53">
        <f t="shared" si="13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4">F36</f>
        <v>22555</v>
      </c>
      <c r="G141" s="95">
        <f t="shared" si="14"/>
        <v>43582</v>
      </c>
      <c r="H141" s="95">
        <f t="shared" si="14"/>
        <v>1591678</v>
      </c>
      <c r="I141" s="95">
        <f t="shared" si="14"/>
        <v>795839</v>
      </c>
      <c r="J141" s="95">
        <f t="shared" si="14"/>
        <v>38557</v>
      </c>
      <c r="K141" s="95">
        <f t="shared" si="14"/>
        <v>2348960</v>
      </c>
    </row>
    <row r="142" spans="1:11" ht="18" customHeight="1">
      <c r="A142" s="45" t="s">
        <v>286</v>
      </c>
      <c r="B142" s="43" t="s">
        <v>125</v>
      </c>
      <c r="F142" s="95">
        <f t="shared" ref="F142:K142" si="15">F49</f>
        <v>13016</v>
      </c>
      <c r="G142" s="95">
        <f t="shared" si="15"/>
        <v>599</v>
      </c>
      <c r="H142" s="95">
        <f t="shared" si="15"/>
        <v>410478</v>
      </c>
      <c r="I142" s="95">
        <f t="shared" si="15"/>
        <v>0</v>
      </c>
      <c r="J142" s="95">
        <f t="shared" si="15"/>
        <v>0</v>
      </c>
      <c r="K142" s="95">
        <f t="shared" si="15"/>
        <v>410478</v>
      </c>
    </row>
    <row r="143" spans="1:11" ht="18" customHeight="1">
      <c r="A143" s="45" t="s">
        <v>305</v>
      </c>
      <c r="B143" s="43" t="s">
        <v>247</v>
      </c>
      <c r="F143" s="95">
        <f t="shared" ref="F143:K143" si="16">F64</f>
        <v>104027</v>
      </c>
      <c r="G143" s="95">
        <f t="shared" si="16"/>
        <v>57855</v>
      </c>
      <c r="H143" s="95">
        <f t="shared" si="16"/>
        <v>9706311</v>
      </c>
      <c r="I143" s="95">
        <f t="shared" si="16"/>
        <v>18500</v>
      </c>
      <c r="J143" s="95">
        <f t="shared" si="16"/>
        <v>2569416</v>
      </c>
      <c r="K143" s="95">
        <f t="shared" si="16"/>
        <v>7155395</v>
      </c>
    </row>
    <row r="144" spans="1:11" ht="18" customHeight="1">
      <c r="A144" s="45" t="s">
        <v>311</v>
      </c>
      <c r="B144" s="43" t="s">
        <v>127</v>
      </c>
      <c r="F144" s="95">
        <f t="shared" ref="F144:K144" si="17">F74</f>
        <v>0</v>
      </c>
      <c r="G144" s="95">
        <f t="shared" si="17"/>
        <v>158</v>
      </c>
      <c r="H144" s="95">
        <f t="shared" si="17"/>
        <v>0</v>
      </c>
      <c r="I144" s="95">
        <f t="shared" si="17"/>
        <v>0</v>
      </c>
      <c r="J144" s="95">
        <f t="shared" si="17"/>
        <v>0</v>
      </c>
      <c r="K144" s="95">
        <f t="shared" si="17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18">F82</f>
        <v>1447</v>
      </c>
      <c r="G145" s="95">
        <f t="shared" si="18"/>
        <v>8858</v>
      </c>
      <c r="H145" s="95">
        <f t="shared" si="18"/>
        <v>216981</v>
      </c>
      <c r="I145" s="95">
        <f t="shared" si="18"/>
        <v>0</v>
      </c>
      <c r="J145" s="95">
        <f t="shared" si="18"/>
        <v>0</v>
      </c>
      <c r="K145" s="95">
        <f t="shared" si="18"/>
        <v>216981</v>
      </c>
    </row>
    <row r="146" spans="1:11" ht="18" customHeight="1">
      <c r="A146" s="45" t="s">
        <v>331</v>
      </c>
      <c r="B146" s="43" t="s">
        <v>249</v>
      </c>
      <c r="F146" s="95">
        <f t="shared" ref="F146:K146" si="19">F98</f>
        <v>2698</v>
      </c>
      <c r="G146" s="95">
        <f t="shared" si="19"/>
        <v>3588</v>
      </c>
      <c r="H146" s="95">
        <f t="shared" si="19"/>
        <v>375928</v>
      </c>
      <c r="I146" s="95">
        <f t="shared" si="19"/>
        <v>187964</v>
      </c>
      <c r="J146" s="95">
        <f t="shared" si="19"/>
        <v>0</v>
      </c>
      <c r="K146" s="95">
        <f t="shared" si="19"/>
        <v>563892</v>
      </c>
    </row>
    <row r="147" spans="1:11" ht="18" customHeight="1">
      <c r="A147" s="45" t="s">
        <v>338</v>
      </c>
      <c r="B147" s="43" t="s">
        <v>129</v>
      </c>
      <c r="F147" s="59">
        <f t="shared" ref="F147:K147" si="20">F108</f>
        <v>2080</v>
      </c>
      <c r="G147" s="59">
        <f t="shared" si="20"/>
        <v>0</v>
      </c>
      <c r="H147" s="59">
        <f t="shared" si="20"/>
        <v>128820</v>
      </c>
      <c r="I147" s="59">
        <f t="shared" si="20"/>
        <v>64410</v>
      </c>
      <c r="J147" s="59">
        <f t="shared" si="20"/>
        <v>0</v>
      </c>
      <c r="K147" s="59">
        <f t="shared" si="20"/>
        <v>193230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6198891</v>
      </c>
    </row>
    <row r="149" spans="1:11" ht="18" customHeight="1">
      <c r="A149" s="45" t="s">
        <v>358</v>
      </c>
      <c r="B149" s="43" t="s">
        <v>250</v>
      </c>
      <c r="F149" s="59">
        <f t="shared" ref="F149:K149" si="21">F137</f>
        <v>0</v>
      </c>
      <c r="G149" s="59">
        <f t="shared" si="21"/>
        <v>0</v>
      </c>
      <c r="H149" s="59">
        <f t="shared" si="21"/>
        <v>0</v>
      </c>
      <c r="I149" s="59">
        <f t="shared" si="21"/>
        <v>0</v>
      </c>
      <c r="J149" s="59">
        <f t="shared" si="21"/>
        <v>0</v>
      </c>
      <c r="K149" s="59">
        <f t="shared" si="21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6434694</v>
      </c>
      <c r="I150" s="59">
        <f>I18</f>
        <v>0</v>
      </c>
      <c r="J150" s="59">
        <f>J18</f>
        <v>5502468</v>
      </c>
      <c r="K150" s="59">
        <f>K18</f>
        <v>932226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2">SUM(F141:F150)</f>
        <v>145823</v>
      </c>
      <c r="G152" s="99">
        <f t="shared" si="22"/>
        <v>114640</v>
      </c>
      <c r="H152" s="99">
        <f t="shared" si="22"/>
        <v>18864890</v>
      </c>
      <c r="I152" s="99">
        <f t="shared" si="22"/>
        <v>1066713</v>
      </c>
      <c r="J152" s="99">
        <f t="shared" si="22"/>
        <v>8110441</v>
      </c>
      <c r="K152" s="99">
        <f t="shared" si="22"/>
        <v>18020053</v>
      </c>
    </row>
    <row r="154" spans="1:11" ht="18" customHeight="1">
      <c r="A154" s="48" t="s">
        <v>361</v>
      </c>
      <c r="B154" s="43" t="s">
        <v>252</v>
      </c>
      <c r="F154" s="165">
        <f>K152/F121</f>
        <v>8.6711576586980796E-2</v>
      </c>
    </row>
    <row r="155" spans="1:11" ht="18" customHeight="1">
      <c r="A155" s="48" t="s">
        <v>362</v>
      </c>
      <c r="B155" s="43" t="s">
        <v>253</v>
      </c>
      <c r="F155" s="165">
        <f>K152/F127</f>
        <v>0.71815929379882038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RowHeight="12.75"/>
  <cols>
    <col min="1" max="1" width="8.28515625" style="135" customWidth="1"/>
    <col min="2" max="2" width="55.42578125" style="49" bestFit="1" customWidth="1"/>
    <col min="3" max="3" width="9.5703125" style="49" customWidth="1"/>
    <col min="4" max="4" width="9.140625" style="49"/>
    <col min="5" max="5" width="12.42578125" style="49" customWidth="1"/>
    <col min="6" max="6" width="18.5703125" style="49" customWidth="1"/>
    <col min="7" max="7" width="23.5703125" style="49" customWidth="1"/>
    <col min="8" max="8" width="17.140625" style="49" customWidth="1"/>
    <col min="9" max="9" width="21.140625" style="49" customWidth="1"/>
    <col min="10" max="10" width="19.85546875" style="49" customWidth="1"/>
    <col min="11" max="11" width="17.5703125" style="49" customWidth="1"/>
    <col min="12" max="16384" width="9.14062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75">
      <c r="D2" s="824" t="s">
        <v>133</v>
      </c>
      <c r="E2" s="825"/>
      <c r="F2" s="825"/>
      <c r="G2" s="825"/>
      <c r="H2" s="825"/>
      <c r="I2" s="384"/>
      <c r="J2" s="384"/>
      <c r="K2" s="384"/>
    </row>
    <row r="3" spans="1:11" ht="15">
      <c r="B3" s="43" t="s">
        <v>134</v>
      </c>
      <c r="F3" s="44"/>
      <c r="H3" s="384"/>
      <c r="I3" s="384"/>
      <c r="J3" s="384"/>
      <c r="K3" s="384"/>
    </row>
    <row r="5" spans="1:11">
      <c r="B5" s="45" t="s">
        <v>135</v>
      </c>
      <c r="C5" s="826" t="s">
        <v>591</v>
      </c>
      <c r="D5" s="851"/>
      <c r="E5" s="851"/>
      <c r="F5" s="851"/>
      <c r="G5" s="852"/>
      <c r="H5" s="384"/>
      <c r="I5" s="384"/>
      <c r="J5" s="384"/>
      <c r="K5" s="384"/>
    </row>
    <row r="6" spans="1:11">
      <c r="B6" s="45" t="s">
        <v>136</v>
      </c>
      <c r="C6" s="829">
        <v>34</v>
      </c>
      <c r="D6" s="854"/>
      <c r="E6" s="854"/>
      <c r="F6" s="854"/>
      <c r="G6" s="855"/>
      <c r="H6" s="384"/>
      <c r="I6" s="384"/>
      <c r="J6" s="384"/>
      <c r="K6" s="384"/>
    </row>
    <row r="7" spans="1:11">
      <c r="B7" s="45" t="s">
        <v>137</v>
      </c>
      <c r="C7" s="878">
        <v>1367</v>
      </c>
      <c r="D7" s="857"/>
      <c r="E7" s="857"/>
      <c r="F7" s="857"/>
      <c r="G7" s="858"/>
      <c r="H7" s="384"/>
      <c r="I7" s="384"/>
      <c r="J7" s="384"/>
      <c r="K7" s="384"/>
    </row>
    <row r="9" spans="1:11">
      <c r="B9" s="45" t="s">
        <v>138</v>
      </c>
      <c r="C9" s="826" t="s">
        <v>139</v>
      </c>
      <c r="D9" s="851"/>
      <c r="E9" s="851"/>
      <c r="F9" s="851"/>
      <c r="G9" s="852"/>
      <c r="H9" s="384"/>
      <c r="I9" s="384"/>
      <c r="J9" s="384"/>
      <c r="K9" s="384"/>
    </row>
    <row r="10" spans="1:11">
      <c r="B10" s="45" t="s">
        <v>140</v>
      </c>
      <c r="C10" s="835" t="s">
        <v>141</v>
      </c>
      <c r="D10" s="860"/>
      <c r="E10" s="860"/>
      <c r="F10" s="860"/>
      <c r="G10" s="861"/>
      <c r="H10" s="384"/>
      <c r="I10" s="384"/>
      <c r="J10" s="384"/>
      <c r="K10" s="384"/>
    </row>
    <row r="11" spans="1:11">
      <c r="B11" s="45" t="s">
        <v>142</v>
      </c>
      <c r="C11" s="838" t="s">
        <v>143</v>
      </c>
      <c r="D11" s="874"/>
      <c r="E11" s="874"/>
      <c r="F11" s="874"/>
      <c r="G11" s="874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5.5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5390026</v>
      </c>
      <c r="I18" s="167">
        <v>0</v>
      </c>
      <c r="J18" s="347">
        <v>4609147</v>
      </c>
      <c r="K18" s="348">
        <v>780879</v>
      </c>
    </row>
    <row r="19" spans="1:11" ht="25.5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944.5</v>
      </c>
      <c r="G21" s="57">
        <v>704912</v>
      </c>
      <c r="H21" s="347">
        <v>194146</v>
      </c>
      <c r="I21" s="167">
        <v>117292</v>
      </c>
      <c r="J21" s="347">
        <v>2795</v>
      </c>
      <c r="K21" s="348">
        <v>308643</v>
      </c>
    </row>
    <row r="22" spans="1:11">
      <c r="A22" s="45" t="s">
        <v>261</v>
      </c>
      <c r="B22" s="49" t="s">
        <v>157</v>
      </c>
      <c r="F22" s="57">
        <v>0</v>
      </c>
      <c r="G22" s="57">
        <v>0</v>
      </c>
      <c r="H22" s="347">
        <v>0</v>
      </c>
      <c r="I22" s="167">
        <v>0</v>
      </c>
      <c r="J22" s="347">
        <v>0</v>
      </c>
      <c r="K22" s="348">
        <v>0</v>
      </c>
    </row>
    <row r="23" spans="1:11">
      <c r="A23" s="45" t="s">
        <v>262</v>
      </c>
      <c r="B23" s="49" t="s">
        <v>158</v>
      </c>
      <c r="F23" s="57">
        <v>0</v>
      </c>
      <c r="G23" s="57">
        <v>0</v>
      </c>
      <c r="H23" s="347">
        <v>0</v>
      </c>
      <c r="I23" s="167">
        <v>0</v>
      </c>
      <c r="J23" s="347">
        <v>0</v>
      </c>
      <c r="K23" s="348">
        <v>0</v>
      </c>
    </row>
    <row r="24" spans="1:11">
      <c r="A24" s="45" t="s">
        <v>263</v>
      </c>
      <c r="B24" s="49" t="s">
        <v>159</v>
      </c>
      <c r="F24" s="57">
        <v>7481.5</v>
      </c>
      <c r="G24" s="57">
        <v>262</v>
      </c>
      <c r="H24" s="347">
        <v>679968</v>
      </c>
      <c r="I24" s="167">
        <v>460138</v>
      </c>
      <c r="J24" s="347">
        <v>2000</v>
      </c>
      <c r="K24" s="348">
        <v>1138106</v>
      </c>
    </row>
    <row r="25" spans="1:11">
      <c r="A25" s="45" t="s">
        <v>264</v>
      </c>
      <c r="B25" s="49" t="s">
        <v>160</v>
      </c>
      <c r="F25" s="57">
        <v>0</v>
      </c>
      <c r="G25" s="57">
        <v>0</v>
      </c>
      <c r="H25" s="347">
        <v>0</v>
      </c>
      <c r="I25" s="167">
        <v>0</v>
      </c>
      <c r="J25" s="347">
        <v>0</v>
      </c>
      <c r="K25" s="348">
        <v>0</v>
      </c>
    </row>
    <row r="26" spans="1:11">
      <c r="A26" s="45" t="s">
        <v>265</v>
      </c>
      <c r="B26" s="49" t="s">
        <v>161</v>
      </c>
      <c r="F26" s="57">
        <v>0</v>
      </c>
      <c r="G26" s="57">
        <v>0</v>
      </c>
      <c r="H26" s="347">
        <v>0</v>
      </c>
      <c r="I26" s="167">
        <v>0</v>
      </c>
      <c r="J26" s="347">
        <v>0</v>
      </c>
      <c r="K26" s="348">
        <v>0</v>
      </c>
    </row>
    <row r="27" spans="1:11">
      <c r="A27" s="45" t="s">
        <v>266</v>
      </c>
      <c r="B27" s="49" t="s">
        <v>162</v>
      </c>
      <c r="F27" s="57">
        <v>0</v>
      </c>
      <c r="G27" s="57">
        <v>0</v>
      </c>
      <c r="H27" s="347">
        <v>0</v>
      </c>
      <c r="I27" s="167">
        <v>0</v>
      </c>
      <c r="J27" s="347">
        <v>0</v>
      </c>
      <c r="K27" s="348">
        <v>0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0</v>
      </c>
      <c r="G29" s="57">
        <v>0</v>
      </c>
      <c r="H29" s="347">
        <v>109455</v>
      </c>
      <c r="I29" s="167">
        <v>28580</v>
      </c>
      <c r="J29" s="347">
        <v>1387</v>
      </c>
      <c r="K29" s="348">
        <v>136648</v>
      </c>
    </row>
    <row r="30" spans="1:11">
      <c r="A30" s="45" t="s">
        <v>269</v>
      </c>
      <c r="B30" s="814"/>
      <c r="C30" s="815"/>
      <c r="D30" s="816"/>
      <c r="F30" s="57">
        <v>0</v>
      </c>
      <c r="G30" s="57">
        <v>0</v>
      </c>
      <c r="H30" s="347">
        <v>10499</v>
      </c>
      <c r="I30" s="167">
        <v>7139</v>
      </c>
      <c r="J30" s="347">
        <v>0</v>
      </c>
      <c r="K30" s="348">
        <v>17638</v>
      </c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332"/>
      <c r="C32" s="333"/>
      <c r="D32" s="334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332"/>
      <c r="C33" s="333"/>
      <c r="D33" s="334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8426</v>
      </c>
      <c r="G36" s="350">
        <f t="shared" si="0"/>
        <v>705174</v>
      </c>
      <c r="H36" s="348">
        <f t="shared" si="0"/>
        <v>994068</v>
      </c>
      <c r="I36" s="348">
        <f t="shared" si="0"/>
        <v>613149</v>
      </c>
      <c r="J36" s="348">
        <f t="shared" si="0"/>
        <v>6182</v>
      </c>
      <c r="K36" s="348">
        <f t="shared" si="0"/>
        <v>1601035</v>
      </c>
    </row>
    <row r="37" spans="1:11" ht="13.5" thickBot="1">
      <c r="B37" s="43"/>
      <c r="F37" s="351"/>
      <c r="G37" s="351"/>
      <c r="H37" s="352"/>
      <c r="I37" s="352"/>
      <c r="J37" s="352"/>
      <c r="K37" s="353"/>
    </row>
    <row r="38" spans="1:11" ht="25.5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100113</v>
      </c>
      <c r="G40" s="57">
        <v>0</v>
      </c>
      <c r="H40" s="347">
        <v>4722056</v>
      </c>
      <c r="I40" s="167">
        <v>3210998</v>
      </c>
      <c r="J40" s="347">
        <v>0</v>
      </c>
      <c r="K40" s="348">
        <v>7933054</v>
      </c>
    </row>
    <row r="41" spans="1:11">
      <c r="A41" s="45" t="s">
        <v>278</v>
      </c>
      <c r="B41" s="818" t="s">
        <v>172</v>
      </c>
      <c r="C41" s="818"/>
      <c r="F41" s="57">
        <v>2331</v>
      </c>
      <c r="G41" s="57">
        <v>0</v>
      </c>
      <c r="H41" s="347">
        <v>196565</v>
      </c>
      <c r="I41" s="167">
        <v>133664</v>
      </c>
      <c r="J41" s="347">
        <v>0</v>
      </c>
      <c r="K41" s="348">
        <v>330229</v>
      </c>
    </row>
    <row r="42" spans="1:11">
      <c r="A42" s="45" t="s">
        <v>279</v>
      </c>
      <c r="B42" s="49" t="s">
        <v>174</v>
      </c>
      <c r="F42" s="57">
        <v>378</v>
      </c>
      <c r="G42" s="57">
        <v>0</v>
      </c>
      <c r="H42" s="347">
        <v>12497</v>
      </c>
      <c r="I42" s="167">
        <v>8498</v>
      </c>
      <c r="J42" s="347">
        <v>200</v>
      </c>
      <c r="K42" s="348">
        <v>20795</v>
      </c>
    </row>
    <row r="43" spans="1:11">
      <c r="A43" s="45" t="s">
        <v>280</v>
      </c>
      <c r="B43" s="49" t="s">
        <v>176</v>
      </c>
      <c r="F43" s="57">
        <v>0</v>
      </c>
      <c r="G43" s="57">
        <v>0</v>
      </c>
      <c r="H43" s="347">
        <v>0</v>
      </c>
      <c r="I43" s="167">
        <v>0</v>
      </c>
      <c r="J43" s="347">
        <v>0</v>
      </c>
      <c r="K43" s="348">
        <v>0</v>
      </c>
    </row>
    <row r="44" spans="1:11">
      <c r="A44" s="45" t="s">
        <v>281</v>
      </c>
      <c r="B44" s="814" t="s">
        <v>815</v>
      </c>
      <c r="C44" s="815"/>
      <c r="D44" s="816"/>
      <c r="F44" s="57">
        <v>68</v>
      </c>
      <c r="G44" s="57">
        <v>142</v>
      </c>
      <c r="H44" s="347">
        <v>6314</v>
      </c>
      <c r="I44" s="167">
        <v>4294</v>
      </c>
      <c r="J44" s="347">
        <v>2580</v>
      </c>
      <c r="K44" s="354">
        <v>8028</v>
      </c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1">SUM(F40:F47)</f>
        <v>102890</v>
      </c>
      <c r="G49" s="355">
        <f t="shared" si="1"/>
        <v>142</v>
      </c>
      <c r="H49" s="348">
        <f t="shared" si="1"/>
        <v>4937432</v>
      </c>
      <c r="I49" s="348">
        <f t="shared" si="1"/>
        <v>3357454</v>
      </c>
      <c r="J49" s="348">
        <f t="shared" si="1"/>
        <v>2780</v>
      </c>
      <c r="K49" s="348">
        <f t="shared" si="1"/>
        <v>8292106</v>
      </c>
    </row>
    <row r="50" spans="1:11" ht="13.5" thickBot="1">
      <c r="G50" s="356"/>
      <c r="H50" s="352"/>
      <c r="I50" s="352"/>
      <c r="J50" s="352"/>
      <c r="K50" s="352"/>
    </row>
    <row r="51" spans="1:11" ht="25.5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22" t="s">
        <v>180</v>
      </c>
      <c r="C53" s="867" t="s">
        <v>180</v>
      </c>
      <c r="D53" s="865" t="s">
        <v>180</v>
      </c>
      <c r="F53" s="57">
        <v>0</v>
      </c>
      <c r="G53" s="57">
        <v>0</v>
      </c>
      <c r="H53" s="347">
        <v>497881</v>
      </c>
      <c r="I53" s="167">
        <v>0</v>
      </c>
      <c r="J53" s="347">
        <v>0</v>
      </c>
      <c r="K53" s="348">
        <v>497881</v>
      </c>
    </row>
    <row r="54" spans="1:11">
      <c r="A54" s="45" t="s">
        <v>289</v>
      </c>
      <c r="B54" s="335" t="s">
        <v>181</v>
      </c>
      <c r="C54" s="337" t="s">
        <v>181</v>
      </c>
      <c r="D54" s="338" t="s">
        <v>181</v>
      </c>
      <c r="F54" s="57">
        <v>55720</v>
      </c>
      <c r="G54" s="57">
        <v>27057</v>
      </c>
      <c r="H54" s="347">
        <v>3172120</v>
      </c>
      <c r="I54" s="167">
        <v>0</v>
      </c>
      <c r="J54" s="347">
        <v>2688020</v>
      </c>
      <c r="K54" s="348">
        <v>484100</v>
      </c>
    </row>
    <row r="55" spans="1:11">
      <c r="A55" s="45" t="s">
        <v>291</v>
      </c>
      <c r="B55" s="817" t="s">
        <v>183</v>
      </c>
      <c r="C55" s="864" t="s">
        <v>183</v>
      </c>
      <c r="D55" s="865" t="s">
        <v>183</v>
      </c>
      <c r="F55" s="57">
        <v>89648</v>
      </c>
      <c r="G55" s="57">
        <v>0</v>
      </c>
      <c r="H55" s="347">
        <v>8734190</v>
      </c>
      <c r="I55" s="167">
        <v>0</v>
      </c>
      <c r="J55" s="347">
        <v>5553977</v>
      </c>
      <c r="K55" s="348">
        <v>3180213</v>
      </c>
    </row>
    <row r="56" spans="1:11">
      <c r="A56" s="45" t="s">
        <v>293</v>
      </c>
      <c r="B56" s="817" t="s">
        <v>427</v>
      </c>
      <c r="C56" s="864" t="s">
        <v>427</v>
      </c>
      <c r="D56" s="865" t="s">
        <v>427</v>
      </c>
      <c r="F56" s="57">
        <v>0</v>
      </c>
      <c r="G56" s="57">
        <v>0</v>
      </c>
      <c r="H56" s="347">
        <v>114570</v>
      </c>
      <c r="I56" s="167">
        <v>0</v>
      </c>
      <c r="J56" s="347">
        <v>0</v>
      </c>
      <c r="K56" s="348">
        <v>114570</v>
      </c>
    </row>
    <row r="57" spans="1:11">
      <c r="A57" s="45" t="s">
        <v>295</v>
      </c>
      <c r="B57" s="817"/>
      <c r="C57" s="864"/>
      <c r="D57" s="865"/>
      <c r="F57" s="70"/>
      <c r="G57" s="57"/>
      <c r="H57" s="347"/>
      <c r="I57" s="167"/>
      <c r="J57" s="347"/>
      <c r="K57" s="348"/>
    </row>
    <row r="58" spans="1:11">
      <c r="A58" s="45" t="s">
        <v>298</v>
      </c>
      <c r="B58" s="335"/>
      <c r="C58" s="337"/>
      <c r="D58" s="338"/>
      <c r="F58" s="70"/>
      <c r="G58" s="70"/>
      <c r="H58" s="347"/>
      <c r="I58" s="167"/>
      <c r="J58" s="347"/>
      <c r="K58" s="348"/>
    </row>
    <row r="59" spans="1:11">
      <c r="A59" s="45" t="s">
        <v>300</v>
      </c>
      <c r="B59" s="817"/>
      <c r="C59" s="864"/>
      <c r="D59" s="865"/>
      <c r="F59" s="70"/>
      <c r="G59" s="70"/>
      <c r="H59" s="347"/>
      <c r="I59" s="167"/>
      <c r="J59" s="347"/>
      <c r="K59" s="348"/>
    </row>
    <row r="60" spans="1:11">
      <c r="A60" s="45" t="s">
        <v>302</v>
      </c>
      <c r="B60" s="335"/>
      <c r="C60" s="337"/>
      <c r="D60" s="338"/>
      <c r="F60" s="57"/>
      <c r="G60" s="57"/>
      <c r="H60" s="347"/>
      <c r="I60" s="167"/>
      <c r="J60" s="347"/>
      <c r="K60" s="348"/>
    </row>
    <row r="61" spans="1:11">
      <c r="A61" s="45" t="s">
        <v>303</v>
      </c>
      <c r="B61" s="335"/>
      <c r="C61" s="337"/>
      <c r="D61" s="338"/>
      <c r="F61" s="57"/>
      <c r="G61" s="57"/>
      <c r="H61" s="347"/>
      <c r="I61" s="167"/>
      <c r="J61" s="347"/>
      <c r="K61" s="348"/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/>
      <c r="J62" s="347"/>
      <c r="K62" s="348"/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SUM(F53:F62)</f>
        <v>145368</v>
      </c>
      <c r="G64" s="350">
        <f t="shared" si="2"/>
        <v>27057</v>
      </c>
      <c r="H64" s="348">
        <f t="shared" si="2"/>
        <v>12518761</v>
      </c>
      <c r="I64" s="348">
        <f t="shared" si="2"/>
        <v>0</v>
      </c>
      <c r="J64" s="348">
        <f t="shared" si="2"/>
        <v>8241997</v>
      </c>
      <c r="K64" s="348">
        <f t="shared" si="2"/>
        <v>4276764</v>
      </c>
    </row>
    <row r="65" spans="1:11">
      <c r="F65" s="358"/>
      <c r="G65" s="358"/>
      <c r="H65" s="394"/>
      <c r="I65" s="394"/>
      <c r="J65" s="394"/>
      <c r="K65" s="394"/>
    </row>
    <row r="66" spans="1:11" ht="25.5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0</v>
      </c>
      <c r="G68" s="362">
        <v>0</v>
      </c>
      <c r="H68" s="347">
        <v>0</v>
      </c>
      <c r="I68" s="167">
        <v>0</v>
      </c>
      <c r="J68" s="347">
        <v>0</v>
      </c>
      <c r="K68" s="348">
        <v>0</v>
      </c>
    </row>
    <row r="69" spans="1:11">
      <c r="A69" s="45" t="s">
        <v>307</v>
      </c>
      <c r="B69" s="49" t="s">
        <v>190</v>
      </c>
      <c r="F69" s="362">
        <v>0</v>
      </c>
      <c r="G69" s="362">
        <v>0</v>
      </c>
      <c r="H69" s="347">
        <v>0</v>
      </c>
      <c r="I69" s="167">
        <v>0</v>
      </c>
      <c r="J69" s="347">
        <v>0</v>
      </c>
      <c r="K69" s="348">
        <v>0</v>
      </c>
    </row>
    <row r="70" spans="1:11">
      <c r="A70" s="45" t="s">
        <v>308</v>
      </c>
      <c r="B70" s="335"/>
      <c r="C70" s="337"/>
      <c r="D70" s="338"/>
      <c r="E70" s="43"/>
      <c r="F70" s="364"/>
      <c r="G70" s="364"/>
      <c r="H70" s="363"/>
      <c r="I70" s="167"/>
      <c r="J70" s="363"/>
      <c r="K70" s="348"/>
    </row>
    <row r="71" spans="1:11">
      <c r="A71" s="45" t="s">
        <v>309</v>
      </c>
      <c r="B71" s="335"/>
      <c r="C71" s="337"/>
      <c r="D71" s="338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336"/>
      <c r="C72" s="339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3">SUM(F68:F72)</f>
        <v>0</v>
      </c>
      <c r="G74" s="368">
        <f t="shared" si="3"/>
        <v>0</v>
      </c>
      <c r="H74" s="354">
        <f t="shared" si="3"/>
        <v>0</v>
      </c>
      <c r="I74" s="370">
        <f t="shared" si="3"/>
        <v>0</v>
      </c>
      <c r="J74" s="354">
        <f t="shared" si="3"/>
        <v>0</v>
      </c>
      <c r="K74" s="354">
        <f t="shared" si="3"/>
        <v>0</v>
      </c>
    </row>
    <row r="75" spans="1:11" ht="25.5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47</v>
      </c>
      <c r="G77" s="57">
        <v>0</v>
      </c>
      <c r="H77" s="347">
        <v>28302</v>
      </c>
      <c r="I77" s="167">
        <v>0</v>
      </c>
      <c r="J77" s="347">
        <v>0</v>
      </c>
      <c r="K77" s="348">
        <v>28302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57">
        <v>119</v>
      </c>
      <c r="G79" s="57">
        <v>0</v>
      </c>
      <c r="H79" s="347">
        <v>9087</v>
      </c>
      <c r="I79" s="167">
        <v>165</v>
      </c>
      <c r="J79" s="347">
        <v>0</v>
      </c>
      <c r="K79" s="348">
        <v>9252</v>
      </c>
    </row>
    <row r="80" spans="1:11">
      <c r="A80" s="45" t="s">
        <v>315</v>
      </c>
      <c r="B80" s="49" t="s">
        <v>316</v>
      </c>
      <c r="F80" s="57">
        <v>0</v>
      </c>
      <c r="G80" s="57">
        <v>0</v>
      </c>
      <c r="H80" s="347">
        <v>0</v>
      </c>
      <c r="I80" s="167">
        <v>0</v>
      </c>
      <c r="J80" s="347">
        <v>0</v>
      </c>
      <c r="K80" s="348">
        <v>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4">SUM(F77:F80)</f>
        <v>166</v>
      </c>
      <c r="G82" s="455">
        <f t="shared" si="4"/>
        <v>0</v>
      </c>
      <c r="H82" s="354">
        <f t="shared" si="4"/>
        <v>37389</v>
      </c>
      <c r="I82" s="354">
        <f t="shared" si="4"/>
        <v>165</v>
      </c>
      <c r="J82" s="354">
        <f t="shared" si="4"/>
        <v>0</v>
      </c>
      <c r="K82" s="354">
        <f t="shared" si="4"/>
        <v>37554</v>
      </c>
    </row>
    <row r="83" spans="1:11" ht="13.5" thickBot="1">
      <c r="A83" s="45"/>
      <c r="F83" s="356"/>
      <c r="G83" s="356"/>
      <c r="H83" s="352"/>
      <c r="I83" s="352"/>
      <c r="J83" s="352"/>
      <c r="K83" s="352"/>
    </row>
    <row r="84" spans="1:11" ht="25.5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0</v>
      </c>
      <c r="G87" s="57">
        <v>0</v>
      </c>
      <c r="H87" s="347">
        <v>0</v>
      </c>
      <c r="I87" s="167">
        <v>0</v>
      </c>
      <c r="J87" s="347">
        <v>0</v>
      </c>
      <c r="K87" s="348">
        <v>0</v>
      </c>
    </row>
    <row r="88" spans="1:11">
      <c r="A88" s="45" t="s">
        <v>321</v>
      </c>
      <c r="B88" s="49" t="s">
        <v>208</v>
      </c>
      <c r="F88" s="57">
        <v>11.5</v>
      </c>
      <c r="G88" s="57">
        <v>0</v>
      </c>
      <c r="H88" s="347">
        <v>40957</v>
      </c>
      <c r="I88" s="167">
        <v>27200</v>
      </c>
      <c r="J88" s="347">
        <v>0</v>
      </c>
      <c r="K88" s="348">
        <v>68157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v>0</v>
      </c>
      <c r="J89" s="347">
        <v>0</v>
      </c>
      <c r="K89" s="348">
        <v>0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0</v>
      </c>
      <c r="G91" s="57">
        <v>0</v>
      </c>
      <c r="H91" s="347">
        <v>0</v>
      </c>
      <c r="I91" s="167">
        <v>0</v>
      </c>
      <c r="J91" s="347">
        <v>0</v>
      </c>
      <c r="K91" s="348">
        <v>0</v>
      </c>
    </row>
    <row r="92" spans="1:11">
      <c r="A92" s="45" t="s">
        <v>325</v>
      </c>
      <c r="B92" s="49" t="s">
        <v>216</v>
      </c>
      <c r="F92" s="372">
        <v>19.5</v>
      </c>
      <c r="G92" s="372">
        <v>0</v>
      </c>
      <c r="H92" s="373">
        <v>30473</v>
      </c>
      <c r="I92" s="167">
        <v>252</v>
      </c>
      <c r="J92" s="373">
        <v>0</v>
      </c>
      <c r="K92" s="348">
        <v>30725</v>
      </c>
    </row>
    <row r="93" spans="1:11">
      <c r="A93" s="45" t="s">
        <v>326</v>
      </c>
      <c r="B93" s="49" t="s">
        <v>218</v>
      </c>
      <c r="F93" s="57">
        <v>0</v>
      </c>
      <c r="G93" s="57">
        <v>0</v>
      </c>
      <c r="H93" s="347">
        <v>5525</v>
      </c>
      <c r="I93" s="167">
        <v>0</v>
      </c>
      <c r="J93" s="347">
        <v>0</v>
      </c>
      <c r="K93" s="348">
        <v>5525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31</v>
      </c>
      <c r="G98" s="350">
        <f t="shared" si="5"/>
        <v>0</v>
      </c>
      <c r="H98" s="348">
        <f t="shared" si="5"/>
        <v>76955</v>
      </c>
      <c r="I98" s="348">
        <f t="shared" si="5"/>
        <v>27452</v>
      </c>
      <c r="J98" s="348">
        <f t="shared" si="5"/>
        <v>0</v>
      </c>
      <c r="K98" s="348">
        <f t="shared" si="5"/>
        <v>104407</v>
      </c>
    </row>
    <row r="99" spans="1:11" ht="13.5" thickBot="1">
      <c r="B99" s="43"/>
      <c r="F99" s="356"/>
      <c r="G99" s="356"/>
      <c r="H99" s="352"/>
      <c r="I99" s="352"/>
      <c r="J99" s="352"/>
      <c r="K99" s="352"/>
    </row>
    <row r="100" spans="1:11" ht="25.5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142</v>
      </c>
      <c r="G102" s="57">
        <v>0</v>
      </c>
      <c r="H102" s="347">
        <v>48644</v>
      </c>
      <c r="I102" s="167">
        <v>4191</v>
      </c>
      <c r="J102" s="347">
        <v>0</v>
      </c>
      <c r="K102" s="348">
        <v>52835</v>
      </c>
    </row>
    <row r="103" spans="1:11">
      <c r="A103" s="45" t="s">
        <v>333</v>
      </c>
      <c r="B103" s="818" t="s">
        <v>226</v>
      </c>
      <c r="C103" s="818"/>
      <c r="F103" s="57">
        <v>0</v>
      </c>
      <c r="G103" s="57">
        <v>0</v>
      </c>
      <c r="H103" s="347">
        <v>0</v>
      </c>
      <c r="I103" s="167">
        <v>0</v>
      </c>
      <c r="J103" s="347">
        <v>0</v>
      </c>
      <c r="K103" s="348">
        <v>0</v>
      </c>
    </row>
    <row r="104" spans="1:11">
      <c r="A104" s="45" t="s">
        <v>334</v>
      </c>
      <c r="B104" s="817"/>
      <c r="C104" s="864"/>
      <c r="D104" s="865"/>
      <c r="F104" s="57">
        <v>0</v>
      </c>
      <c r="G104" s="57">
        <v>0</v>
      </c>
      <c r="H104" s="347">
        <v>37888</v>
      </c>
      <c r="I104" s="167">
        <v>0</v>
      </c>
      <c r="J104" s="347">
        <v>0</v>
      </c>
      <c r="K104" s="348">
        <v>37888</v>
      </c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/>
      <c r="J105" s="347"/>
      <c r="K105" s="348"/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142</v>
      </c>
      <c r="G108" s="350">
        <f t="shared" si="6"/>
        <v>0</v>
      </c>
      <c r="H108" s="348">
        <f t="shared" si="6"/>
        <v>86532</v>
      </c>
      <c r="I108" s="348">
        <f t="shared" si="6"/>
        <v>4191</v>
      </c>
      <c r="J108" s="348">
        <f t="shared" si="6"/>
        <v>0</v>
      </c>
      <c r="K108" s="348">
        <f t="shared" si="6"/>
        <v>90723</v>
      </c>
    </row>
    <row r="109" spans="1:11" ht="13.5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8102570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0.68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190605494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13979188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f>SUM(F117:F118)</f>
        <v>204584682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198800877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5783805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277299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6061104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5.5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  <c r="H138" s="384"/>
      <c r="I138" s="384"/>
      <c r="J138" s="384"/>
      <c r="K138" s="384"/>
    </row>
    <row r="139" spans="1:11" ht="25.5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8">F36</f>
        <v>8426</v>
      </c>
      <c r="G141" s="377">
        <f t="shared" si="8"/>
        <v>705174</v>
      </c>
      <c r="H141" s="380">
        <f t="shared" si="8"/>
        <v>994068</v>
      </c>
      <c r="I141" s="380">
        <f t="shared" si="8"/>
        <v>613149</v>
      </c>
      <c r="J141" s="380">
        <f t="shared" si="8"/>
        <v>6182</v>
      </c>
      <c r="K141" s="380">
        <f t="shared" si="8"/>
        <v>1601035</v>
      </c>
    </row>
    <row r="142" spans="1:11">
      <c r="A142" s="45" t="s">
        <v>286</v>
      </c>
      <c r="B142" s="43" t="s">
        <v>125</v>
      </c>
      <c r="F142" s="456">
        <f t="shared" ref="F142:K142" si="9">F49</f>
        <v>102890</v>
      </c>
      <c r="G142" s="456">
        <f t="shared" si="9"/>
        <v>142</v>
      </c>
      <c r="H142" s="380">
        <f t="shared" si="9"/>
        <v>4937432</v>
      </c>
      <c r="I142" s="380">
        <f t="shared" si="9"/>
        <v>3357454</v>
      </c>
      <c r="J142" s="380">
        <f t="shared" si="9"/>
        <v>2780</v>
      </c>
      <c r="K142" s="380">
        <f t="shared" si="9"/>
        <v>8292106</v>
      </c>
    </row>
    <row r="143" spans="1:11">
      <c r="A143" s="45" t="s">
        <v>305</v>
      </c>
      <c r="B143" s="43" t="s">
        <v>247</v>
      </c>
      <c r="F143" s="377">
        <f t="shared" ref="F143:K143" si="10">F64</f>
        <v>145368</v>
      </c>
      <c r="G143" s="377">
        <f t="shared" si="10"/>
        <v>27057</v>
      </c>
      <c r="H143" s="380">
        <f t="shared" si="10"/>
        <v>12518761</v>
      </c>
      <c r="I143" s="380">
        <f t="shared" si="10"/>
        <v>0</v>
      </c>
      <c r="J143" s="380">
        <f t="shared" si="10"/>
        <v>8241997</v>
      </c>
      <c r="K143" s="380">
        <f t="shared" si="10"/>
        <v>4276764</v>
      </c>
    </row>
    <row r="144" spans="1:11">
      <c r="A144" s="45" t="s">
        <v>311</v>
      </c>
      <c r="B144" s="43" t="s">
        <v>127</v>
      </c>
      <c r="F144" s="377">
        <f t="shared" ref="F144:K144" si="11">F74</f>
        <v>0</v>
      </c>
      <c r="G144" s="377">
        <f t="shared" si="11"/>
        <v>0</v>
      </c>
      <c r="H144" s="380">
        <f t="shared" si="11"/>
        <v>0</v>
      </c>
      <c r="I144" s="380">
        <f t="shared" si="11"/>
        <v>0</v>
      </c>
      <c r="J144" s="380">
        <f t="shared" si="11"/>
        <v>0</v>
      </c>
      <c r="K144" s="380">
        <f t="shared" si="11"/>
        <v>0</v>
      </c>
    </row>
    <row r="145" spans="1:11">
      <c r="A145" s="45" t="s">
        <v>317</v>
      </c>
      <c r="B145" s="43" t="s">
        <v>248</v>
      </c>
      <c r="F145" s="377">
        <f t="shared" ref="F145:K145" si="12">F82</f>
        <v>166</v>
      </c>
      <c r="G145" s="377">
        <f t="shared" si="12"/>
        <v>0</v>
      </c>
      <c r="H145" s="380">
        <f t="shared" si="12"/>
        <v>37389</v>
      </c>
      <c r="I145" s="380">
        <f t="shared" si="12"/>
        <v>165</v>
      </c>
      <c r="J145" s="380">
        <f t="shared" si="12"/>
        <v>0</v>
      </c>
      <c r="K145" s="380">
        <f t="shared" si="12"/>
        <v>37554</v>
      </c>
    </row>
    <row r="146" spans="1:11">
      <c r="A146" s="45" t="s">
        <v>331</v>
      </c>
      <c r="B146" s="43" t="s">
        <v>249</v>
      </c>
      <c r="F146" s="377">
        <f t="shared" ref="F146:K146" si="13">F98</f>
        <v>31</v>
      </c>
      <c r="G146" s="377">
        <f t="shared" si="13"/>
        <v>0</v>
      </c>
      <c r="H146" s="380">
        <f t="shared" si="13"/>
        <v>76955</v>
      </c>
      <c r="I146" s="380">
        <f t="shared" si="13"/>
        <v>27452</v>
      </c>
      <c r="J146" s="380">
        <f t="shared" si="13"/>
        <v>0</v>
      </c>
      <c r="K146" s="380">
        <f t="shared" si="13"/>
        <v>104407</v>
      </c>
    </row>
    <row r="147" spans="1:11">
      <c r="A147" s="45" t="s">
        <v>338</v>
      </c>
      <c r="B147" s="43" t="s">
        <v>129</v>
      </c>
      <c r="F147" s="350">
        <f t="shared" ref="F147:K147" si="14">F108</f>
        <v>142</v>
      </c>
      <c r="G147" s="350">
        <f t="shared" si="14"/>
        <v>0</v>
      </c>
      <c r="H147" s="348">
        <f t="shared" si="14"/>
        <v>86532</v>
      </c>
      <c r="I147" s="348">
        <f t="shared" si="14"/>
        <v>4191</v>
      </c>
      <c r="J147" s="348">
        <f t="shared" si="14"/>
        <v>0</v>
      </c>
      <c r="K147" s="348">
        <f t="shared" si="14"/>
        <v>90723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8102570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5390026</v>
      </c>
      <c r="I150" s="348">
        <f>I18</f>
        <v>0</v>
      </c>
      <c r="J150" s="348">
        <f>J18</f>
        <v>4609147</v>
      </c>
      <c r="K150" s="348">
        <f>K18</f>
        <v>780879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257023</v>
      </c>
      <c r="G152" s="381">
        <f t="shared" si="16"/>
        <v>732373</v>
      </c>
      <c r="H152" s="457">
        <f t="shared" si="16"/>
        <v>24041163</v>
      </c>
      <c r="I152" s="457">
        <f t="shared" si="16"/>
        <v>4002411</v>
      </c>
      <c r="J152" s="457">
        <f t="shared" si="16"/>
        <v>12860106</v>
      </c>
      <c r="K152" s="457">
        <f t="shared" si="16"/>
        <v>23286038</v>
      </c>
    </row>
    <row r="154" spans="1:11">
      <c r="A154" s="48" t="s">
        <v>361</v>
      </c>
      <c r="B154" s="43" t="s">
        <v>252</v>
      </c>
      <c r="F154" s="459">
        <f>K152/F121</f>
        <v>0.11713247120132171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3.8418806210881713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C11:G11"/>
    <mergeCell ref="D2:H2"/>
    <mergeCell ref="C5:G5"/>
    <mergeCell ref="C6:G6"/>
    <mergeCell ref="C7:G7"/>
    <mergeCell ref="C9:G9"/>
    <mergeCell ref="C10:G10"/>
    <mergeCell ref="B13:H13"/>
    <mergeCell ref="B30:D30"/>
    <mergeCell ref="B31:D31"/>
    <mergeCell ref="B34:D34"/>
    <mergeCell ref="B41:C41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90:C90"/>
    <mergeCell ref="B94:D94"/>
    <mergeCell ref="B95:D95"/>
    <mergeCell ref="B96:D96"/>
    <mergeCell ref="B134:D134"/>
    <mergeCell ref="B135:D135"/>
    <mergeCell ref="B103:C103"/>
    <mergeCell ref="B104:D104"/>
    <mergeCell ref="B105:D105"/>
    <mergeCell ref="B106:D106"/>
    <mergeCell ref="B133:D13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3" workbookViewId="0">
      <selection activeCell="B43" sqref="B43"/>
    </sheetView>
  </sheetViews>
  <sheetFormatPr defaultRowHeight="12.75"/>
  <cols>
    <col min="1" max="1" width="8.28515625" style="39" customWidth="1"/>
    <col min="2" max="2" width="55.42578125" style="40" bestFit="1" customWidth="1"/>
    <col min="3" max="3" width="9.5703125" style="40" customWidth="1"/>
    <col min="4" max="4" width="9.140625" style="40"/>
    <col min="5" max="5" width="12.42578125" style="40" customWidth="1"/>
    <col min="6" max="6" width="18.5703125" style="40" customWidth="1"/>
    <col min="7" max="7" width="23.5703125" style="40" customWidth="1"/>
    <col min="8" max="8" width="17.140625" style="40" customWidth="1"/>
    <col min="9" max="9" width="21.140625" style="40" customWidth="1"/>
    <col min="10" max="10" width="19.85546875" style="40" customWidth="1"/>
    <col min="11" max="11" width="17.5703125" style="40" customWidth="1"/>
    <col min="12" max="16384" width="9.14062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592</v>
      </c>
      <c r="D5" s="827"/>
      <c r="E5" s="827"/>
      <c r="F5" s="827"/>
      <c r="G5" s="828"/>
    </row>
    <row r="6" spans="1:11" ht="18" customHeight="1">
      <c r="B6" s="45" t="s">
        <v>136</v>
      </c>
      <c r="C6" s="886">
        <v>35</v>
      </c>
      <c r="D6" s="830"/>
      <c r="E6" s="830"/>
      <c r="F6" s="830"/>
      <c r="G6" s="831"/>
    </row>
    <row r="7" spans="1:11" ht="18" customHeight="1">
      <c r="B7" s="45" t="s">
        <v>137</v>
      </c>
      <c r="C7" s="832"/>
      <c r="D7" s="833"/>
      <c r="E7" s="833"/>
      <c r="F7" s="833"/>
      <c r="G7" s="834"/>
    </row>
    <row r="9" spans="1:11" ht="18" customHeight="1">
      <c r="B9" s="45" t="s">
        <v>138</v>
      </c>
      <c r="C9" s="826" t="s">
        <v>593</v>
      </c>
      <c r="D9" s="827"/>
      <c r="E9" s="827"/>
      <c r="F9" s="827"/>
      <c r="G9" s="828"/>
    </row>
    <row r="10" spans="1:11" ht="18" customHeight="1">
      <c r="B10" s="45" t="s">
        <v>140</v>
      </c>
      <c r="C10" s="835" t="s">
        <v>594</v>
      </c>
      <c r="D10" s="836"/>
      <c r="E10" s="836"/>
      <c r="F10" s="836"/>
      <c r="G10" s="837"/>
    </row>
    <row r="11" spans="1:11" ht="18" customHeight="1">
      <c r="B11" s="45" t="s">
        <v>142</v>
      </c>
      <c r="C11" s="838" t="s">
        <v>595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3319702</v>
      </c>
      <c r="I18" s="52">
        <v>0</v>
      </c>
      <c r="J18" s="51">
        <v>2838760</v>
      </c>
      <c r="K18" s="53">
        <f>(H18+I18)-J18</f>
        <v>480942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2547</v>
      </c>
      <c r="G21" s="50">
        <v>168959</v>
      </c>
      <c r="H21" s="51">
        <v>251187</v>
      </c>
      <c r="I21" s="52">
        <v>124626</v>
      </c>
      <c r="J21" s="51"/>
      <c r="K21" s="53">
        <f t="shared" ref="K21:K34" si="0">(H21+I21)-J21</f>
        <v>375813</v>
      </c>
    </row>
    <row r="22" spans="1:11" ht="18" customHeight="1">
      <c r="A22" s="45" t="s">
        <v>261</v>
      </c>
      <c r="B22" s="40" t="s">
        <v>157</v>
      </c>
      <c r="F22" s="50"/>
      <c r="G22" s="50"/>
      <c r="H22" s="51"/>
      <c r="I22" s="52">
        <f t="shared" ref="I22:I34" si="1">H22*F$114</f>
        <v>0</v>
      </c>
      <c r="J22" s="51"/>
      <c r="K22" s="53">
        <f t="shared" si="0"/>
        <v>0</v>
      </c>
    </row>
    <row r="23" spans="1:11" ht="18" customHeight="1">
      <c r="A23" s="45" t="s">
        <v>262</v>
      </c>
      <c r="B23" s="40" t="s">
        <v>158</v>
      </c>
      <c r="F23" s="50"/>
      <c r="G23" s="50"/>
      <c r="H23" s="51"/>
      <c r="I23" s="52">
        <f t="shared" si="1"/>
        <v>0</v>
      </c>
      <c r="J23" s="51"/>
      <c r="K23" s="53">
        <f t="shared" si="0"/>
        <v>0</v>
      </c>
    </row>
    <row r="24" spans="1:11" ht="18" customHeight="1">
      <c r="A24" s="45" t="s">
        <v>263</v>
      </c>
      <c r="B24" s="40" t="s">
        <v>159</v>
      </c>
      <c r="F24" s="50">
        <v>132</v>
      </c>
      <c r="G24" s="50">
        <v>299</v>
      </c>
      <c r="H24" s="51">
        <v>15573</v>
      </c>
      <c r="I24" s="52">
        <v>8541</v>
      </c>
      <c r="J24" s="51"/>
      <c r="K24" s="53">
        <f t="shared" si="0"/>
        <v>24114</v>
      </c>
    </row>
    <row r="25" spans="1:11" ht="18" customHeight="1">
      <c r="A25" s="45" t="s">
        <v>264</v>
      </c>
      <c r="B25" s="40" t="s">
        <v>160</v>
      </c>
      <c r="F25" s="50"/>
      <c r="G25" s="50"/>
      <c r="H25" s="51"/>
      <c r="I25" s="52">
        <f t="shared" si="1"/>
        <v>0</v>
      </c>
      <c r="J25" s="51"/>
      <c r="K25" s="53">
        <f t="shared" si="0"/>
        <v>0</v>
      </c>
    </row>
    <row r="26" spans="1:11" ht="18" customHeight="1">
      <c r="A26" s="45" t="s">
        <v>265</v>
      </c>
      <c r="B26" s="40" t="s">
        <v>161</v>
      </c>
      <c r="F26" s="50"/>
      <c r="G26" s="50"/>
      <c r="H26" s="51"/>
      <c r="I26" s="52">
        <f t="shared" si="1"/>
        <v>0</v>
      </c>
      <c r="J26" s="51"/>
      <c r="K26" s="53">
        <f t="shared" si="0"/>
        <v>0</v>
      </c>
    </row>
    <row r="27" spans="1:11" ht="18" customHeight="1">
      <c r="A27" s="45" t="s">
        <v>266</v>
      </c>
      <c r="B27" s="40" t="s">
        <v>162</v>
      </c>
      <c r="F27" s="50"/>
      <c r="G27" s="50"/>
      <c r="H27" s="51"/>
      <c r="I27" s="52">
        <f t="shared" si="1"/>
        <v>0</v>
      </c>
      <c r="J27" s="51"/>
      <c r="K27" s="53">
        <f t="shared" si="0"/>
        <v>0</v>
      </c>
    </row>
    <row r="28" spans="1:11" ht="18" customHeight="1">
      <c r="A28" s="45" t="s">
        <v>267</v>
      </c>
      <c r="B28" s="40" t="s">
        <v>163</v>
      </c>
      <c r="F28" s="50"/>
      <c r="G28" s="50"/>
      <c r="H28" s="51"/>
      <c r="I28" s="52">
        <f t="shared" si="1"/>
        <v>0</v>
      </c>
      <c r="J28" s="51"/>
      <c r="K28" s="53">
        <f t="shared" si="0"/>
        <v>0</v>
      </c>
    </row>
    <row r="29" spans="1:11" ht="18" customHeight="1">
      <c r="A29" s="45" t="s">
        <v>268</v>
      </c>
      <c r="B29" s="40" t="s">
        <v>165</v>
      </c>
      <c r="F29" s="50">
        <v>169</v>
      </c>
      <c r="G29" s="50">
        <v>407</v>
      </c>
      <c r="H29" s="51">
        <v>35745</v>
      </c>
      <c r="I29" s="52">
        <v>20024</v>
      </c>
      <c r="J29" s="51"/>
      <c r="K29" s="53">
        <f t="shared" si="0"/>
        <v>55769</v>
      </c>
    </row>
    <row r="30" spans="1:11" ht="18" customHeight="1">
      <c r="A30" s="45" t="s">
        <v>269</v>
      </c>
      <c r="B30" s="814" t="s">
        <v>596</v>
      </c>
      <c r="C30" s="815"/>
      <c r="D30" s="816"/>
      <c r="F30" s="50">
        <v>1434</v>
      </c>
      <c r="G30" s="50">
        <v>70</v>
      </c>
      <c r="H30" s="51">
        <v>76609</v>
      </c>
      <c r="I30" s="52">
        <v>54684</v>
      </c>
      <c r="J30" s="51"/>
      <c r="K30" s="53">
        <f t="shared" si="0"/>
        <v>131293</v>
      </c>
    </row>
    <row r="31" spans="1:11" ht="18" customHeight="1">
      <c r="A31" s="45" t="s">
        <v>270</v>
      </c>
      <c r="B31" s="814"/>
      <c r="C31" s="815"/>
      <c r="D31" s="816"/>
      <c r="F31" s="50"/>
      <c r="G31" s="50"/>
      <c r="H31" s="51"/>
      <c r="I31" s="52">
        <f t="shared" si="1"/>
        <v>0</v>
      </c>
      <c r="J31" s="51"/>
      <c r="K31" s="53">
        <f t="shared" si="0"/>
        <v>0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1"/>
        <v>0</v>
      </c>
      <c r="J32" s="51"/>
      <c r="K32" s="53">
        <f t="shared" si="0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1"/>
        <v>0</v>
      </c>
      <c r="J33" s="51"/>
      <c r="K33" s="53">
        <f t="shared" si="0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1"/>
        <v>0</v>
      </c>
      <c r="J34" s="51"/>
      <c r="K34" s="53">
        <f t="shared" si="0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4282</v>
      </c>
      <c r="G36" s="59">
        <f t="shared" si="2"/>
        <v>169735</v>
      </c>
      <c r="H36" s="59">
        <f t="shared" si="2"/>
        <v>379114</v>
      </c>
      <c r="I36" s="53">
        <f t="shared" si="2"/>
        <v>207875</v>
      </c>
      <c r="J36" s="53">
        <f t="shared" si="2"/>
        <v>0</v>
      </c>
      <c r="K36" s="53">
        <f t="shared" si="2"/>
        <v>586989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/>
      <c r="G40" s="50"/>
      <c r="H40" s="51"/>
      <c r="I40" s="52">
        <v>0</v>
      </c>
      <c r="J40" s="51"/>
      <c r="K40" s="53">
        <f t="shared" ref="K40:K47" si="3">(H40+I40)-J40</f>
        <v>0</v>
      </c>
    </row>
    <row r="41" spans="1:11" ht="18" customHeight="1">
      <c r="A41" s="45" t="s">
        <v>278</v>
      </c>
      <c r="B41" s="818" t="s">
        <v>172</v>
      </c>
      <c r="C41" s="819"/>
      <c r="F41" s="50">
        <v>5629</v>
      </c>
      <c r="G41" s="50">
        <v>124</v>
      </c>
      <c r="H41" s="51">
        <v>143598</v>
      </c>
      <c r="I41" s="52">
        <v>105992</v>
      </c>
      <c r="J41" s="51"/>
      <c r="K41" s="53">
        <f t="shared" si="3"/>
        <v>249590</v>
      </c>
    </row>
    <row r="42" spans="1:11" ht="18" customHeight="1">
      <c r="A42" s="45" t="s">
        <v>279</v>
      </c>
      <c r="B42" s="49" t="s">
        <v>174</v>
      </c>
      <c r="F42" s="50">
        <v>2446</v>
      </c>
      <c r="G42" s="50">
        <v>38</v>
      </c>
      <c r="H42" s="51">
        <v>73586</v>
      </c>
      <c r="I42" s="52">
        <v>23794</v>
      </c>
      <c r="J42" s="51"/>
      <c r="K42" s="53">
        <f t="shared" si="3"/>
        <v>97380</v>
      </c>
    </row>
    <row r="43" spans="1:11" ht="18" customHeight="1">
      <c r="A43" s="45" t="s">
        <v>280</v>
      </c>
      <c r="B43" s="49" t="s">
        <v>176</v>
      </c>
      <c r="F43" s="50"/>
      <c r="G43" s="50"/>
      <c r="H43" s="51"/>
      <c r="I43" s="52">
        <v>0</v>
      </c>
      <c r="J43" s="51"/>
      <c r="K43" s="53">
        <f t="shared" si="3"/>
        <v>0</v>
      </c>
    </row>
    <row r="44" spans="1:11" ht="18" customHeight="1">
      <c r="A44" s="45" t="s">
        <v>281</v>
      </c>
      <c r="B44" s="814" t="s">
        <v>597</v>
      </c>
      <c r="C44" s="815"/>
      <c r="D44" s="816"/>
      <c r="F44" s="50">
        <v>28</v>
      </c>
      <c r="G44" s="50">
        <v>1</v>
      </c>
      <c r="H44" s="50">
        <v>906</v>
      </c>
      <c r="I44" s="52">
        <v>675</v>
      </c>
      <c r="J44" s="50"/>
      <c r="K44" s="63">
        <f t="shared" si="3"/>
        <v>1581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v>0</v>
      </c>
      <c r="J45" s="51"/>
      <c r="K45" s="53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v>0</v>
      </c>
      <c r="J46" s="51"/>
      <c r="K46" s="53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8103</v>
      </c>
      <c r="G49" s="64">
        <f t="shared" si="4"/>
        <v>163</v>
      </c>
      <c r="H49" s="53">
        <f t="shared" si="4"/>
        <v>218090</v>
      </c>
      <c r="I49" s="53">
        <f t="shared" si="4"/>
        <v>130461</v>
      </c>
      <c r="J49" s="53">
        <f t="shared" si="4"/>
        <v>0</v>
      </c>
      <c r="K49" s="53">
        <f t="shared" si="4"/>
        <v>348551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46" t="s">
        <v>598</v>
      </c>
      <c r="C53" s="823"/>
      <c r="D53" s="813"/>
      <c r="F53" s="50">
        <v>12</v>
      </c>
      <c r="G53" s="50"/>
      <c r="H53" s="51">
        <v>1812639</v>
      </c>
      <c r="I53" s="52">
        <v>164</v>
      </c>
      <c r="J53" s="51"/>
      <c r="K53" s="53">
        <f t="shared" ref="K53:K62" si="5">(H53+I53)-J53</f>
        <v>1812803</v>
      </c>
    </row>
    <row r="54" spans="1:11" ht="33.75" customHeight="1">
      <c r="A54" s="45" t="s">
        <v>289</v>
      </c>
      <c r="B54" s="261" t="s">
        <v>599</v>
      </c>
      <c r="C54" s="105"/>
      <c r="D54" s="106"/>
      <c r="F54" s="50"/>
      <c r="G54" s="50"/>
      <c r="H54" s="51">
        <v>2916134</v>
      </c>
      <c r="I54" s="52">
        <v>0</v>
      </c>
      <c r="J54" s="51">
        <v>412577</v>
      </c>
      <c r="K54" s="53">
        <f t="shared" si="5"/>
        <v>2503557</v>
      </c>
    </row>
    <row r="55" spans="1:11" ht="18" customHeight="1">
      <c r="A55" s="45" t="s">
        <v>291</v>
      </c>
      <c r="B55" s="811" t="s">
        <v>600</v>
      </c>
      <c r="C55" s="812"/>
      <c r="D55" s="813"/>
      <c r="F55" s="50"/>
      <c r="G55" s="50"/>
      <c r="H55" s="51">
        <v>3875196</v>
      </c>
      <c r="I55" s="52">
        <v>0</v>
      </c>
      <c r="J55" s="51">
        <v>2903898</v>
      </c>
      <c r="K55" s="53">
        <f t="shared" si="5"/>
        <v>971298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v>0</v>
      </c>
      <c r="J56" s="51"/>
      <c r="K56" s="53">
        <f t="shared" si="5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v>0</v>
      </c>
      <c r="J57" s="51"/>
      <c r="K57" s="53">
        <f t="shared" si="5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v>0</v>
      </c>
      <c r="J58" s="51"/>
      <c r="K58" s="53">
        <f t="shared" si="5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v>0</v>
      </c>
      <c r="J59" s="51"/>
      <c r="K59" s="53">
        <f t="shared" si="5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v>0</v>
      </c>
      <c r="J60" s="51"/>
      <c r="K60" s="53">
        <f t="shared" si="5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v>0</v>
      </c>
      <c r="J61" s="51"/>
      <c r="K61" s="53">
        <f t="shared" si="5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5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6">SUM(F53:F62)</f>
        <v>12</v>
      </c>
      <c r="G64" s="59">
        <f t="shared" si="6"/>
        <v>0</v>
      </c>
      <c r="H64" s="53">
        <f t="shared" si="6"/>
        <v>8603969</v>
      </c>
      <c r="I64" s="53">
        <f t="shared" si="6"/>
        <v>164</v>
      </c>
      <c r="J64" s="53">
        <f t="shared" si="6"/>
        <v>3316475</v>
      </c>
      <c r="K64" s="53">
        <f t="shared" si="6"/>
        <v>5287658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/>
      <c r="G68" s="78"/>
      <c r="H68" s="78"/>
      <c r="I68" s="52">
        <v>0</v>
      </c>
      <c r="J68" s="78"/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7">SUM(F68:F72)</f>
        <v>0</v>
      </c>
      <c r="G74" s="86">
        <f t="shared" si="7"/>
        <v>0</v>
      </c>
      <c r="H74" s="86">
        <f t="shared" si="7"/>
        <v>0</v>
      </c>
      <c r="I74" s="87">
        <f t="shared" si="7"/>
        <v>0</v>
      </c>
      <c r="J74" s="86">
        <f t="shared" si="7"/>
        <v>0</v>
      </c>
      <c r="K74" s="63">
        <f t="shared" si="7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/>
      <c r="G77" s="50">
        <v>13</v>
      </c>
      <c r="H77" s="51">
        <v>35000</v>
      </c>
      <c r="I77" s="52">
        <v>0</v>
      </c>
      <c r="J77" s="51"/>
      <c r="K77" s="53">
        <f>(H77+I77)-J77</f>
        <v>35000</v>
      </c>
    </row>
    <row r="78" spans="1:11" ht="18" customHeight="1">
      <c r="A78" s="45" t="s">
        <v>313</v>
      </c>
      <c r="B78" s="49" t="s">
        <v>197</v>
      </c>
      <c r="F78" s="50"/>
      <c r="G78" s="50"/>
      <c r="H78" s="51"/>
      <c r="I78" s="52">
        <v>0</v>
      </c>
      <c r="J78" s="51"/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>
        <v>445</v>
      </c>
      <c r="G79" s="50">
        <v>10</v>
      </c>
      <c r="H79" s="51">
        <v>32666</v>
      </c>
      <c r="I79" s="52">
        <v>6571</v>
      </c>
      <c r="J79" s="51"/>
      <c r="K79" s="53">
        <f>(H79+I79)-J79</f>
        <v>39237</v>
      </c>
    </row>
    <row r="80" spans="1:11" ht="18" customHeight="1">
      <c r="A80" s="45" t="s">
        <v>315</v>
      </c>
      <c r="B80" s="49" t="s">
        <v>316</v>
      </c>
      <c r="F80" s="50"/>
      <c r="G80" s="50"/>
      <c r="H80" s="51"/>
      <c r="I80" s="52">
        <v>0</v>
      </c>
      <c r="J80" s="51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8">SUM(F77:F80)</f>
        <v>445</v>
      </c>
      <c r="G82" s="86">
        <f t="shared" si="8"/>
        <v>23</v>
      </c>
      <c r="H82" s="63">
        <f t="shared" si="8"/>
        <v>67666</v>
      </c>
      <c r="I82" s="63">
        <f t="shared" si="8"/>
        <v>6571</v>
      </c>
      <c r="J82" s="63">
        <f t="shared" si="8"/>
        <v>0</v>
      </c>
      <c r="K82" s="63">
        <f t="shared" si="8"/>
        <v>74237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/>
      <c r="G86" s="50"/>
      <c r="H86" s="51"/>
      <c r="I86" s="52">
        <f t="shared" ref="I86:I96" si="9">H86*F$114</f>
        <v>0</v>
      </c>
      <c r="J86" s="51"/>
      <c r="K86" s="53">
        <f t="shared" ref="K86:K96" si="10">(H86+I86)-J86</f>
        <v>0</v>
      </c>
    </row>
    <row r="87" spans="1:11" ht="18" customHeight="1">
      <c r="A87" s="45" t="s">
        <v>320</v>
      </c>
      <c r="B87" s="49" t="s">
        <v>206</v>
      </c>
      <c r="F87" s="50">
        <v>3</v>
      </c>
      <c r="G87" s="50"/>
      <c r="H87" s="51">
        <v>298</v>
      </c>
      <c r="I87" s="52">
        <v>0</v>
      </c>
      <c r="J87" s="51"/>
      <c r="K87" s="53">
        <f t="shared" si="10"/>
        <v>298</v>
      </c>
    </row>
    <row r="88" spans="1:11" ht="18" customHeight="1">
      <c r="A88" s="45" t="s">
        <v>321</v>
      </c>
      <c r="B88" s="49" t="s">
        <v>208</v>
      </c>
      <c r="F88" s="50">
        <v>390</v>
      </c>
      <c r="G88" s="50"/>
      <c r="H88" s="51">
        <v>27323</v>
      </c>
      <c r="I88" s="52">
        <v>8098</v>
      </c>
      <c r="J88" s="51"/>
      <c r="K88" s="53">
        <f t="shared" si="10"/>
        <v>35421</v>
      </c>
    </row>
    <row r="89" spans="1:11" ht="18" customHeight="1">
      <c r="A89" s="45" t="s">
        <v>322</v>
      </c>
      <c r="B89" s="49" t="s">
        <v>210</v>
      </c>
      <c r="F89" s="50"/>
      <c r="G89" s="50"/>
      <c r="H89" s="51"/>
      <c r="I89" s="52">
        <v>0</v>
      </c>
      <c r="J89" s="51"/>
      <c r="K89" s="53">
        <f t="shared" si="10"/>
        <v>0</v>
      </c>
    </row>
    <row r="90" spans="1:11" ht="18" customHeight="1">
      <c r="A90" s="45" t="s">
        <v>323</v>
      </c>
      <c r="B90" s="818" t="s">
        <v>212</v>
      </c>
      <c r="C90" s="819"/>
      <c r="F90" s="50"/>
      <c r="G90" s="50"/>
      <c r="H90" s="51"/>
      <c r="I90" s="52">
        <f t="shared" si="9"/>
        <v>0</v>
      </c>
      <c r="J90" s="51"/>
      <c r="K90" s="53">
        <f t="shared" si="10"/>
        <v>0</v>
      </c>
    </row>
    <row r="91" spans="1:11" ht="18" customHeight="1">
      <c r="A91" s="45" t="s">
        <v>324</v>
      </c>
      <c r="B91" s="49" t="s">
        <v>214</v>
      </c>
      <c r="F91" s="50">
        <v>147</v>
      </c>
      <c r="G91" s="50">
        <v>200</v>
      </c>
      <c r="H91" s="51">
        <v>10259</v>
      </c>
      <c r="I91" s="52">
        <v>74</v>
      </c>
      <c r="J91" s="51"/>
      <c r="K91" s="53">
        <f t="shared" si="10"/>
        <v>10333</v>
      </c>
    </row>
    <row r="92" spans="1:11" ht="18" customHeight="1">
      <c r="A92" s="45" t="s">
        <v>325</v>
      </c>
      <c r="B92" s="49" t="s">
        <v>216</v>
      </c>
      <c r="F92" s="89">
        <v>8</v>
      </c>
      <c r="G92" s="89"/>
      <c r="H92" s="90">
        <v>795</v>
      </c>
      <c r="I92" s="52">
        <v>0</v>
      </c>
      <c r="J92" s="90"/>
      <c r="K92" s="53">
        <f t="shared" si="10"/>
        <v>795</v>
      </c>
    </row>
    <row r="93" spans="1:11" ht="18" customHeight="1">
      <c r="A93" s="45" t="s">
        <v>326</v>
      </c>
      <c r="B93" s="49" t="s">
        <v>218</v>
      </c>
      <c r="F93" s="50">
        <v>2295</v>
      </c>
      <c r="G93" s="50"/>
      <c r="H93" s="51">
        <v>85817</v>
      </c>
      <c r="I93" s="52">
        <v>53747</v>
      </c>
      <c r="J93" s="51">
        <v>6032</v>
      </c>
      <c r="K93" s="53">
        <f t="shared" si="10"/>
        <v>133532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si="9"/>
        <v>0</v>
      </c>
      <c r="J94" s="51"/>
      <c r="K94" s="53">
        <f t="shared" si="10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9"/>
        <v>0</v>
      </c>
      <c r="J95" s="51"/>
      <c r="K95" s="53">
        <f t="shared" si="10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9"/>
        <v>0</v>
      </c>
      <c r="J96" s="51"/>
      <c r="K96" s="53">
        <f t="shared" si="10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1">SUM(F86:F96)</f>
        <v>2843</v>
      </c>
      <c r="G98" s="59">
        <f t="shared" si="11"/>
        <v>200</v>
      </c>
      <c r="H98" s="59">
        <f t="shared" si="11"/>
        <v>124492</v>
      </c>
      <c r="I98" s="59">
        <f t="shared" si="11"/>
        <v>61919</v>
      </c>
      <c r="J98" s="59">
        <f t="shared" si="11"/>
        <v>6032</v>
      </c>
      <c r="K98" s="59">
        <f t="shared" si="11"/>
        <v>180379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1580</v>
      </c>
      <c r="G102" s="50"/>
      <c r="H102" s="51">
        <v>64750</v>
      </c>
      <c r="I102" s="52">
        <v>48239</v>
      </c>
      <c r="J102" s="51"/>
      <c r="K102" s="53">
        <f>(H102+I102)-J102</f>
        <v>112989</v>
      </c>
    </row>
    <row r="103" spans="1:11" ht="18" customHeight="1">
      <c r="A103" s="45" t="s">
        <v>333</v>
      </c>
      <c r="B103" s="818" t="s">
        <v>226</v>
      </c>
      <c r="C103" s="818"/>
      <c r="F103" s="50"/>
      <c r="G103" s="50"/>
      <c r="H103" s="51">
        <v>1100</v>
      </c>
      <c r="I103" s="52">
        <v>0</v>
      </c>
      <c r="J103" s="51"/>
      <c r="K103" s="53">
        <f>(H103+I103)-J103</f>
        <v>1100</v>
      </c>
    </row>
    <row r="104" spans="1:11" ht="18" customHeight="1">
      <c r="A104" s="45" t="s">
        <v>334</v>
      </c>
      <c r="B104" s="817" t="s">
        <v>601</v>
      </c>
      <c r="C104" s="812"/>
      <c r="D104" s="813"/>
      <c r="F104" s="50">
        <v>142</v>
      </c>
      <c r="G104" s="50"/>
      <c r="H104" s="51">
        <v>4478</v>
      </c>
      <c r="I104" s="52">
        <v>2945</v>
      </c>
      <c r="J104" s="51"/>
      <c r="K104" s="53">
        <f>(H104+I104)-J104</f>
        <v>7423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2">SUM(F102:F106)</f>
        <v>1722</v>
      </c>
      <c r="G108" s="59">
        <f t="shared" si="12"/>
        <v>0</v>
      </c>
      <c r="H108" s="53">
        <f t="shared" si="12"/>
        <v>70328</v>
      </c>
      <c r="I108" s="53">
        <f t="shared" si="12"/>
        <v>51184</v>
      </c>
      <c r="J108" s="53">
        <f t="shared" si="12"/>
        <v>0</v>
      </c>
      <c r="K108" s="53">
        <f t="shared" si="12"/>
        <v>121512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1436027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0.74280000000000002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121159000</v>
      </c>
    </row>
    <row r="118" spans="1:6">
      <c r="A118" s="45" t="s">
        <v>343</v>
      </c>
      <c r="B118" s="40" t="s">
        <v>237</v>
      </c>
      <c r="F118" s="51">
        <v>1758000</v>
      </c>
    </row>
    <row r="119" spans="1:6">
      <c r="A119" s="45" t="s">
        <v>344</v>
      </c>
      <c r="B119" s="43" t="s">
        <v>238</v>
      </c>
      <c r="F119" s="63">
        <f>SUM(F117:F118)</f>
        <v>122917000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115151000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f>+F119-F121</f>
        <v>7766000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f>-2254000-2956000</f>
        <v>-5210000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f>+F123+F125</f>
        <v>2556000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3">SUM(F131:F135)</f>
        <v>0</v>
      </c>
      <c r="G137" s="59">
        <f t="shared" si="13"/>
        <v>0</v>
      </c>
      <c r="H137" s="53">
        <f t="shared" si="13"/>
        <v>0</v>
      </c>
      <c r="I137" s="53">
        <f t="shared" si="13"/>
        <v>0</v>
      </c>
      <c r="J137" s="53">
        <f t="shared" si="13"/>
        <v>0</v>
      </c>
      <c r="K137" s="53">
        <f t="shared" si="13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4">F36</f>
        <v>4282</v>
      </c>
      <c r="G141" s="95">
        <f t="shared" si="14"/>
        <v>169735</v>
      </c>
      <c r="H141" s="95">
        <f t="shared" si="14"/>
        <v>379114</v>
      </c>
      <c r="I141" s="95">
        <f t="shared" si="14"/>
        <v>207875</v>
      </c>
      <c r="J141" s="95">
        <f t="shared" si="14"/>
        <v>0</v>
      </c>
      <c r="K141" s="95">
        <f t="shared" si="14"/>
        <v>586989</v>
      </c>
    </row>
    <row r="142" spans="1:11" ht="18" customHeight="1">
      <c r="A142" s="45" t="s">
        <v>286</v>
      </c>
      <c r="B142" s="43" t="s">
        <v>125</v>
      </c>
      <c r="F142" s="95">
        <f t="shared" ref="F142:K142" si="15">F49</f>
        <v>8103</v>
      </c>
      <c r="G142" s="95">
        <f t="shared" si="15"/>
        <v>163</v>
      </c>
      <c r="H142" s="95">
        <f t="shared" si="15"/>
        <v>218090</v>
      </c>
      <c r="I142" s="95">
        <f t="shared" si="15"/>
        <v>130461</v>
      </c>
      <c r="J142" s="95">
        <f t="shared" si="15"/>
        <v>0</v>
      </c>
      <c r="K142" s="95">
        <f t="shared" si="15"/>
        <v>348551</v>
      </c>
    </row>
    <row r="143" spans="1:11" ht="18" customHeight="1">
      <c r="A143" s="45" t="s">
        <v>305</v>
      </c>
      <c r="B143" s="43" t="s">
        <v>247</v>
      </c>
      <c r="F143" s="95">
        <f t="shared" ref="F143:K143" si="16">F64</f>
        <v>12</v>
      </c>
      <c r="G143" s="95">
        <f t="shared" si="16"/>
        <v>0</v>
      </c>
      <c r="H143" s="95">
        <f t="shared" si="16"/>
        <v>8603969</v>
      </c>
      <c r="I143" s="95">
        <f t="shared" si="16"/>
        <v>164</v>
      </c>
      <c r="J143" s="95">
        <f t="shared" si="16"/>
        <v>3316475</v>
      </c>
      <c r="K143" s="95">
        <f t="shared" si="16"/>
        <v>5287658</v>
      </c>
    </row>
    <row r="144" spans="1:11" ht="18" customHeight="1">
      <c r="A144" s="45" t="s">
        <v>311</v>
      </c>
      <c r="B144" s="43" t="s">
        <v>127</v>
      </c>
      <c r="F144" s="95">
        <f t="shared" ref="F144:K144" si="17">F74</f>
        <v>0</v>
      </c>
      <c r="G144" s="95">
        <f t="shared" si="17"/>
        <v>0</v>
      </c>
      <c r="H144" s="95">
        <f t="shared" si="17"/>
        <v>0</v>
      </c>
      <c r="I144" s="95">
        <f t="shared" si="17"/>
        <v>0</v>
      </c>
      <c r="J144" s="95">
        <f t="shared" si="17"/>
        <v>0</v>
      </c>
      <c r="K144" s="95">
        <f t="shared" si="17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18">F82</f>
        <v>445</v>
      </c>
      <c r="G145" s="95">
        <f t="shared" si="18"/>
        <v>23</v>
      </c>
      <c r="H145" s="95">
        <f t="shared" si="18"/>
        <v>67666</v>
      </c>
      <c r="I145" s="95">
        <f t="shared" si="18"/>
        <v>6571</v>
      </c>
      <c r="J145" s="95">
        <f t="shared" si="18"/>
        <v>0</v>
      </c>
      <c r="K145" s="95">
        <f t="shared" si="18"/>
        <v>74237</v>
      </c>
    </row>
    <row r="146" spans="1:11" ht="18" customHeight="1">
      <c r="A146" s="45" t="s">
        <v>331</v>
      </c>
      <c r="B146" s="43" t="s">
        <v>249</v>
      </c>
      <c r="F146" s="95">
        <f t="shared" ref="F146:K146" si="19">F98</f>
        <v>2843</v>
      </c>
      <c r="G146" s="95">
        <f t="shared" si="19"/>
        <v>200</v>
      </c>
      <c r="H146" s="95">
        <f t="shared" si="19"/>
        <v>124492</v>
      </c>
      <c r="I146" s="95">
        <f t="shared" si="19"/>
        <v>61919</v>
      </c>
      <c r="J146" s="95">
        <f t="shared" si="19"/>
        <v>6032</v>
      </c>
      <c r="K146" s="95">
        <f t="shared" si="19"/>
        <v>180379</v>
      </c>
    </row>
    <row r="147" spans="1:11" ht="18" customHeight="1">
      <c r="A147" s="45" t="s">
        <v>338</v>
      </c>
      <c r="B147" s="43" t="s">
        <v>129</v>
      </c>
      <c r="F147" s="59">
        <f t="shared" ref="F147:K147" si="20">F108</f>
        <v>1722</v>
      </c>
      <c r="G147" s="59">
        <f t="shared" si="20"/>
        <v>0</v>
      </c>
      <c r="H147" s="59">
        <f t="shared" si="20"/>
        <v>70328</v>
      </c>
      <c r="I147" s="59">
        <f t="shared" si="20"/>
        <v>51184</v>
      </c>
      <c r="J147" s="59">
        <f t="shared" si="20"/>
        <v>0</v>
      </c>
      <c r="K147" s="59">
        <f t="shared" si="20"/>
        <v>121512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1436027</v>
      </c>
    </row>
    <row r="149" spans="1:11" ht="18" customHeight="1">
      <c r="A149" s="45" t="s">
        <v>358</v>
      </c>
      <c r="B149" s="43" t="s">
        <v>250</v>
      </c>
      <c r="F149" s="59">
        <f t="shared" ref="F149:K149" si="21">F137</f>
        <v>0</v>
      </c>
      <c r="G149" s="59">
        <f t="shared" si="21"/>
        <v>0</v>
      </c>
      <c r="H149" s="59">
        <f t="shared" si="21"/>
        <v>0</v>
      </c>
      <c r="I149" s="59">
        <f t="shared" si="21"/>
        <v>0</v>
      </c>
      <c r="J149" s="59">
        <f t="shared" si="21"/>
        <v>0</v>
      </c>
      <c r="K149" s="59">
        <f t="shared" si="21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3319702</v>
      </c>
      <c r="I150" s="59">
        <f>I18</f>
        <v>0</v>
      </c>
      <c r="J150" s="59">
        <f>J18</f>
        <v>2838760</v>
      </c>
      <c r="K150" s="59">
        <f>K18</f>
        <v>480942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J152" si="22">SUM(F141:F150)</f>
        <v>17407</v>
      </c>
      <c r="G152" s="99">
        <f t="shared" si="22"/>
        <v>170121</v>
      </c>
      <c r="H152" s="99">
        <f t="shared" si="22"/>
        <v>12783361</v>
      </c>
      <c r="I152" s="99">
        <f t="shared" si="22"/>
        <v>458174</v>
      </c>
      <c r="J152" s="99">
        <f t="shared" si="22"/>
        <v>6161267</v>
      </c>
      <c r="K152" s="99">
        <f>SUM(K141:K150)</f>
        <v>8516295</v>
      </c>
    </row>
    <row r="154" spans="1:11" ht="18" customHeight="1">
      <c r="A154" s="48" t="s">
        <v>361</v>
      </c>
      <c r="B154" s="43" t="s">
        <v>252</v>
      </c>
      <c r="F154" s="166">
        <f>K152/F121</f>
        <v>7.3957629547290085E-2</v>
      </c>
    </row>
    <row r="155" spans="1:11" ht="18" customHeight="1">
      <c r="A155" s="48" t="s">
        <v>362</v>
      </c>
      <c r="B155" s="43" t="s">
        <v>253</v>
      </c>
      <c r="F155" s="166">
        <f>K152/F127</f>
        <v>3.3318838028169013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1" workbookViewId="0">
      <selection activeCell="B43" sqref="B43"/>
    </sheetView>
  </sheetViews>
  <sheetFormatPr defaultColWidth="8.85546875" defaultRowHeight="18" customHeight="1"/>
  <cols>
    <col min="1" max="1" width="8.28515625" style="135" customWidth="1"/>
    <col min="2" max="2" width="55.42578125" style="49" bestFit="1" customWidth="1"/>
    <col min="3" max="3" width="6.42578125" style="49" customWidth="1"/>
    <col min="4" max="4" width="4.7109375" style="49" customWidth="1"/>
    <col min="5" max="5" width="12.42578125" style="49" customWidth="1"/>
    <col min="6" max="6" width="18.42578125" style="49" customWidth="1"/>
    <col min="7" max="7" width="23.42578125" style="49" customWidth="1"/>
    <col min="8" max="8" width="17.140625" style="573" customWidth="1"/>
    <col min="9" max="9" width="21.140625" style="573" customWidth="1"/>
    <col min="10" max="10" width="19.85546875" style="573" customWidth="1"/>
    <col min="11" max="11" width="17.42578125" style="49" customWidth="1"/>
    <col min="12" max="16384" width="8.85546875" style="49"/>
  </cols>
  <sheetData>
    <row r="1" spans="1:11" ht="18" customHeight="1">
      <c r="C1" s="571"/>
      <c r="D1" s="435"/>
      <c r="E1" s="571"/>
      <c r="F1" s="571"/>
      <c r="G1" s="571"/>
      <c r="H1" s="572"/>
      <c r="I1" s="572"/>
      <c r="J1" s="572"/>
      <c r="K1" s="571"/>
    </row>
    <row r="2" spans="1:11" ht="18" customHeight="1">
      <c r="D2" s="238" t="s">
        <v>133</v>
      </c>
      <c r="E2" s="238"/>
      <c r="F2" s="238"/>
      <c r="G2" s="238"/>
      <c r="H2" s="238"/>
    </row>
    <row r="3" spans="1:11" ht="18" customHeight="1">
      <c r="B3" s="43" t="s">
        <v>134</v>
      </c>
    </row>
    <row r="5" spans="1:11" ht="18" customHeight="1">
      <c r="B5" s="45" t="s">
        <v>135</v>
      </c>
      <c r="C5" s="545" t="s">
        <v>602</v>
      </c>
      <c r="D5" s="551"/>
      <c r="E5" s="551"/>
      <c r="F5" s="551"/>
      <c r="G5" s="552"/>
    </row>
    <row r="6" spans="1:11" ht="18" customHeight="1">
      <c r="B6" s="45" t="s">
        <v>136</v>
      </c>
      <c r="C6" s="546">
        <v>37</v>
      </c>
      <c r="D6" s="553"/>
      <c r="E6" s="553"/>
      <c r="F6" s="553"/>
      <c r="G6" s="554"/>
    </row>
    <row r="7" spans="1:11" ht="18" customHeight="1">
      <c r="B7" s="45" t="s">
        <v>137</v>
      </c>
      <c r="C7" s="564">
        <v>2063</v>
      </c>
      <c r="D7" s="555"/>
      <c r="E7" s="555"/>
      <c r="F7" s="555"/>
      <c r="G7" s="556"/>
    </row>
    <row r="9" spans="1:11" ht="18" customHeight="1">
      <c r="B9" s="45" t="s">
        <v>138</v>
      </c>
      <c r="C9" s="545" t="s">
        <v>456</v>
      </c>
      <c r="D9" s="551"/>
      <c r="E9" s="551"/>
      <c r="F9" s="551"/>
      <c r="G9" s="552"/>
    </row>
    <row r="10" spans="1:11" ht="18" customHeight="1">
      <c r="B10" s="45" t="s">
        <v>140</v>
      </c>
      <c r="C10" s="547" t="s">
        <v>457</v>
      </c>
      <c r="D10" s="557"/>
      <c r="E10" s="557"/>
      <c r="F10" s="557"/>
      <c r="G10" s="558"/>
    </row>
    <row r="11" spans="1:11" ht="18" customHeight="1">
      <c r="B11" s="45" t="s">
        <v>142</v>
      </c>
      <c r="C11" s="545" t="s">
        <v>458</v>
      </c>
      <c r="D11" s="563"/>
      <c r="E11" s="563"/>
      <c r="F11" s="563"/>
      <c r="G11" s="563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548"/>
      <c r="C13" s="549"/>
      <c r="D13" s="549"/>
      <c r="E13" s="549"/>
      <c r="F13" s="549"/>
      <c r="G13" s="549"/>
      <c r="H13" s="550"/>
      <c r="I13" s="572"/>
    </row>
    <row r="14" spans="1:11" ht="18" customHeight="1">
      <c r="B14" s="46"/>
    </row>
    <row r="15" spans="1:11" ht="18" customHeight="1">
      <c r="B15" s="46"/>
    </row>
    <row r="16" spans="1:11" ht="45" customHeight="1">
      <c r="A16" s="435" t="s">
        <v>144</v>
      </c>
      <c r="B16" s="571"/>
      <c r="C16" s="571"/>
      <c r="D16" s="571"/>
      <c r="E16" s="571"/>
      <c r="F16" s="47" t="s">
        <v>145</v>
      </c>
      <c r="G16" s="47" t="s">
        <v>146</v>
      </c>
      <c r="H16" s="574" t="s">
        <v>147</v>
      </c>
      <c r="I16" s="574" t="s">
        <v>148</v>
      </c>
      <c r="J16" s="574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7" t="s">
        <v>122</v>
      </c>
      <c r="G18" s="57" t="s">
        <v>122</v>
      </c>
      <c r="H18" s="575">
        <v>5074294</v>
      </c>
      <c r="I18" s="576">
        <v>0</v>
      </c>
      <c r="J18" s="575">
        <v>4339156</v>
      </c>
      <c r="K18" s="348">
        <v>735138</v>
      </c>
    </row>
    <row r="19" spans="1:11" ht="45" customHeight="1">
      <c r="A19" s="435" t="s">
        <v>154</v>
      </c>
      <c r="B19" s="571"/>
      <c r="C19" s="571"/>
      <c r="D19" s="571"/>
      <c r="E19" s="571"/>
      <c r="F19" s="47" t="s">
        <v>145</v>
      </c>
      <c r="G19" s="47" t="s">
        <v>146</v>
      </c>
      <c r="H19" s="574" t="s">
        <v>147</v>
      </c>
      <c r="I19" s="574" t="s">
        <v>148</v>
      </c>
      <c r="J19" s="574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7">
        <v>2503</v>
      </c>
      <c r="G21" s="57">
        <v>3536</v>
      </c>
      <c r="H21" s="575">
        <v>116847.14428423638</v>
      </c>
      <c r="I21" s="575">
        <v>59148.024436680462</v>
      </c>
      <c r="J21" s="575">
        <v>1195</v>
      </c>
      <c r="K21" s="348">
        <v>174800.16872091684</v>
      </c>
    </row>
    <row r="22" spans="1:11" ht="18" customHeight="1">
      <c r="A22" s="45" t="s">
        <v>261</v>
      </c>
      <c r="B22" s="49" t="s">
        <v>157</v>
      </c>
      <c r="F22" s="57">
        <v>9</v>
      </c>
      <c r="G22" s="57">
        <v>72</v>
      </c>
      <c r="H22" s="575">
        <v>420.82413418411096</v>
      </c>
      <c r="I22" s="575">
        <v>213.02117672399697</v>
      </c>
      <c r="J22" s="575">
        <v>0</v>
      </c>
      <c r="K22" s="348">
        <v>633.84531090810788</v>
      </c>
    </row>
    <row r="23" spans="1:11" ht="18" customHeight="1">
      <c r="A23" s="45" t="s">
        <v>262</v>
      </c>
      <c r="B23" s="49" t="s">
        <v>158</v>
      </c>
      <c r="F23" s="57">
        <v>40</v>
      </c>
      <c r="G23" s="57">
        <v>108</v>
      </c>
      <c r="H23" s="57">
        <v>1870.329485262715</v>
      </c>
      <c r="I23" s="576">
        <v>946.76078543998631</v>
      </c>
      <c r="J23" s="57">
        <v>0</v>
      </c>
      <c r="K23" s="348">
        <v>2817.0902707027012</v>
      </c>
    </row>
    <row r="24" spans="1:11" ht="18" customHeight="1">
      <c r="A24" s="45" t="s">
        <v>263</v>
      </c>
      <c r="B24" s="49" t="s">
        <v>159</v>
      </c>
      <c r="F24" s="57">
        <v>800</v>
      </c>
      <c r="G24" s="57">
        <v>187</v>
      </c>
      <c r="H24" s="575">
        <v>37406.5897052543</v>
      </c>
      <c r="I24" s="576">
        <v>18935.215708799726</v>
      </c>
      <c r="J24" s="575">
        <v>0</v>
      </c>
      <c r="K24" s="348">
        <v>56341.805414054026</v>
      </c>
    </row>
    <row r="25" spans="1:11" ht="18" customHeight="1">
      <c r="A25" s="45" t="s">
        <v>264</v>
      </c>
      <c r="B25" s="49" t="s">
        <v>160</v>
      </c>
      <c r="F25" s="57">
        <v>12</v>
      </c>
      <c r="G25" s="57">
        <v>17</v>
      </c>
      <c r="H25" s="575">
        <v>561.09884557881458</v>
      </c>
      <c r="I25" s="576">
        <v>284.02823563199593</v>
      </c>
      <c r="J25" s="575">
        <v>0</v>
      </c>
      <c r="K25" s="348">
        <v>845.1270812108105</v>
      </c>
    </row>
    <row r="26" spans="1:11" ht="18" customHeight="1">
      <c r="A26" s="45" t="s">
        <v>265</v>
      </c>
      <c r="B26" s="49" t="s">
        <v>161</v>
      </c>
      <c r="F26" s="57"/>
      <c r="G26" s="57"/>
      <c r="H26" s="575"/>
      <c r="I26" s="576">
        <v>0</v>
      </c>
      <c r="J26" s="575"/>
      <c r="K26" s="348">
        <v>0</v>
      </c>
    </row>
    <row r="27" spans="1:11" ht="18" customHeight="1">
      <c r="A27" s="45" t="s">
        <v>266</v>
      </c>
      <c r="B27" s="49" t="s">
        <v>162</v>
      </c>
      <c r="F27" s="57"/>
      <c r="G27" s="57"/>
      <c r="H27" s="575"/>
      <c r="I27" s="576">
        <v>0</v>
      </c>
      <c r="J27" s="575"/>
      <c r="K27" s="348">
        <v>0</v>
      </c>
    </row>
    <row r="28" spans="1:11" ht="18" customHeight="1">
      <c r="A28" s="45" t="s">
        <v>267</v>
      </c>
      <c r="B28" s="49" t="s">
        <v>163</v>
      </c>
      <c r="F28" s="57"/>
      <c r="G28" s="57"/>
      <c r="H28" s="575"/>
      <c r="I28" s="576">
        <v>0</v>
      </c>
      <c r="J28" s="575"/>
      <c r="K28" s="348">
        <v>0</v>
      </c>
    </row>
    <row r="29" spans="1:11" ht="18" customHeight="1">
      <c r="A29" s="45" t="s">
        <v>268</v>
      </c>
      <c r="B29" s="49" t="s">
        <v>165</v>
      </c>
      <c r="F29" s="57">
        <v>500</v>
      </c>
      <c r="G29" s="57">
        <v>193</v>
      </c>
      <c r="H29" s="575">
        <v>31886.418565783937</v>
      </c>
      <c r="I29" s="576">
        <v>16140.905077999829</v>
      </c>
      <c r="J29" s="575"/>
      <c r="K29" s="348">
        <v>48027.323643783762</v>
      </c>
    </row>
    <row r="30" spans="1:11" ht="18" customHeight="1">
      <c r="A30" s="45" t="s">
        <v>269</v>
      </c>
      <c r="B30" s="539" t="s">
        <v>603</v>
      </c>
      <c r="C30" s="559"/>
      <c r="D30" s="560"/>
      <c r="F30" s="57">
        <v>14440</v>
      </c>
      <c r="G30" s="57">
        <v>213</v>
      </c>
      <c r="H30" s="575">
        <v>581783.42028548161</v>
      </c>
      <c r="I30" s="576">
        <v>294498.7673485108</v>
      </c>
      <c r="J30" s="575">
        <v>0</v>
      </c>
      <c r="K30" s="348">
        <v>876282.18763399241</v>
      </c>
    </row>
    <row r="31" spans="1:11" ht="18" customHeight="1">
      <c r="A31" s="45" t="s">
        <v>270</v>
      </c>
      <c r="B31" s="536"/>
      <c r="C31" s="537"/>
      <c r="D31" s="538"/>
      <c r="F31" s="57"/>
      <c r="G31" s="57"/>
      <c r="H31" s="575"/>
      <c r="I31" s="576">
        <v>0</v>
      </c>
      <c r="J31" s="575"/>
      <c r="K31" s="348">
        <v>0</v>
      </c>
    </row>
    <row r="32" spans="1:11" ht="18" customHeight="1">
      <c r="A32" s="45" t="s">
        <v>271</v>
      </c>
      <c r="B32" s="536"/>
      <c r="C32" s="537"/>
      <c r="D32" s="538"/>
      <c r="F32" s="57"/>
      <c r="G32" s="57" t="s">
        <v>272</v>
      </c>
      <c r="H32" s="575"/>
      <c r="I32" s="576">
        <v>0</v>
      </c>
      <c r="J32" s="575"/>
      <c r="K32" s="348">
        <v>0</v>
      </c>
    </row>
    <row r="33" spans="1:11" ht="18" customHeight="1">
      <c r="A33" s="45" t="s">
        <v>273</v>
      </c>
      <c r="B33" s="536"/>
      <c r="C33" s="537"/>
      <c r="D33" s="538"/>
      <c r="F33" s="57"/>
      <c r="G33" s="57" t="s">
        <v>272</v>
      </c>
      <c r="H33" s="575"/>
      <c r="I33" s="576">
        <v>0</v>
      </c>
      <c r="J33" s="575"/>
      <c r="K33" s="348">
        <v>0</v>
      </c>
    </row>
    <row r="34" spans="1:11" ht="18" customHeight="1">
      <c r="A34" s="45" t="s">
        <v>274</v>
      </c>
      <c r="B34" s="536"/>
      <c r="C34" s="537"/>
      <c r="D34" s="538"/>
      <c r="F34" s="57"/>
      <c r="G34" s="57" t="s">
        <v>272</v>
      </c>
      <c r="H34" s="575"/>
      <c r="I34" s="576">
        <v>0</v>
      </c>
      <c r="J34" s="575"/>
      <c r="K34" s="348">
        <v>0</v>
      </c>
    </row>
    <row r="35" spans="1:11" ht="18" customHeight="1">
      <c r="K35" s="349"/>
    </row>
    <row r="36" spans="1:11" ht="18" customHeight="1">
      <c r="A36" s="48" t="s">
        <v>275</v>
      </c>
      <c r="B36" s="43" t="s">
        <v>166</v>
      </c>
      <c r="E36" s="43" t="s">
        <v>276</v>
      </c>
      <c r="F36" s="350">
        <v>18304</v>
      </c>
      <c r="G36" s="350">
        <v>4326</v>
      </c>
      <c r="H36" s="577">
        <v>770775.82530578191</v>
      </c>
      <c r="I36" s="577">
        <v>390166.72276978678</v>
      </c>
      <c r="J36" s="577">
        <v>1195</v>
      </c>
      <c r="K36" s="348">
        <v>1159747.5480755686</v>
      </c>
    </row>
    <row r="37" spans="1:11" ht="18" customHeight="1" thickBot="1">
      <c r="B37" s="43"/>
      <c r="F37" s="351"/>
      <c r="G37" s="351"/>
      <c r="H37" s="578"/>
      <c r="I37" s="578"/>
      <c r="J37" s="578"/>
      <c r="K37" s="353"/>
    </row>
    <row r="38" spans="1:11" ht="42.75" customHeight="1">
      <c r="F38" s="47" t="s">
        <v>145</v>
      </c>
      <c r="G38" s="47" t="s">
        <v>146</v>
      </c>
      <c r="H38" s="574" t="s">
        <v>147</v>
      </c>
      <c r="I38" s="574" t="s">
        <v>148</v>
      </c>
      <c r="J38" s="574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9" t="s">
        <v>170</v>
      </c>
      <c r="F40" s="57"/>
      <c r="G40" s="57"/>
      <c r="H40" s="575"/>
      <c r="I40" s="576">
        <v>0</v>
      </c>
      <c r="J40" s="575"/>
      <c r="K40" s="348">
        <v>0</v>
      </c>
    </row>
    <row r="41" spans="1:11" ht="18" customHeight="1">
      <c r="A41" s="45" t="s">
        <v>278</v>
      </c>
      <c r="B41" s="540" t="s">
        <v>172</v>
      </c>
      <c r="C41" s="540"/>
      <c r="F41" s="57">
        <v>14560</v>
      </c>
      <c r="G41" s="57">
        <v>18</v>
      </c>
      <c r="H41" s="575">
        <v>1024284</v>
      </c>
      <c r="I41" s="576">
        <v>84684.000000000087</v>
      </c>
      <c r="J41" s="575">
        <v>0</v>
      </c>
      <c r="K41" s="348">
        <v>1108968</v>
      </c>
    </row>
    <row r="42" spans="1:11" ht="18" customHeight="1">
      <c r="A42" s="45" t="s">
        <v>279</v>
      </c>
      <c r="B42" s="49" t="s">
        <v>174</v>
      </c>
      <c r="F42" s="57">
        <v>144</v>
      </c>
      <c r="G42" s="57">
        <v>4</v>
      </c>
      <c r="H42" s="575">
        <v>6733.1861469457754</v>
      </c>
      <c r="I42" s="576">
        <v>3408.3388275839516</v>
      </c>
      <c r="J42" s="575">
        <v>0</v>
      </c>
      <c r="K42" s="348">
        <v>10141.524974529726</v>
      </c>
    </row>
    <row r="43" spans="1:11" ht="18" customHeight="1">
      <c r="A43" s="45" t="s">
        <v>280</v>
      </c>
      <c r="B43" s="49" t="s">
        <v>176</v>
      </c>
      <c r="F43" s="57"/>
      <c r="G43" s="57"/>
      <c r="H43" s="575"/>
      <c r="I43" s="576">
        <v>0</v>
      </c>
      <c r="J43" s="575"/>
      <c r="K43" s="348">
        <v>0</v>
      </c>
    </row>
    <row r="44" spans="1:11" ht="18" customHeight="1">
      <c r="A44" s="45" t="s">
        <v>281</v>
      </c>
      <c r="B44" s="536"/>
      <c r="C44" s="537"/>
      <c r="D44" s="538"/>
      <c r="F44" s="57">
        <v>0</v>
      </c>
      <c r="G44" s="57">
        <v>0</v>
      </c>
      <c r="H44" s="575">
        <v>0</v>
      </c>
      <c r="I44" s="576">
        <v>0</v>
      </c>
      <c r="J44" s="575">
        <v>0</v>
      </c>
      <c r="K44" s="354">
        <v>0</v>
      </c>
    </row>
    <row r="45" spans="1:11" ht="18" customHeight="1">
      <c r="A45" s="45" t="s">
        <v>283</v>
      </c>
      <c r="B45" s="536"/>
      <c r="C45" s="537"/>
      <c r="D45" s="538"/>
      <c r="F45" s="57"/>
      <c r="G45" s="57"/>
      <c r="H45" s="575"/>
      <c r="I45" s="576">
        <v>0</v>
      </c>
      <c r="J45" s="575"/>
      <c r="K45" s="348">
        <v>0</v>
      </c>
    </row>
    <row r="46" spans="1:11" ht="18" customHeight="1">
      <c r="A46" s="45" t="s">
        <v>284</v>
      </c>
      <c r="B46" s="536"/>
      <c r="C46" s="537"/>
      <c r="D46" s="538"/>
      <c r="F46" s="57"/>
      <c r="G46" s="57"/>
      <c r="H46" s="575"/>
      <c r="I46" s="576">
        <v>0</v>
      </c>
      <c r="J46" s="575"/>
      <c r="K46" s="348">
        <v>0</v>
      </c>
    </row>
    <row r="47" spans="1:11" ht="18" customHeight="1">
      <c r="A47" s="45" t="s">
        <v>285</v>
      </c>
      <c r="B47" s="536"/>
      <c r="C47" s="537"/>
      <c r="D47" s="538"/>
      <c r="F47" s="57"/>
      <c r="G47" s="57"/>
      <c r="H47" s="575"/>
      <c r="I47" s="576">
        <v>0</v>
      </c>
      <c r="J47" s="575"/>
      <c r="K47" s="348"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355">
        <v>14704</v>
      </c>
      <c r="G49" s="355">
        <v>22</v>
      </c>
      <c r="H49" s="577">
        <v>1031017.1861469458</v>
      </c>
      <c r="I49" s="577">
        <v>88092.338827584041</v>
      </c>
      <c r="J49" s="577">
        <v>0</v>
      </c>
      <c r="K49" s="348">
        <v>1119109.5249745296</v>
      </c>
    </row>
    <row r="50" spans="1:11" ht="18" customHeight="1" thickBot="1">
      <c r="G50" s="356"/>
      <c r="H50" s="578"/>
      <c r="I50" s="578"/>
      <c r="J50" s="578"/>
      <c r="K50" s="356"/>
    </row>
    <row r="51" spans="1:11" ht="42.75" customHeight="1">
      <c r="F51" s="47" t="s">
        <v>145</v>
      </c>
      <c r="G51" s="47" t="s">
        <v>146</v>
      </c>
      <c r="H51" s="574" t="s">
        <v>147</v>
      </c>
      <c r="I51" s="574" t="s">
        <v>148</v>
      </c>
      <c r="J51" s="574" t="s">
        <v>149</v>
      </c>
      <c r="K51" s="47" t="s">
        <v>150</v>
      </c>
    </row>
    <row r="52" spans="1:11" ht="18" customHeight="1">
      <c r="A52" s="48" t="s">
        <v>178</v>
      </c>
      <c r="B52" s="541" t="s">
        <v>179</v>
      </c>
      <c r="C52" s="561"/>
    </row>
    <row r="53" spans="1:11" ht="18" customHeight="1">
      <c r="A53" s="45" t="s">
        <v>287</v>
      </c>
      <c r="B53" s="542" t="s">
        <v>604</v>
      </c>
      <c r="C53" s="562"/>
      <c r="D53" s="560"/>
      <c r="F53" s="57">
        <v>522</v>
      </c>
      <c r="G53" s="57">
        <v>987</v>
      </c>
      <c r="H53" s="575">
        <v>229657.43819377865</v>
      </c>
      <c r="I53" s="576">
        <v>116252.59521369074</v>
      </c>
      <c r="J53" s="575">
        <v>0</v>
      </c>
      <c r="K53" s="348">
        <v>345910.0334074694</v>
      </c>
    </row>
    <row r="54" spans="1:11" ht="18" customHeight="1">
      <c r="A54" s="45" t="s">
        <v>289</v>
      </c>
      <c r="B54" s="539" t="s">
        <v>605</v>
      </c>
      <c r="C54" s="559"/>
      <c r="D54" s="560"/>
      <c r="F54" s="57">
        <v>1664.6399999999999</v>
      </c>
      <c r="G54" s="57">
        <v>1664.6399999999999</v>
      </c>
      <c r="H54" s="575">
        <v>1007107.2</v>
      </c>
      <c r="I54" s="576">
        <v>0</v>
      </c>
      <c r="J54" s="575"/>
      <c r="K54" s="348">
        <v>1007107.2</v>
      </c>
    </row>
    <row r="55" spans="1:11" ht="18" customHeight="1">
      <c r="A55" s="45" t="s">
        <v>291</v>
      </c>
      <c r="B55" s="539" t="s">
        <v>606</v>
      </c>
      <c r="C55" s="559"/>
      <c r="D55" s="560"/>
      <c r="F55" s="57">
        <v>27010</v>
      </c>
      <c r="G55" s="57">
        <v>51191</v>
      </c>
      <c r="H55" s="575">
        <v>1965801.1600000001</v>
      </c>
      <c r="I55" s="576">
        <v>0</v>
      </c>
      <c r="J55" s="575"/>
      <c r="K55" s="348">
        <v>1965801.1600000001</v>
      </c>
    </row>
    <row r="56" spans="1:11" ht="18" customHeight="1">
      <c r="A56" s="45" t="s">
        <v>293</v>
      </c>
      <c r="B56" s="539" t="s">
        <v>607</v>
      </c>
      <c r="C56" s="559"/>
      <c r="D56" s="560"/>
      <c r="F56" s="57"/>
      <c r="G56" s="57"/>
      <c r="H56" s="575">
        <v>824855.99</v>
      </c>
      <c r="I56" s="576">
        <v>0</v>
      </c>
      <c r="J56" s="575"/>
      <c r="K56" s="348">
        <v>824855.99</v>
      </c>
    </row>
    <row r="57" spans="1:11" ht="18" customHeight="1">
      <c r="A57" s="45" t="s">
        <v>295</v>
      </c>
      <c r="B57" s="539" t="s">
        <v>608</v>
      </c>
      <c r="C57" s="559"/>
      <c r="D57" s="560"/>
      <c r="F57" s="57"/>
      <c r="G57" s="57"/>
      <c r="H57" s="575">
        <v>1168934.04</v>
      </c>
      <c r="I57" s="576">
        <v>0</v>
      </c>
      <c r="J57" s="575"/>
      <c r="K57" s="348">
        <v>1168934.04</v>
      </c>
    </row>
    <row r="58" spans="1:11" ht="18" customHeight="1">
      <c r="A58" s="45" t="s">
        <v>298</v>
      </c>
      <c r="B58" s="246" t="s">
        <v>609</v>
      </c>
      <c r="C58" s="559"/>
      <c r="D58" s="560"/>
      <c r="F58" s="57"/>
      <c r="G58" s="57"/>
      <c r="H58" s="575">
        <v>300107.5</v>
      </c>
      <c r="I58" s="576">
        <v>0</v>
      </c>
      <c r="J58" s="575"/>
      <c r="K58" s="348">
        <v>300107.5</v>
      </c>
    </row>
    <row r="59" spans="1:11" ht="18" customHeight="1">
      <c r="A59" s="45" t="s">
        <v>300</v>
      </c>
      <c r="B59" s="539" t="s">
        <v>461</v>
      </c>
      <c r="C59" s="559"/>
      <c r="D59" s="560"/>
      <c r="F59" s="57"/>
      <c r="G59" s="57"/>
      <c r="H59" s="575">
        <v>1193888.4450000001</v>
      </c>
      <c r="I59" s="576">
        <v>0</v>
      </c>
      <c r="J59" s="575"/>
      <c r="K59" s="348">
        <v>1193888.4450000001</v>
      </c>
    </row>
    <row r="60" spans="1:11" ht="18" customHeight="1">
      <c r="A60" s="45" t="s">
        <v>302</v>
      </c>
      <c r="B60" s="539" t="s">
        <v>610</v>
      </c>
      <c r="C60" s="559"/>
      <c r="D60" s="560"/>
      <c r="F60" s="57"/>
      <c r="G60" s="57"/>
      <c r="H60" s="575">
        <v>302321.04000000004</v>
      </c>
      <c r="I60" s="576">
        <v>0</v>
      </c>
      <c r="J60" s="575"/>
      <c r="K60" s="348">
        <v>302321.04000000004</v>
      </c>
    </row>
    <row r="61" spans="1:11" ht="18" customHeight="1">
      <c r="A61" s="45" t="s">
        <v>303</v>
      </c>
      <c r="B61" s="539" t="s">
        <v>462</v>
      </c>
      <c r="C61" s="559"/>
      <c r="D61" s="560"/>
      <c r="F61" s="57"/>
      <c r="G61" s="57"/>
      <c r="H61" s="575">
        <v>100923</v>
      </c>
      <c r="I61" s="576">
        <v>51087.222600000001</v>
      </c>
      <c r="J61" s="575"/>
      <c r="K61" s="348">
        <v>152010.22260000001</v>
      </c>
    </row>
    <row r="62" spans="1:11" ht="18" customHeight="1">
      <c r="A62" s="45" t="s">
        <v>304</v>
      </c>
      <c r="B62" s="539" t="s">
        <v>611</v>
      </c>
      <c r="C62" s="559"/>
      <c r="D62" s="560"/>
      <c r="F62" s="57">
        <v>3700</v>
      </c>
      <c r="G62" s="57">
        <v>980</v>
      </c>
      <c r="H62" s="57">
        <v>193387.942834371</v>
      </c>
      <c r="I62" s="57">
        <v>97892.976662758592</v>
      </c>
      <c r="J62" s="57">
        <v>3521</v>
      </c>
      <c r="K62" s="348">
        <v>287759.91949712962</v>
      </c>
    </row>
    <row r="63" spans="1:11" ht="18" customHeight="1">
      <c r="A63" s="45"/>
      <c r="I63" s="579"/>
    </row>
    <row r="64" spans="1:11" ht="18" customHeight="1">
      <c r="A64" s="45" t="s">
        <v>305</v>
      </c>
      <c r="B64" s="43" t="s">
        <v>184</v>
      </c>
      <c r="E64" s="43" t="s">
        <v>276</v>
      </c>
      <c r="F64" s="350">
        <v>32896.639999999999</v>
      </c>
      <c r="G64" s="350">
        <v>54822.64</v>
      </c>
      <c r="H64" s="577">
        <v>7286983.7560281502</v>
      </c>
      <c r="I64" s="577">
        <v>265232.79447644937</v>
      </c>
      <c r="J64" s="577">
        <v>3521</v>
      </c>
      <c r="K64" s="348">
        <v>7548695.5505045997</v>
      </c>
    </row>
    <row r="65" spans="1:11" ht="18" customHeight="1">
      <c r="F65" s="358"/>
      <c r="G65" s="358"/>
      <c r="H65" s="580"/>
      <c r="I65" s="580"/>
      <c r="J65" s="580"/>
      <c r="K65" s="358"/>
    </row>
    <row r="66" spans="1:11" ht="42.75" customHeight="1">
      <c r="F66" s="47" t="s">
        <v>145</v>
      </c>
      <c r="G66" s="47" t="s">
        <v>146</v>
      </c>
      <c r="H66" s="574" t="s">
        <v>147</v>
      </c>
      <c r="I66" s="574" t="s">
        <v>148</v>
      </c>
      <c r="J66" s="574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359"/>
      <c r="G67" s="359"/>
      <c r="H67" s="581"/>
      <c r="I67" s="582"/>
      <c r="J67" s="581"/>
      <c r="K67" s="361"/>
    </row>
    <row r="68" spans="1:11" ht="18" customHeight="1">
      <c r="A68" s="45" t="s">
        <v>306</v>
      </c>
      <c r="B68" s="49" t="s">
        <v>188</v>
      </c>
      <c r="F68" s="362"/>
      <c r="G68" s="362"/>
      <c r="H68" s="575"/>
      <c r="I68" s="576">
        <v>0</v>
      </c>
      <c r="J68" s="575"/>
      <c r="K68" s="348">
        <v>0</v>
      </c>
    </row>
    <row r="69" spans="1:11" ht="18" customHeight="1">
      <c r="A69" s="45" t="s">
        <v>307</v>
      </c>
      <c r="B69" s="49" t="s">
        <v>190</v>
      </c>
      <c r="F69" s="362"/>
      <c r="G69" s="362"/>
      <c r="H69" s="575"/>
      <c r="I69" s="576">
        <v>0</v>
      </c>
      <c r="J69" s="575"/>
      <c r="K69" s="348">
        <v>0</v>
      </c>
    </row>
    <row r="70" spans="1:11" ht="18" customHeight="1">
      <c r="A70" s="45" t="s">
        <v>308</v>
      </c>
      <c r="B70" s="539"/>
      <c r="C70" s="559"/>
      <c r="D70" s="560"/>
      <c r="E70" s="43"/>
      <c r="F70" s="364"/>
      <c r="G70" s="364"/>
      <c r="H70" s="583"/>
      <c r="I70" s="576">
        <v>0</v>
      </c>
      <c r="J70" s="583"/>
      <c r="K70" s="348">
        <v>0</v>
      </c>
    </row>
    <row r="71" spans="1:11" ht="18" customHeight="1">
      <c r="A71" s="45" t="s">
        <v>309</v>
      </c>
      <c r="B71" s="539"/>
      <c r="C71" s="559"/>
      <c r="D71" s="560"/>
      <c r="E71" s="43"/>
      <c r="F71" s="364"/>
      <c r="G71" s="364"/>
      <c r="H71" s="583"/>
      <c r="I71" s="576">
        <v>0</v>
      </c>
      <c r="J71" s="583"/>
      <c r="K71" s="348">
        <v>0</v>
      </c>
    </row>
    <row r="72" spans="1:11" ht="18" customHeight="1">
      <c r="A72" s="45" t="s">
        <v>310</v>
      </c>
      <c r="B72" s="542"/>
      <c r="C72" s="562"/>
      <c r="D72" s="365"/>
      <c r="E72" s="43"/>
      <c r="F72" s="57"/>
      <c r="G72" s="57"/>
      <c r="H72" s="575"/>
      <c r="I72" s="576">
        <v>0</v>
      </c>
      <c r="J72" s="575"/>
      <c r="K72" s="348">
        <v>0</v>
      </c>
    </row>
    <row r="73" spans="1:11" ht="18" customHeight="1">
      <c r="A73" s="45"/>
      <c r="E73" s="43"/>
      <c r="F73" s="366"/>
      <c r="G73" s="366"/>
      <c r="H73" s="584"/>
      <c r="I73" s="582"/>
      <c r="J73" s="584"/>
      <c r="K73" s="361"/>
    </row>
    <row r="74" spans="1:11" ht="18" customHeight="1">
      <c r="A74" s="48" t="s">
        <v>311</v>
      </c>
      <c r="B74" s="43" t="s">
        <v>191</v>
      </c>
      <c r="E74" s="43" t="s">
        <v>276</v>
      </c>
      <c r="F74" s="368">
        <v>0</v>
      </c>
      <c r="G74" s="368">
        <v>0</v>
      </c>
      <c r="H74" s="585">
        <v>0</v>
      </c>
      <c r="I74" s="586">
        <v>0</v>
      </c>
      <c r="J74" s="585">
        <v>0</v>
      </c>
      <c r="K74" s="354">
        <v>0</v>
      </c>
    </row>
    <row r="75" spans="1:11" ht="42.75" customHeight="1">
      <c r="F75" s="47" t="s">
        <v>145</v>
      </c>
      <c r="G75" s="47" t="s">
        <v>146</v>
      </c>
      <c r="H75" s="574" t="s">
        <v>147</v>
      </c>
      <c r="I75" s="574" t="s">
        <v>148</v>
      </c>
      <c r="J75" s="574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7">
        <v>0</v>
      </c>
      <c r="G77" s="57">
        <v>0</v>
      </c>
      <c r="H77" s="575">
        <v>6820</v>
      </c>
      <c r="I77" s="576">
        <v>3452.2839999999997</v>
      </c>
      <c r="J77" s="575">
        <v>0</v>
      </c>
      <c r="K77" s="348">
        <v>10272.284</v>
      </c>
    </row>
    <row r="78" spans="1:11" ht="18" customHeight="1">
      <c r="A78" s="45" t="s">
        <v>313</v>
      </c>
      <c r="B78" s="49" t="s">
        <v>197</v>
      </c>
      <c r="F78" s="57"/>
      <c r="G78" s="57"/>
      <c r="H78" s="575"/>
      <c r="I78" s="576">
        <v>0</v>
      </c>
      <c r="J78" s="575"/>
      <c r="K78" s="348">
        <v>0</v>
      </c>
    </row>
    <row r="79" spans="1:11" ht="18" customHeight="1">
      <c r="A79" s="45" t="s">
        <v>314</v>
      </c>
      <c r="B79" s="49" t="s">
        <v>199</v>
      </c>
      <c r="F79" s="57">
        <v>9.9999999999999995E-7</v>
      </c>
      <c r="G79" s="57">
        <v>10000</v>
      </c>
      <c r="H79" s="575">
        <v>79586.000046758243</v>
      </c>
      <c r="I79" s="576">
        <v>40286.433223669024</v>
      </c>
      <c r="J79" s="575">
        <v>0</v>
      </c>
      <c r="K79" s="348">
        <v>119872.43327042727</v>
      </c>
    </row>
    <row r="80" spans="1:11" ht="18" customHeight="1">
      <c r="A80" s="45" t="s">
        <v>315</v>
      </c>
      <c r="B80" s="49" t="s">
        <v>316</v>
      </c>
      <c r="F80" s="57"/>
      <c r="G80" s="57"/>
      <c r="H80" s="575"/>
      <c r="I80" s="576">
        <v>0</v>
      </c>
      <c r="J80" s="575"/>
      <c r="K80" s="348">
        <v>0</v>
      </c>
    </row>
    <row r="81" spans="1:11" ht="18" customHeight="1">
      <c r="A81" s="45"/>
      <c r="K81" s="371"/>
    </row>
    <row r="82" spans="1:11" ht="18" customHeight="1">
      <c r="A82" s="45" t="s">
        <v>317</v>
      </c>
      <c r="B82" s="43" t="s">
        <v>318</v>
      </c>
      <c r="E82" s="43" t="s">
        <v>276</v>
      </c>
      <c r="F82" s="368">
        <v>9.9999999999999995E-7</v>
      </c>
      <c r="G82" s="368">
        <v>10000</v>
      </c>
      <c r="H82" s="585">
        <v>86406.000046758243</v>
      </c>
      <c r="I82" s="585">
        <v>43738.717223669024</v>
      </c>
      <c r="J82" s="585">
        <v>0</v>
      </c>
      <c r="K82" s="354">
        <v>130144.71727042727</v>
      </c>
    </row>
    <row r="83" spans="1:11" ht="18" customHeight="1" thickBot="1">
      <c r="A83" s="45"/>
      <c r="F83" s="356"/>
      <c r="G83" s="356"/>
      <c r="H83" s="578"/>
      <c r="I83" s="578"/>
      <c r="J83" s="578"/>
      <c r="K83" s="356"/>
    </row>
    <row r="84" spans="1:11" ht="42.75" customHeight="1">
      <c r="F84" s="47" t="s">
        <v>145</v>
      </c>
      <c r="G84" s="47" t="s">
        <v>146</v>
      </c>
      <c r="H84" s="574" t="s">
        <v>147</v>
      </c>
      <c r="I84" s="574" t="s">
        <v>148</v>
      </c>
      <c r="J84" s="574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7"/>
      <c r="G86" s="57"/>
      <c r="H86" s="575"/>
      <c r="I86" s="576">
        <v>0</v>
      </c>
      <c r="J86" s="575"/>
      <c r="K86" s="348">
        <v>0</v>
      </c>
    </row>
    <row r="87" spans="1:11" ht="18" customHeight="1">
      <c r="A87" s="45" t="s">
        <v>320</v>
      </c>
      <c r="B87" s="49" t="s">
        <v>206</v>
      </c>
      <c r="F87" s="57"/>
      <c r="G87" s="57"/>
      <c r="H87" s="575"/>
      <c r="I87" s="576">
        <v>0</v>
      </c>
      <c r="J87" s="575"/>
      <c r="K87" s="348">
        <v>0</v>
      </c>
    </row>
    <row r="88" spans="1:11" ht="18" customHeight="1">
      <c r="A88" s="45" t="s">
        <v>321</v>
      </c>
      <c r="B88" s="49" t="s">
        <v>208</v>
      </c>
      <c r="F88" s="57">
        <v>100</v>
      </c>
      <c r="G88" s="57">
        <v>0</v>
      </c>
      <c r="H88" s="575">
        <v>4675.8237131567876</v>
      </c>
      <c r="I88" s="576">
        <v>2366.9019635999657</v>
      </c>
      <c r="J88" s="575">
        <v>0</v>
      </c>
      <c r="K88" s="348">
        <v>7042.7256767567533</v>
      </c>
    </row>
    <row r="89" spans="1:11" ht="18" customHeight="1">
      <c r="A89" s="45" t="s">
        <v>322</v>
      </c>
      <c r="B89" s="49" t="s">
        <v>210</v>
      </c>
      <c r="F89" s="57"/>
      <c r="G89" s="57"/>
      <c r="H89" s="575"/>
      <c r="I89" s="576">
        <v>0</v>
      </c>
      <c r="J89" s="575"/>
      <c r="K89" s="348">
        <v>0</v>
      </c>
    </row>
    <row r="90" spans="1:11" ht="18" customHeight="1">
      <c r="A90" s="45" t="s">
        <v>323</v>
      </c>
      <c r="B90" s="540" t="s">
        <v>212</v>
      </c>
      <c r="C90" s="540"/>
      <c r="F90" s="57"/>
      <c r="G90" s="57"/>
      <c r="H90" s="575"/>
      <c r="I90" s="576">
        <v>0</v>
      </c>
      <c r="J90" s="575"/>
      <c r="K90" s="348">
        <v>0</v>
      </c>
    </row>
    <row r="91" spans="1:11" ht="18" customHeight="1">
      <c r="A91" s="45" t="s">
        <v>324</v>
      </c>
      <c r="B91" s="49" t="s">
        <v>214</v>
      </c>
      <c r="F91" s="57">
        <v>208</v>
      </c>
      <c r="G91" s="57">
        <v>0</v>
      </c>
      <c r="H91" s="575">
        <v>9725.7133233661189</v>
      </c>
      <c r="I91" s="576">
        <v>4923.1560842879298</v>
      </c>
      <c r="J91" s="575">
        <v>0</v>
      </c>
      <c r="K91" s="348">
        <v>14648.869407654049</v>
      </c>
    </row>
    <row r="92" spans="1:11" ht="18" customHeight="1">
      <c r="A92" s="45" t="s">
        <v>325</v>
      </c>
      <c r="B92" s="49" t="s">
        <v>216</v>
      </c>
      <c r="F92" s="372">
        <v>53</v>
      </c>
      <c r="G92" s="372">
        <v>0</v>
      </c>
      <c r="H92" s="587">
        <v>2478.1865679730977</v>
      </c>
      <c r="I92" s="576">
        <v>1254.458040707982</v>
      </c>
      <c r="J92" s="587">
        <v>0</v>
      </c>
      <c r="K92" s="348">
        <v>3732.6446086810797</v>
      </c>
    </row>
    <row r="93" spans="1:11" ht="18" customHeight="1">
      <c r="A93" s="45" t="s">
        <v>326</v>
      </c>
      <c r="B93" s="49" t="s">
        <v>218</v>
      </c>
      <c r="F93" s="57">
        <v>639</v>
      </c>
      <c r="G93" s="57">
        <v>1813</v>
      </c>
      <c r="H93" s="575">
        <v>27741.517193582295</v>
      </c>
      <c r="I93" s="576">
        <v>14042.756003391358</v>
      </c>
      <c r="J93" s="575">
        <v>0</v>
      </c>
      <c r="K93" s="348">
        <v>41784.273196973649</v>
      </c>
    </row>
    <row r="94" spans="1:11" ht="18" customHeight="1">
      <c r="A94" s="45" t="s">
        <v>327</v>
      </c>
      <c r="B94" s="539"/>
      <c r="C94" s="559"/>
      <c r="D94" s="560"/>
      <c r="F94" s="57"/>
      <c r="G94" s="57"/>
      <c r="H94" s="575"/>
      <c r="I94" s="576">
        <v>0</v>
      </c>
      <c r="J94" s="575"/>
      <c r="K94" s="348">
        <v>0</v>
      </c>
    </row>
    <row r="95" spans="1:11" ht="18" customHeight="1">
      <c r="A95" s="45" t="s">
        <v>329</v>
      </c>
      <c r="B95" s="539"/>
      <c r="C95" s="559"/>
      <c r="D95" s="560"/>
      <c r="F95" s="57"/>
      <c r="G95" s="57"/>
      <c r="H95" s="575"/>
      <c r="I95" s="576">
        <v>0</v>
      </c>
      <c r="J95" s="575"/>
      <c r="K95" s="348">
        <v>0</v>
      </c>
    </row>
    <row r="96" spans="1:11" ht="18" customHeight="1">
      <c r="A96" s="45" t="s">
        <v>330</v>
      </c>
      <c r="B96" s="539"/>
      <c r="C96" s="559"/>
      <c r="D96" s="560"/>
      <c r="F96" s="57"/>
      <c r="G96" s="57"/>
      <c r="H96" s="575"/>
      <c r="I96" s="576">
        <v>0</v>
      </c>
      <c r="J96" s="575"/>
      <c r="K96" s="348">
        <v>0</v>
      </c>
    </row>
    <row r="97" spans="1:11" ht="18" customHeight="1">
      <c r="A97" s="45"/>
    </row>
    <row r="98" spans="1:11" ht="18" customHeight="1">
      <c r="A98" s="48" t="s">
        <v>331</v>
      </c>
      <c r="B98" s="43" t="s">
        <v>220</v>
      </c>
      <c r="E98" s="43" t="s">
        <v>276</v>
      </c>
      <c r="F98" s="350">
        <v>1000</v>
      </c>
      <c r="G98" s="350">
        <v>1813</v>
      </c>
      <c r="H98" s="577">
        <v>44621.240798078303</v>
      </c>
      <c r="I98" s="577">
        <v>22587.272091987237</v>
      </c>
      <c r="J98" s="577">
        <v>0</v>
      </c>
      <c r="K98" s="350">
        <v>67208.512890065525</v>
      </c>
    </row>
    <row r="99" spans="1:11" ht="18" customHeight="1" thickBot="1">
      <c r="B99" s="43"/>
      <c r="F99" s="356"/>
      <c r="G99" s="356"/>
      <c r="H99" s="578"/>
      <c r="I99" s="578"/>
      <c r="J99" s="578"/>
      <c r="K99" s="356"/>
    </row>
    <row r="100" spans="1:11" ht="42.75" customHeight="1">
      <c r="F100" s="47" t="s">
        <v>145</v>
      </c>
      <c r="G100" s="47" t="s">
        <v>146</v>
      </c>
      <c r="H100" s="574" t="s">
        <v>147</v>
      </c>
      <c r="I100" s="574" t="s">
        <v>148</v>
      </c>
      <c r="J100" s="574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7">
        <v>500</v>
      </c>
      <c r="G102" s="57">
        <v>0</v>
      </c>
      <c r="H102" s="57">
        <v>23379.118565783938</v>
      </c>
      <c r="I102" s="57">
        <v>11834.509817999829</v>
      </c>
      <c r="J102" s="57">
        <v>0</v>
      </c>
      <c r="K102" s="348">
        <v>35213.628383783769</v>
      </c>
    </row>
    <row r="103" spans="1:11" ht="18" customHeight="1">
      <c r="A103" s="45" t="s">
        <v>333</v>
      </c>
      <c r="B103" s="540" t="s">
        <v>226</v>
      </c>
      <c r="C103" s="540"/>
      <c r="F103" s="57">
        <v>530</v>
      </c>
      <c r="G103" s="57">
        <v>0</v>
      </c>
      <c r="H103" s="575">
        <v>24781.865679730974</v>
      </c>
      <c r="I103" s="576">
        <v>12544.580407079819</v>
      </c>
      <c r="J103" s="575">
        <v>0</v>
      </c>
      <c r="K103" s="348">
        <v>37326.446086810793</v>
      </c>
    </row>
    <row r="104" spans="1:11" ht="18" customHeight="1">
      <c r="A104" s="45" t="s">
        <v>334</v>
      </c>
      <c r="B104" s="539"/>
      <c r="C104" s="559"/>
      <c r="D104" s="560"/>
      <c r="F104" s="57"/>
      <c r="G104" s="57"/>
      <c r="H104" s="575"/>
      <c r="I104" s="576">
        <v>0</v>
      </c>
      <c r="J104" s="575"/>
      <c r="K104" s="348">
        <v>0</v>
      </c>
    </row>
    <row r="105" spans="1:11" ht="18" customHeight="1">
      <c r="A105" s="45" t="s">
        <v>336</v>
      </c>
      <c r="B105" s="539"/>
      <c r="C105" s="559"/>
      <c r="D105" s="560"/>
      <c r="F105" s="57"/>
      <c r="G105" s="57"/>
      <c r="H105" s="575"/>
      <c r="I105" s="576">
        <v>0</v>
      </c>
      <c r="J105" s="575"/>
      <c r="K105" s="348">
        <v>0</v>
      </c>
    </row>
    <row r="106" spans="1:11" ht="18" customHeight="1">
      <c r="A106" s="45" t="s">
        <v>337</v>
      </c>
      <c r="B106" s="539"/>
      <c r="C106" s="559"/>
      <c r="D106" s="560"/>
      <c r="F106" s="57"/>
      <c r="G106" s="57"/>
      <c r="H106" s="575"/>
      <c r="I106" s="576">
        <v>0</v>
      </c>
      <c r="J106" s="575"/>
      <c r="K106" s="348"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350">
        <v>1030</v>
      </c>
      <c r="G108" s="350">
        <v>0</v>
      </c>
      <c r="H108" s="577">
        <v>48160.984245514912</v>
      </c>
      <c r="I108" s="577">
        <v>24379.09022507965</v>
      </c>
      <c r="J108" s="577">
        <v>0</v>
      </c>
      <c r="K108" s="348">
        <v>72540.074470594554</v>
      </c>
    </row>
    <row r="109" spans="1:11" ht="18" customHeight="1" thickBot="1">
      <c r="A109" s="374"/>
      <c r="B109" s="92"/>
      <c r="C109" s="375"/>
      <c r="D109" s="375"/>
      <c r="E109" s="375"/>
      <c r="F109" s="356"/>
      <c r="G109" s="356"/>
      <c r="H109" s="578"/>
      <c r="I109" s="578"/>
      <c r="J109" s="578"/>
      <c r="K109" s="356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386">
        <v>8301400</v>
      </c>
    </row>
    <row r="112" spans="1:11" ht="18" customHeight="1">
      <c r="B112" s="43"/>
      <c r="E112" s="43"/>
    </row>
    <row r="113" spans="1:6" s="49" customFormat="1" ht="12.75">
      <c r="A113" s="48"/>
      <c r="B113" s="43" t="s">
        <v>233</v>
      </c>
    </row>
    <row r="114" spans="1:6" s="49" customFormat="1" ht="12.75">
      <c r="A114" s="45" t="s">
        <v>340</v>
      </c>
      <c r="B114" s="49" t="s">
        <v>341</v>
      </c>
      <c r="F114" s="376">
        <v>0.50619999999999998</v>
      </c>
    </row>
    <row r="115" spans="1:6" s="49" customFormat="1" ht="12.75">
      <c r="A115" s="45"/>
      <c r="B115" s="43"/>
    </row>
    <row r="116" spans="1:6" s="49" customFormat="1" ht="12.75">
      <c r="A116" s="45" t="s">
        <v>234</v>
      </c>
      <c r="B116" s="43" t="s">
        <v>235</v>
      </c>
    </row>
    <row r="117" spans="1:6" s="49" customFormat="1" ht="12.75">
      <c r="A117" s="45" t="s">
        <v>342</v>
      </c>
      <c r="B117" s="49" t="s">
        <v>236</v>
      </c>
      <c r="F117" s="386">
        <v>163816000</v>
      </c>
    </row>
    <row r="118" spans="1:6" s="49" customFormat="1" ht="12.75">
      <c r="A118" s="45" t="s">
        <v>343</v>
      </c>
      <c r="B118" s="49" t="s">
        <v>237</v>
      </c>
      <c r="F118" s="386">
        <v>2570000</v>
      </c>
    </row>
    <row r="119" spans="1:6" s="49" customFormat="1" ht="12.75">
      <c r="A119" s="45" t="s">
        <v>344</v>
      </c>
      <c r="B119" s="43" t="s">
        <v>238</v>
      </c>
      <c r="F119" s="393">
        <v>166386000</v>
      </c>
    </row>
    <row r="120" spans="1:6" s="49" customFormat="1" ht="12.75">
      <c r="A120" s="45"/>
      <c r="B120" s="43"/>
      <c r="F120" s="391"/>
    </row>
    <row r="121" spans="1:6" s="49" customFormat="1" ht="12.75">
      <c r="A121" s="45" t="s">
        <v>345</v>
      </c>
      <c r="B121" s="43" t="s">
        <v>346</v>
      </c>
      <c r="F121" s="386">
        <v>156018000</v>
      </c>
    </row>
    <row r="122" spans="1:6" s="49" customFormat="1" ht="12.75">
      <c r="A122" s="45"/>
      <c r="F122" s="391"/>
    </row>
    <row r="123" spans="1:6" s="49" customFormat="1" ht="12.75">
      <c r="A123" s="45" t="s">
        <v>347</v>
      </c>
      <c r="B123" s="43" t="s">
        <v>348</v>
      </c>
      <c r="F123" s="386">
        <v>10368000</v>
      </c>
    </row>
    <row r="124" spans="1:6" s="49" customFormat="1" ht="12.75">
      <c r="A124" s="45"/>
    </row>
    <row r="125" spans="1:6" s="49" customFormat="1" ht="12.75">
      <c r="A125" s="45" t="s">
        <v>349</v>
      </c>
      <c r="B125" s="43" t="s">
        <v>350</v>
      </c>
      <c r="F125" s="386">
        <v>4429000</v>
      </c>
    </row>
    <row r="126" spans="1:6" s="49" customFormat="1" ht="12.75">
      <c r="A126" s="45"/>
      <c r="F126" s="391"/>
    </row>
    <row r="127" spans="1:6" s="49" customFormat="1" ht="12.75">
      <c r="A127" s="45" t="s">
        <v>351</v>
      </c>
      <c r="B127" s="43" t="s">
        <v>352</v>
      </c>
      <c r="F127" s="386">
        <v>14797000</v>
      </c>
    </row>
    <row r="128" spans="1:6" s="49" customFormat="1" ht="12.75">
      <c r="A128" s="45"/>
    </row>
    <row r="129" spans="1:11" ht="42.75" customHeight="1">
      <c r="F129" s="47" t="s">
        <v>145</v>
      </c>
      <c r="G129" s="47" t="s">
        <v>146</v>
      </c>
      <c r="H129" s="574" t="s">
        <v>147</v>
      </c>
      <c r="I129" s="574" t="s">
        <v>148</v>
      </c>
      <c r="J129" s="574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9" t="s">
        <v>242</v>
      </c>
      <c r="F131" s="57"/>
      <c r="G131" s="57"/>
      <c r="H131" s="575">
        <v>60873</v>
      </c>
      <c r="I131" s="576">
        <v>0</v>
      </c>
      <c r="J131" s="575">
        <v>12059</v>
      </c>
      <c r="K131" s="348">
        <v>48814</v>
      </c>
    </row>
    <row r="132" spans="1:11" ht="18" customHeight="1">
      <c r="A132" s="45" t="s">
        <v>354</v>
      </c>
      <c r="B132" s="49" t="s">
        <v>128</v>
      </c>
      <c r="F132" s="57"/>
      <c r="G132" s="57"/>
      <c r="H132" s="575">
        <v>124085</v>
      </c>
      <c r="I132" s="576">
        <v>0</v>
      </c>
      <c r="J132" s="575">
        <v>10000</v>
      </c>
      <c r="K132" s="348">
        <v>114085</v>
      </c>
    </row>
    <row r="133" spans="1:11" ht="18" customHeight="1">
      <c r="A133" s="45" t="s">
        <v>355</v>
      </c>
      <c r="B133" s="536"/>
      <c r="C133" s="537"/>
      <c r="D133" s="538"/>
      <c r="F133" s="57"/>
      <c r="G133" s="57"/>
      <c r="H133" s="575"/>
      <c r="I133" s="576">
        <v>0</v>
      </c>
      <c r="J133" s="575"/>
      <c r="K133" s="348">
        <v>0</v>
      </c>
    </row>
    <row r="134" spans="1:11" ht="18" customHeight="1">
      <c r="A134" s="45" t="s">
        <v>356</v>
      </c>
      <c r="B134" s="536"/>
      <c r="C134" s="537"/>
      <c r="D134" s="538"/>
      <c r="F134" s="57"/>
      <c r="G134" s="57"/>
      <c r="H134" s="575"/>
      <c r="I134" s="576">
        <v>0</v>
      </c>
      <c r="J134" s="575"/>
      <c r="K134" s="348">
        <v>0</v>
      </c>
    </row>
    <row r="135" spans="1:11" ht="18" customHeight="1">
      <c r="A135" s="45" t="s">
        <v>357</v>
      </c>
      <c r="B135" s="536"/>
      <c r="C135" s="537"/>
      <c r="D135" s="538"/>
      <c r="F135" s="57"/>
      <c r="G135" s="57"/>
      <c r="H135" s="575"/>
      <c r="I135" s="576">
        <v>0</v>
      </c>
      <c r="J135" s="575"/>
      <c r="K135" s="348"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350">
        <v>0</v>
      </c>
      <c r="G137" s="350">
        <v>0</v>
      </c>
      <c r="H137" s="577">
        <v>184958</v>
      </c>
      <c r="I137" s="577">
        <v>0</v>
      </c>
      <c r="J137" s="577">
        <v>22059</v>
      </c>
      <c r="K137" s="348">
        <v>162899</v>
      </c>
    </row>
    <row r="138" spans="1:11" ht="18" customHeight="1">
      <c r="A138" s="49"/>
    </row>
    <row r="139" spans="1:11" ht="42.75" customHeight="1">
      <c r="F139" s="47" t="s">
        <v>145</v>
      </c>
      <c r="G139" s="47" t="s">
        <v>146</v>
      </c>
      <c r="H139" s="574" t="s">
        <v>147</v>
      </c>
      <c r="I139" s="574" t="s">
        <v>148</v>
      </c>
      <c r="J139" s="574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377">
        <v>18304</v>
      </c>
      <c r="G141" s="377">
        <v>4326</v>
      </c>
      <c r="H141" s="588">
        <v>770775.82530578191</v>
      </c>
      <c r="I141" s="588">
        <v>390166.72276978678</v>
      </c>
      <c r="J141" s="588">
        <v>1195</v>
      </c>
      <c r="K141" s="377">
        <v>1159747.5480755686</v>
      </c>
    </row>
    <row r="142" spans="1:11" ht="18" customHeight="1">
      <c r="A142" s="45" t="s">
        <v>286</v>
      </c>
      <c r="B142" s="43" t="s">
        <v>125</v>
      </c>
      <c r="F142" s="377">
        <v>14704</v>
      </c>
      <c r="G142" s="377">
        <v>22</v>
      </c>
      <c r="H142" s="588">
        <v>1031017.1861469458</v>
      </c>
      <c r="I142" s="588">
        <v>88092.338827584041</v>
      </c>
      <c r="J142" s="588">
        <v>0</v>
      </c>
      <c r="K142" s="377">
        <v>1119109.5249745296</v>
      </c>
    </row>
    <row r="143" spans="1:11" ht="18" customHeight="1">
      <c r="A143" s="45" t="s">
        <v>305</v>
      </c>
      <c r="B143" s="43" t="s">
        <v>247</v>
      </c>
      <c r="F143" s="377">
        <v>32896.639999999999</v>
      </c>
      <c r="G143" s="377">
        <v>54822.64</v>
      </c>
      <c r="H143" s="588">
        <v>7286983.7560281502</v>
      </c>
      <c r="I143" s="588">
        <v>265232.79447644937</v>
      </c>
      <c r="J143" s="588">
        <v>3521</v>
      </c>
      <c r="K143" s="377">
        <v>7548695.5505045997</v>
      </c>
    </row>
    <row r="144" spans="1:11" ht="18" customHeight="1">
      <c r="A144" s="45" t="s">
        <v>311</v>
      </c>
      <c r="B144" s="43" t="s">
        <v>127</v>
      </c>
      <c r="F144" s="377">
        <v>0</v>
      </c>
      <c r="G144" s="377">
        <v>0</v>
      </c>
      <c r="H144" s="588">
        <v>0</v>
      </c>
      <c r="I144" s="588">
        <v>0</v>
      </c>
      <c r="J144" s="588">
        <v>0</v>
      </c>
      <c r="K144" s="377">
        <v>0</v>
      </c>
    </row>
    <row r="145" spans="1:11" ht="18" customHeight="1">
      <c r="A145" s="45" t="s">
        <v>317</v>
      </c>
      <c r="B145" s="43" t="s">
        <v>248</v>
      </c>
      <c r="F145" s="377">
        <v>9.9999999999999995E-7</v>
      </c>
      <c r="G145" s="377">
        <v>10000</v>
      </c>
      <c r="H145" s="588">
        <v>86406.000046758243</v>
      </c>
      <c r="I145" s="588">
        <v>43738.717223669024</v>
      </c>
      <c r="J145" s="588">
        <v>0</v>
      </c>
      <c r="K145" s="377">
        <v>130144.71727042727</v>
      </c>
    </row>
    <row r="146" spans="1:11" ht="18" customHeight="1">
      <c r="A146" s="45" t="s">
        <v>331</v>
      </c>
      <c r="B146" s="43" t="s">
        <v>249</v>
      </c>
      <c r="F146" s="377">
        <v>1000</v>
      </c>
      <c r="G146" s="377">
        <v>1813</v>
      </c>
      <c r="H146" s="588">
        <v>44621.240798078303</v>
      </c>
      <c r="I146" s="588">
        <v>22587.272091987237</v>
      </c>
      <c r="J146" s="588">
        <v>0</v>
      </c>
      <c r="K146" s="377">
        <v>67208.512890065525</v>
      </c>
    </row>
    <row r="147" spans="1:11" ht="18" customHeight="1">
      <c r="A147" s="45" t="s">
        <v>338</v>
      </c>
      <c r="B147" s="43" t="s">
        <v>129</v>
      </c>
      <c r="F147" s="350">
        <v>1030</v>
      </c>
      <c r="G147" s="350">
        <v>0</v>
      </c>
      <c r="H147" s="577">
        <v>48160.984245514912</v>
      </c>
      <c r="I147" s="577">
        <v>24379.09022507965</v>
      </c>
      <c r="J147" s="577">
        <v>0</v>
      </c>
      <c r="K147" s="350">
        <v>72540.074470594554</v>
      </c>
    </row>
    <row r="148" spans="1:11" ht="18" customHeight="1">
      <c r="A148" s="45" t="s">
        <v>339</v>
      </c>
      <c r="B148" s="43" t="s">
        <v>131</v>
      </c>
      <c r="F148" s="378" t="s">
        <v>122</v>
      </c>
      <c r="G148" s="378" t="s">
        <v>122</v>
      </c>
      <c r="H148" s="589" t="s">
        <v>122</v>
      </c>
      <c r="I148" s="589" t="s">
        <v>122</v>
      </c>
      <c r="J148" s="589" t="s">
        <v>122</v>
      </c>
      <c r="K148" s="380">
        <v>8301400</v>
      </c>
    </row>
    <row r="149" spans="1:11" ht="18" customHeight="1">
      <c r="A149" s="45" t="s">
        <v>358</v>
      </c>
      <c r="B149" s="43" t="s">
        <v>250</v>
      </c>
      <c r="F149" s="350">
        <v>0</v>
      </c>
      <c r="G149" s="350">
        <v>0</v>
      </c>
      <c r="H149" s="577">
        <v>184958</v>
      </c>
      <c r="I149" s="577">
        <v>0</v>
      </c>
      <c r="J149" s="577">
        <v>22059</v>
      </c>
      <c r="K149" s="350">
        <v>162899</v>
      </c>
    </row>
    <row r="150" spans="1:11" ht="18" customHeight="1">
      <c r="A150" s="45" t="s">
        <v>259</v>
      </c>
      <c r="B150" s="43" t="s">
        <v>251</v>
      </c>
      <c r="F150" s="378" t="s">
        <v>122</v>
      </c>
      <c r="G150" s="378" t="s">
        <v>122</v>
      </c>
      <c r="H150" s="577">
        <v>5074294</v>
      </c>
      <c r="I150" s="577">
        <v>0</v>
      </c>
      <c r="J150" s="577">
        <v>4339156</v>
      </c>
      <c r="K150" s="350">
        <v>735138</v>
      </c>
    </row>
    <row r="151" spans="1:11" ht="18" customHeight="1">
      <c r="B151" s="43"/>
      <c r="F151" s="358"/>
      <c r="G151" s="358"/>
      <c r="H151" s="580"/>
      <c r="I151" s="580"/>
      <c r="J151" s="580"/>
      <c r="K151" s="358"/>
    </row>
    <row r="152" spans="1:11" ht="18" customHeight="1">
      <c r="A152" s="48" t="s">
        <v>360</v>
      </c>
      <c r="B152" s="43" t="s">
        <v>245</v>
      </c>
      <c r="F152" s="381">
        <v>67934.640000999992</v>
      </c>
      <c r="G152" s="381">
        <v>70983.64</v>
      </c>
      <c r="H152" s="590">
        <v>14527216.992571229</v>
      </c>
      <c r="I152" s="590">
        <v>834196.93561455619</v>
      </c>
      <c r="J152" s="590">
        <v>4365931</v>
      </c>
      <c r="K152" s="381">
        <v>19296882.928185783</v>
      </c>
    </row>
    <row r="154" spans="1:11" ht="18" customHeight="1">
      <c r="A154" s="48" t="s">
        <v>361</v>
      </c>
      <c r="B154" s="43" t="s">
        <v>252</v>
      </c>
      <c r="F154" s="383">
        <v>0.12368369629264434</v>
      </c>
    </row>
    <row r="155" spans="1:11" ht="18" customHeight="1">
      <c r="A155" s="48" t="s">
        <v>362</v>
      </c>
      <c r="B155" s="43" t="s">
        <v>253</v>
      </c>
      <c r="F155" s="383">
        <v>1.3041077872667286</v>
      </c>
      <c r="G155" s="43"/>
    </row>
    <row r="156" spans="1:11" ht="18" customHeight="1">
      <c r="G156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6"/>
  <sheetViews>
    <sheetView zoomScale="130" zoomScaleNormal="130" workbookViewId="0">
      <pane ySplit="1" topLeftCell="A78" activePane="bottomLeft" state="frozen"/>
      <selection pane="bottomLeft" activeCell="D79" sqref="D79"/>
    </sheetView>
  </sheetViews>
  <sheetFormatPr defaultColWidth="12.28515625" defaultRowHeight="11.25"/>
  <cols>
    <col min="1" max="2" width="5.42578125" style="662" customWidth="1"/>
    <col min="3" max="3" width="29.5703125" style="662" customWidth="1"/>
    <col min="4" max="5" width="5.5703125" style="662" customWidth="1"/>
    <col min="6" max="6" width="4.85546875" style="662" customWidth="1"/>
    <col min="7" max="8" width="3.28515625" style="662" customWidth="1"/>
    <col min="9" max="9" width="4.85546875" style="662" customWidth="1"/>
    <col min="10" max="10" width="3.5703125" style="662" customWidth="1"/>
    <col min="11" max="11" width="3" style="662" customWidth="1"/>
    <col min="12" max="12" width="5" style="662" customWidth="1"/>
    <col min="13" max="13" width="3" style="662" customWidth="1"/>
    <col min="14" max="14" width="2.7109375" style="662" customWidth="1"/>
    <col min="15" max="15" width="3.28515625" style="662" customWidth="1"/>
    <col min="16" max="16" width="3.42578125" style="662" customWidth="1"/>
    <col min="17" max="17" width="2.28515625" style="662" customWidth="1"/>
    <col min="18" max="18" width="3.28515625" style="662" customWidth="1"/>
    <col min="19" max="19" width="2.42578125" style="662" customWidth="1"/>
    <col min="20" max="20" width="3.28515625" style="662" customWidth="1"/>
    <col min="21" max="21" width="4.5703125" style="662" customWidth="1"/>
    <col min="22" max="22" width="3.28515625" style="662" customWidth="1"/>
    <col min="23" max="23" width="3.5703125" style="662" customWidth="1"/>
    <col min="24" max="25" width="3.28515625" style="662" customWidth="1"/>
    <col min="26" max="26" width="2.42578125" style="662" customWidth="1"/>
    <col min="27" max="27" width="3.140625" style="662" customWidth="1"/>
    <col min="28" max="28" width="2.5703125" style="662" customWidth="1"/>
    <col min="29" max="29" width="3.42578125" style="662" customWidth="1"/>
    <col min="30" max="30" width="3.28515625" style="662" customWidth="1"/>
    <col min="31" max="31" width="3.5703125" style="662" customWidth="1"/>
    <col min="32" max="16384" width="12.28515625" style="662"/>
  </cols>
  <sheetData>
    <row r="1" spans="1:31" s="663" customFormat="1" ht="155.25" customHeight="1">
      <c r="A1" s="663" t="s">
        <v>873</v>
      </c>
      <c r="B1" s="663" t="s">
        <v>911</v>
      </c>
      <c r="C1" s="663" t="s">
        <v>874</v>
      </c>
      <c r="D1" s="663" t="s">
        <v>875</v>
      </c>
      <c r="E1" s="663" t="s">
        <v>824</v>
      </c>
      <c r="F1" s="663" t="s">
        <v>876</v>
      </c>
      <c r="G1" s="663" t="s">
        <v>877</v>
      </c>
      <c r="H1" s="663" t="s">
        <v>878</v>
      </c>
      <c r="I1" s="663" t="s">
        <v>879</v>
      </c>
      <c r="J1" s="663" t="s">
        <v>880</v>
      </c>
      <c r="K1" s="663" t="s">
        <v>881</v>
      </c>
      <c r="L1" s="663" t="s">
        <v>882</v>
      </c>
      <c r="M1" s="663" t="s">
        <v>883</v>
      </c>
      <c r="N1" s="663" t="s">
        <v>884</v>
      </c>
      <c r="O1" s="663" t="s">
        <v>885</v>
      </c>
      <c r="P1" s="663" t="s">
        <v>886</v>
      </c>
      <c r="Q1" s="663" t="s">
        <v>887</v>
      </c>
      <c r="R1" s="663" t="s">
        <v>888</v>
      </c>
      <c r="S1" s="663" t="s">
        <v>889</v>
      </c>
      <c r="T1" s="663" t="s">
        <v>890</v>
      </c>
      <c r="U1" s="663" t="s">
        <v>891</v>
      </c>
      <c r="V1" s="663" t="s">
        <v>892</v>
      </c>
      <c r="W1" s="663" t="s">
        <v>893</v>
      </c>
      <c r="X1" s="663" t="s">
        <v>894</v>
      </c>
      <c r="Y1" s="663" t="s">
        <v>895</v>
      </c>
      <c r="Z1" s="663" t="s">
        <v>896</v>
      </c>
      <c r="AA1" s="663" t="s">
        <v>897</v>
      </c>
      <c r="AB1" s="663" t="s">
        <v>898</v>
      </c>
      <c r="AC1" s="663" t="s">
        <v>899</v>
      </c>
      <c r="AD1" s="663" t="s">
        <v>900</v>
      </c>
      <c r="AE1" s="663" t="s">
        <v>901</v>
      </c>
    </row>
    <row r="2" spans="1:31" s="660" customFormat="1" ht="10.5">
      <c r="A2" s="660">
        <v>1</v>
      </c>
      <c r="B2" s="660">
        <v>1</v>
      </c>
      <c r="C2" s="660" t="s">
        <v>825</v>
      </c>
      <c r="D2" s="660">
        <f t="shared" ref="D2:D10" si="0">SUM(F2,L2,I2,U2,Y2,AA2)</f>
        <v>202</v>
      </c>
      <c r="E2" s="667">
        <f t="shared" ref="E2:E33" si="1">D2/209</f>
        <v>0.96650717703349287</v>
      </c>
      <c r="F2" s="660">
        <v>12</v>
      </c>
      <c r="G2" s="660">
        <v>6</v>
      </c>
      <c r="H2" s="660">
        <v>6</v>
      </c>
      <c r="I2" s="660">
        <f t="shared" ref="I2:I26" si="2">SUM(J2:K2)</f>
        <v>90</v>
      </c>
      <c r="J2" s="660">
        <v>70</v>
      </c>
      <c r="K2" s="660">
        <v>20</v>
      </c>
      <c r="L2" s="660">
        <f t="shared" ref="L2:L33" si="3">SUM(M2:T2)</f>
        <v>32</v>
      </c>
      <c r="M2" s="660">
        <v>5</v>
      </c>
      <c r="N2" s="660">
        <v>5</v>
      </c>
      <c r="O2" s="660">
        <v>5</v>
      </c>
      <c r="P2" s="660">
        <v>5</v>
      </c>
      <c r="Q2" s="660">
        <v>3</v>
      </c>
      <c r="R2" s="660">
        <v>3</v>
      </c>
      <c r="S2" s="660">
        <v>3</v>
      </c>
      <c r="T2" s="660">
        <v>3</v>
      </c>
      <c r="U2" s="660">
        <f t="shared" ref="U2:U33" si="4">SUM(V2:X2)</f>
        <v>48</v>
      </c>
      <c r="V2" s="660">
        <v>20</v>
      </c>
      <c r="W2" s="660">
        <v>18</v>
      </c>
      <c r="X2" s="660">
        <v>10</v>
      </c>
      <c r="Y2" s="660">
        <v>5</v>
      </c>
      <c r="Z2" s="660" t="s">
        <v>902</v>
      </c>
      <c r="AA2" s="660">
        <f t="shared" ref="AA2:AA33" si="5">SUM(AB2:AE2)</f>
        <v>15</v>
      </c>
      <c r="AB2" s="660">
        <v>5</v>
      </c>
      <c r="AC2" s="660">
        <v>5</v>
      </c>
      <c r="AD2" s="660">
        <v>0</v>
      </c>
      <c r="AE2" s="660">
        <v>5</v>
      </c>
    </row>
    <row r="3" spans="1:31" s="660" customFormat="1">
      <c r="A3" s="664">
        <v>1</v>
      </c>
      <c r="B3" s="664">
        <v>2</v>
      </c>
      <c r="C3" s="664" t="s">
        <v>825</v>
      </c>
      <c r="D3" s="664">
        <f t="shared" si="0"/>
        <v>174</v>
      </c>
      <c r="E3" s="668">
        <f t="shared" si="1"/>
        <v>0.83253588516746413</v>
      </c>
      <c r="F3" s="665">
        <f>SUM(G3:H3)</f>
        <v>6</v>
      </c>
      <c r="G3" s="665">
        <v>3</v>
      </c>
      <c r="H3" s="665">
        <v>3</v>
      </c>
      <c r="I3" s="665">
        <f t="shared" si="2"/>
        <v>80</v>
      </c>
      <c r="J3" s="665">
        <v>70</v>
      </c>
      <c r="K3" s="665">
        <v>10</v>
      </c>
      <c r="L3" s="664">
        <f t="shared" si="3"/>
        <v>26</v>
      </c>
      <c r="M3" s="665">
        <v>5</v>
      </c>
      <c r="N3" s="665">
        <v>5</v>
      </c>
      <c r="O3" s="665">
        <v>5</v>
      </c>
      <c r="P3" s="665">
        <v>5</v>
      </c>
      <c r="Q3" s="665">
        <v>3</v>
      </c>
      <c r="R3" s="665">
        <v>3</v>
      </c>
      <c r="S3" s="665">
        <v>0</v>
      </c>
      <c r="T3" s="665">
        <v>0</v>
      </c>
      <c r="U3" s="664">
        <f t="shared" si="4"/>
        <v>37</v>
      </c>
      <c r="V3" s="665">
        <v>20</v>
      </c>
      <c r="W3" s="665">
        <v>10</v>
      </c>
      <c r="X3" s="665">
        <v>7</v>
      </c>
      <c r="Y3" s="665">
        <v>5</v>
      </c>
      <c r="Z3" s="665" t="s">
        <v>909</v>
      </c>
      <c r="AA3" s="664">
        <f t="shared" si="5"/>
        <v>20</v>
      </c>
      <c r="AB3" s="665">
        <v>5</v>
      </c>
      <c r="AC3" s="665">
        <v>5</v>
      </c>
      <c r="AD3" s="665">
        <v>5</v>
      </c>
      <c r="AE3" s="665">
        <v>5</v>
      </c>
    </row>
    <row r="4" spans="1:31" s="660" customFormat="1" ht="10.5">
      <c r="A4" s="660">
        <v>2</v>
      </c>
      <c r="B4" s="660">
        <v>1</v>
      </c>
      <c r="C4" s="660" t="s">
        <v>826</v>
      </c>
      <c r="D4" s="660">
        <f t="shared" si="0"/>
        <v>204</v>
      </c>
      <c r="E4" s="667">
        <f t="shared" si="1"/>
        <v>0.97607655502392343</v>
      </c>
      <c r="F4" s="660">
        <v>12</v>
      </c>
      <c r="G4" s="660">
        <v>6</v>
      </c>
      <c r="H4" s="660">
        <v>6</v>
      </c>
      <c r="I4" s="660">
        <f t="shared" si="2"/>
        <v>85</v>
      </c>
      <c r="J4" s="660">
        <v>65</v>
      </c>
      <c r="K4" s="660">
        <v>20</v>
      </c>
      <c r="L4" s="660">
        <f t="shared" si="3"/>
        <v>32</v>
      </c>
      <c r="M4" s="660">
        <v>5</v>
      </c>
      <c r="N4" s="660">
        <v>5</v>
      </c>
      <c r="O4" s="660">
        <v>5</v>
      </c>
      <c r="P4" s="660">
        <v>5</v>
      </c>
      <c r="Q4" s="660">
        <v>3</v>
      </c>
      <c r="R4" s="660">
        <v>3</v>
      </c>
      <c r="S4" s="660">
        <v>3</v>
      </c>
      <c r="T4" s="660">
        <v>3</v>
      </c>
      <c r="U4" s="660">
        <f t="shared" si="4"/>
        <v>50</v>
      </c>
      <c r="V4" s="660">
        <v>20</v>
      </c>
      <c r="W4" s="660">
        <v>20</v>
      </c>
      <c r="X4" s="660">
        <v>10</v>
      </c>
      <c r="Y4" s="660">
        <v>5</v>
      </c>
      <c r="Z4" s="660" t="s">
        <v>902</v>
      </c>
      <c r="AA4" s="660">
        <f t="shared" si="5"/>
        <v>20</v>
      </c>
      <c r="AB4" s="660">
        <v>5</v>
      </c>
      <c r="AC4" s="660">
        <v>5</v>
      </c>
      <c r="AD4" s="660">
        <v>5</v>
      </c>
      <c r="AE4" s="660">
        <v>5</v>
      </c>
    </row>
    <row r="5" spans="1:31" s="660" customFormat="1">
      <c r="A5" s="664">
        <v>2</v>
      </c>
      <c r="B5" s="664">
        <v>2</v>
      </c>
      <c r="C5" s="664" t="s">
        <v>826</v>
      </c>
      <c r="D5" s="664">
        <f t="shared" si="0"/>
        <v>177</v>
      </c>
      <c r="E5" s="668">
        <f t="shared" si="1"/>
        <v>0.84688995215311003</v>
      </c>
      <c r="F5" s="665">
        <f>SUM(G5:H5)</f>
        <v>10</v>
      </c>
      <c r="G5" s="665">
        <v>6</v>
      </c>
      <c r="H5" s="665">
        <v>4</v>
      </c>
      <c r="I5" s="665">
        <f t="shared" si="2"/>
        <v>80</v>
      </c>
      <c r="J5" s="665">
        <v>60</v>
      </c>
      <c r="K5" s="665">
        <v>20</v>
      </c>
      <c r="L5" s="664">
        <f t="shared" si="3"/>
        <v>32</v>
      </c>
      <c r="M5" s="665">
        <v>5</v>
      </c>
      <c r="N5" s="665">
        <v>5</v>
      </c>
      <c r="O5" s="665">
        <v>5</v>
      </c>
      <c r="P5" s="665">
        <v>5</v>
      </c>
      <c r="Q5" s="665">
        <v>3</v>
      </c>
      <c r="R5" s="665">
        <v>3</v>
      </c>
      <c r="S5" s="665">
        <v>3</v>
      </c>
      <c r="T5" s="665">
        <v>3</v>
      </c>
      <c r="U5" s="664">
        <f t="shared" si="4"/>
        <v>35</v>
      </c>
      <c r="V5" s="665">
        <v>20</v>
      </c>
      <c r="W5" s="665">
        <v>10</v>
      </c>
      <c r="X5" s="665">
        <v>5</v>
      </c>
      <c r="Y5" s="665">
        <v>0</v>
      </c>
      <c r="Z5" s="665" t="s">
        <v>910</v>
      </c>
      <c r="AA5" s="664">
        <f t="shared" si="5"/>
        <v>20</v>
      </c>
      <c r="AB5" s="665">
        <v>5</v>
      </c>
      <c r="AC5" s="665">
        <v>5</v>
      </c>
      <c r="AD5" s="665">
        <v>5</v>
      </c>
      <c r="AE5" s="665">
        <v>5</v>
      </c>
    </row>
    <row r="6" spans="1:31" s="660" customFormat="1" ht="10.5">
      <c r="A6" s="660">
        <v>3</v>
      </c>
      <c r="B6" s="660">
        <v>1</v>
      </c>
      <c r="C6" s="660" t="s">
        <v>827</v>
      </c>
      <c r="D6" s="660">
        <f t="shared" si="0"/>
        <v>124</v>
      </c>
      <c r="E6" s="667">
        <f t="shared" si="1"/>
        <v>0.59330143540669855</v>
      </c>
      <c r="F6" s="660">
        <v>12</v>
      </c>
      <c r="G6" s="660">
        <v>6</v>
      </c>
      <c r="H6" s="660">
        <v>6</v>
      </c>
      <c r="I6" s="660">
        <f t="shared" si="2"/>
        <v>65</v>
      </c>
      <c r="J6" s="660">
        <v>45</v>
      </c>
      <c r="K6" s="660">
        <v>20</v>
      </c>
      <c r="L6" s="660">
        <f t="shared" si="3"/>
        <v>32</v>
      </c>
      <c r="M6" s="660">
        <v>5</v>
      </c>
      <c r="N6" s="660">
        <v>5</v>
      </c>
      <c r="O6" s="660">
        <v>5</v>
      </c>
      <c r="P6" s="660">
        <v>5</v>
      </c>
      <c r="Q6" s="660">
        <v>3</v>
      </c>
      <c r="R6" s="660">
        <v>3</v>
      </c>
      <c r="S6" s="660">
        <v>3</v>
      </c>
      <c r="T6" s="660">
        <v>3</v>
      </c>
      <c r="U6" s="660">
        <f t="shared" si="4"/>
        <v>0</v>
      </c>
      <c r="V6" s="660">
        <v>0</v>
      </c>
      <c r="W6" s="660">
        <v>0</v>
      </c>
      <c r="X6" s="660">
        <v>0</v>
      </c>
      <c r="Y6" s="660">
        <v>0</v>
      </c>
      <c r="Z6" s="660" t="s">
        <v>903</v>
      </c>
      <c r="AA6" s="660">
        <f t="shared" si="5"/>
        <v>15</v>
      </c>
      <c r="AB6" s="660">
        <v>5</v>
      </c>
      <c r="AC6" s="660">
        <v>5</v>
      </c>
      <c r="AD6" s="660">
        <v>0</v>
      </c>
      <c r="AE6" s="660">
        <v>5</v>
      </c>
    </row>
    <row r="7" spans="1:31" s="660" customFormat="1">
      <c r="A7" s="664">
        <v>3</v>
      </c>
      <c r="B7" s="664">
        <v>2</v>
      </c>
      <c r="C7" s="664" t="s">
        <v>827</v>
      </c>
      <c r="D7" s="664">
        <f t="shared" si="0"/>
        <v>189</v>
      </c>
      <c r="E7" s="668">
        <f t="shared" si="1"/>
        <v>0.90430622009569372</v>
      </c>
      <c r="F7" s="665">
        <f>SUM(G7:H7)</f>
        <v>12</v>
      </c>
      <c r="G7" s="665">
        <v>6</v>
      </c>
      <c r="H7" s="665">
        <v>6</v>
      </c>
      <c r="I7" s="665">
        <f t="shared" si="2"/>
        <v>85</v>
      </c>
      <c r="J7" s="665">
        <v>70</v>
      </c>
      <c r="K7" s="665">
        <v>15</v>
      </c>
      <c r="L7" s="664">
        <f t="shared" si="3"/>
        <v>32</v>
      </c>
      <c r="M7" s="665">
        <v>5</v>
      </c>
      <c r="N7" s="665">
        <v>5</v>
      </c>
      <c r="O7" s="665">
        <v>5</v>
      </c>
      <c r="P7" s="665">
        <v>5</v>
      </c>
      <c r="Q7" s="665">
        <v>3</v>
      </c>
      <c r="R7" s="665">
        <v>3</v>
      </c>
      <c r="S7" s="665">
        <v>3</v>
      </c>
      <c r="T7" s="665">
        <v>3</v>
      </c>
      <c r="U7" s="664">
        <f t="shared" si="4"/>
        <v>35</v>
      </c>
      <c r="V7" s="665">
        <v>20</v>
      </c>
      <c r="W7" s="665">
        <v>10</v>
      </c>
      <c r="X7" s="665">
        <v>5</v>
      </c>
      <c r="Y7" s="665">
        <v>5</v>
      </c>
      <c r="Z7" s="665"/>
      <c r="AA7" s="664">
        <f t="shared" si="5"/>
        <v>20</v>
      </c>
      <c r="AB7" s="665">
        <v>5</v>
      </c>
      <c r="AC7" s="665">
        <v>5</v>
      </c>
      <c r="AD7" s="665">
        <v>5</v>
      </c>
      <c r="AE7" s="665">
        <v>5</v>
      </c>
    </row>
    <row r="8" spans="1:31" s="660" customFormat="1" ht="10.5">
      <c r="A8" s="660">
        <v>4</v>
      </c>
      <c r="B8" s="660">
        <v>1</v>
      </c>
      <c r="C8" s="660" t="s">
        <v>828</v>
      </c>
      <c r="D8" s="660">
        <f t="shared" si="0"/>
        <v>204</v>
      </c>
      <c r="E8" s="667">
        <f t="shared" si="1"/>
        <v>0.97607655502392343</v>
      </c>
      <c r="F8" s="660">
        <v>12</v>
      </c>
      <c r="G8" s="660">
        <v>6</v>
      </c>
      <c r="H8" s="660">
        <v>6</v>
      </c>
      <c r="I8" s="660">
        <f t="shared" si="2"/>
        <v>85</v>
      </c>
      <c r="J8" s="660">
        <v>65</v>
      </c>
      <c r="K8" s="660">
        <v>20</v>
      </c>
      <c r="L8" s="660">
        <f t="shared" si="3"/>
        <v>32</v>
      </c>
      <c r="M8" s="660">
        <v>5</v>
      </c>
      <c r="N8" s="660">
        <v>5</v>
      </c>
      <c r="O8" s="660">
        <v>5</v>
      </c>
      <c r="P8" s="660">
        <v>5</v>
      </c>
      <c r="Q8" s="660">
        <v>3</v>
      </c>
      <c r="R8" s="660">
        <v>3</v>
      </c>
      <c r="S8" s="660">
        <v>3</v>
      </c>
      <c r="T8" s="660">
        <v>3</v>
      </c>
      <c r="U8" s="660">
        <f t="shared" si="4"/>
        <v>50</v>
      </c>
      <c r="V8" s="660">
        <v>20</v>
      </c>
      <c r="W8" s="660">
        <v>20</v>
      </c>
      <c r="X8" s="660">
        <v>10</v>
      </c>
      <c r="Y8" s="660">
        <v>5</v>
      </c>
      <c r="Z8" s="660" t="s">
        <v>902</v>
      </c>
      <c r="AA8" s="660">
        <f t="shared" si="5"/>
        <v>20</v>
      </c>
      <c r="AB8" s="660">
        <v>5</v>
      </c>
      <c r="AC8" s="660">
        <v>5</v>
      </c>
      <c r="AD8" s="660">
        <v>5</v>
      </c>
      <c r="AE8" s="660">
        <v>5</v>
      </c>
    </row>
    <row r="9" spans="1:31" s="660" customFormat="1">
      <c r="A9" s="664">
        <v>4</v>
      </c>
      <c r="B9" s="664">
        <v>2</v>
      </c>
      <c r="C9" s="664" t="s">
        <v>828</v>
      </c>
      <c r="D9" s="664">
        <f t="shared" si="0"/>
        <v>209</v>
      </c>
      <c r="E9" s="668">
        <f t="shared" si="1"/>
        <v>1</v>
      </c>
      <c r="F9" s="665">
        <f>SUM(G9:H9)</f>
        <v>12</v>
      </c>
      <c r="G9" s="665">
        <v>6</v>
      </c>
      <c r="H9" s="665">
        <v>6</v>
      </c>
      <c r="I9" s="665">
        <f t="shared" si="2"/>
        <v>90</v>
      </c>
      <c r="J9" s="665">
        <v>70</v>
      </c>
      <c r="K9" s="665">
        <v>20</v>
      </c>
      <c r="L9" s="664">
        <f t="shared" si="3"/>
        <v>32</v>
      </c>
      <c r="M9" s="665">
        <v>5</v>
      </c>
      <c r="N9" s="665">
        <v>5</v>
      </c>
      <c r="O9" s="665">
        <v>5</v>
      </c>
      <c r="P9" s="665">
        <v>5</v>
      </c>
      <c r="Q9" s="665">
        <v>3</v>
      </c>
      <c r="R9" s="665">
        <v>3</v>
      </c>
      <c r="S9" s="665">
        <v>3</v>
      </c>
      <c r="T9" s="665">
        <v>3</v>
      </c>
      <c r="U9" s="664">
        <f t="shared" si="4"/>
        <v>50</v>
      </c>
      <c r="V9" s="665">
        <v>20</v>
      </c>
      <c r="W9" s="665">
        <v>20</v>
      </c>
      <c r="X9" s="665">
        <v>10</v>
      </c>
      <c r="Y9" s="665">
        <v>5</v>
      </c>
      <c r="Z9" s="665" t="s">
        <v>909</v>
      </c>
      <c r="AA9" s="664">
        <f t="shared" si="5"/>
        <v>20</v>
      </c>
      <c r="AB9" s="665">
        <v>5</v>
      </c>
      <c r="AC9" s="665">
        <v>5</v>
      </c>
      <c r="AD9" s="665">
        <v>5</v>
      </c>
      <c r="AE9" s="665">
        <v>5</v>
      </c>
    </row>
    <row r="10" spans="1:31" s="660" customFormat="1" ht="10.5">
      <c r="A10" s="660">
        <v>5</v>
      </c>
      <c r="B10" s="660">
        <v>1</v>
      </c>
      <c r="C10" s="660" t="s">
        <v>829</v>
      </c>
      <c r="D10" s="660">
        <f t="shared" si="0"/>
        <v>188</v>
      </c>
      <c r="E10" s="667">
        <f t="shared" si="1"/>
        <v>0.8995215311004785</v>
      </c>
      <c r="F10" s="660">
        <v>6</v>
      </c>
      <c r="G10" s="661">
        <v>0</v>
      </c>
      <c r="H10" s="660">
        <v>6</v>
      </c>
      <c r="I10" s="660">
        <f t="shared" si="2"/>
        <v>80</v>
      </c>
      <c r="J10" s="660">
        <v>60</v>
      </c>
      <c r="K10" s="660">
        <v>20</v>
      </c>
      <c r="L10" s="660">
        <f t="shared" si="3"/>
        <v>32</v>
      </c>
      <c r="M10" s="660">
        <v>5</v>
      </c>
      <c r="N10" s="660">
        <v>5</v>
      </c>
      <c r="O10" s="660">
        <v>5</v>
      </c>
      <c r="P10" s="660">
        <v>5</v>
      </c>
      <c r="Q10" s="660">
        <v>3</v>
      </c>
      <c r="R10" s="660">
        <v>3</v>
      </c>
      <c r="S10" s="660">
        <v>3</v>
      </c>
      <c r="T10" s="660">
        <v>3</v>
      </c>
      <c r="U10" s="660">
        <f t="shared" si="4"/>
        <v>50</v>
      </c>
      <c r="V10" s="660">
        <v>20</v>
      </c>
      <c r="W10" s="660">
        <v>20</v>
      </c>
      <c r="X10" s="660">
        <v>10</v>
      </c>
      <c r="Y10" s="660">
        <v>0</v>
      </c>
      <c r="Z10" s="660" t="s">
        <v>902</v>
      </c>
      <c r="AA10" s="660">
        <f t="shared" si="5"/>
        <v>20</v>
      </c>
      <c r="AB10" s="660">
        <v>5</v>
      </c>
      <c r="AC10" s="660">
        <v>5</v>
      </c>
      <c r="AD10" s="660">
        <v>5</v>
      </c>
      <c r="AE10" s="660">
        <v>5</v>
      </c>
    </row>
    <row r="11" spans="1:31" s="660" customFormat="1">
      <c r="A11" s="664">
        <v>5</v>
      </c>
      <c r="B11" s="664">
        <v>2</v>
      </c>
      <c r="C11" s="664" t="s">
        <v>829</v>
      </c>
      <c r="D11" s="664">
        <v>192</v>
      </c>
      <c r="E11" s="668">
        <f t="shared" si="1"/>
        <v>0.91866028708133973</v>
      </c>
      <c r="F11" s="665">
        <f>SUM(G11:H11)</f>
        <v>0</v>
      </c>
      <c r="G11" s="665"/>
      <c r="H11" s="665"/>
      <c r="I11" s="665">
        <f t="shared" si="2"/>
        <v>0</v>
      </c>
      <c r="J11" s="665"/>
      <c r="K11" s="665"/>
      <c r="L11" s="664">
        <f t="shared" si="3"/>
        <v>0</v>
      </c>
      <c r="M11" s="665"/>
      <c r="N11" s="665"/>
      <c r="O11" s="665"/>
      <c r="P11" s="665"/>
      <c r="Q11" s="665"/>
      <c r="R11" s="665"/>
      <c r="S11" s="665"/>
      <c r="T11" s="665"/>
      <c r="U11" s="664">
        <f t="shared" si="4"/>
        <v>0</v>
      </c>
      <c r="V11" s="665"/>
      <c r="W11" s="665"/>
      <c r="X11" s="665"/>
      <c r="Y11" s="665"/>
      <c r="Z11" s="665"/>
      <c r="AA11" s="664">
        <f t="shared" si="5"/>
        <v>0</v>
      </c>
      <c r="AB11" s="665"/>
      <c r="AC11" s="665"/>
      <c r="AD11" s="665"/>
      <c r="AE11" s="665"/>
    </row>
    <row r="12" spans="1:31" s="660" customFormat="1" ht="10.5">
      <c r="A12" s="660">
        <v>6</v>
      </c>
      <c r="B12" s="660">
        <v>1</v>
      </c>
      <c r="C12" s="660" t="s">
        <v>830</v>
      </c>
      <c r="D12" s="660">
        <f>SUM(F12,L12,I12,U12,Y12,AA12)</f>
        <v>190</v>
      </c>
      <c r="E12" s="667">
        <f t="shared" si="1"/>
        <v>0.90909090909090906</v>
      </c>
      <c r="F12" s="660">
        <v>12</v>
      </c>
      <c r="G12" s="660">
        <v>6</v>
      </c>
      <c r="H12" s="660">
        <v>6</v>
      </c>
      <c r="I12" s="660">
        <f t="shared" si="2"/>
        <v>80</v>
      </c>
      <c r="J12" s="660">
        <v>60</v>
      </c>
      <c r="K12" s="660">
        <v>20</v>
      </c>
      <c r="L12" s="660">
        <f t="shared" si="3"/>
        <v>32</v>
      </c>
      <c r="M12" s="660">
        <v>5</v>
      </c>
      <c r="N12" s="660">
        <v>5</v>
      </c>
      <c r="O12" s="660">
        <v>5</v>
      </c>
      <c r="P12" s="660">
        <v>5</v>
      </c>
      <c r="Q12" s="660">
        <v>3</v>
      </c>
      <c r="R12" s="660">
        <v>3</v>
      </c>
      <c r="S12" s="660">
        <v>3</v>
      </c>
      <c r="T12" s="660">
        <v>3</v>
      </c>
      <c r="U12" s="660">
        <f t="shared" si="4"/>
        <v>46</v>
      </c>
      <c r="V12" s="660">
        <v>18</v>
      </c>
      <c r="W12" s="660">
        <v>18</v>
      </c>
      <c r="X12" s="660">
        <v>10</v>
      </c>
      <c r="Y12" s="660">
        <v>5</v>
      </c>
      <c r="Z12" s="660" t="s">
        <v>904</v>
      </c>
      <c r="AA12" s="660">
        <f t="shared" si="5"/>
        <v>15</v>
      </c>
      <c r="AB12" s="660">
        <v>5</v>
      </c>
      <c r="AC12" s="660">
        <v>5</v>
      </c>
      <c r="AD12" s="660">
        <v>0</v>
      </c>
      <c r="AE12" s="660">
        <v>5</v>
      </c>
    </row>
    <row r="13" spans="1:31" s="660" customFormat="1">
      <c r="A13" s="664">
        <v>6</v>
      </c>
      <c r="B13" s="664">
        <v>2</v>
      </c>
      <c r="C13" s="664" t="s">
        <v>830</v>
      </c>
      <c r="D13" s="664">
        <v>199</v>
      </c>
      <c r="E13" s="668">
        <f t="shared" si="1"/>
        <v>0.95215311004784686</v>
      </c>
      <c r="F13" s="665">
        <f>SUM(G13:H13)</f>
        <v>0</v>
      </c>
      <c r="G13" s="665"/>
      <c r="H13" s="665"/>
      <c r="I13" s="665">
        <f t="shared" si="2"/>
        <v>0</v>
      </c>
      <c r="J13" s="665"/>
      <c r="K13" s="665"/>
      <c r="L13" s="664">
        <f t="shared" si="3"/>
        <v>0</v>
      </c>
      <c r="M13" s="665"/>
      <c r="N13" s="665"/>
      <c r="O13" s="665"/>
      <c r="P13" s="665"/>
      <c r="Q13" s="665"/>
      <c r="R13" s="665"/>
      <c r="S13" s="665"/>
      <c r="T13" s="665"/>
      <c r="U13" s="664">
        <f t="shared" si="4"/>
        <v>0</v>
      </c>
      <c r="V13" s="665"/>
      <c r="W13" s="665"/>
      <c r="X13" s="665"/>
      <c r="Y13" s="665"/>
      <c r="Z13" s="665"/>
      <c r="AA13" s="664">
        <f t="shared" si="5"/>
        <v>5</v>
      </c>
      <c r="AB13" s="665">
        <v>5</v>
      </c>
      <c r="AC13" s="665"/>
      <c r="AD13" s="665"/>
      <c r="AE13" s="665"/>
    </row>
    <row r="14" spans="1:31" s="660" customFormat="1" ht="10.5">
      <c r="A14" s="660">
        <v>7</v>
      </c>
      <c r="B14" s="660">
        <v>1</v>
      </c>
      <c r="C14" s="660" t="s">
        <v>831</v>
      </c>
      <c r="D14" s="660">
        <f t="shared" ref="D14:D26" si="6">SUM(F14,L14,I14,U14,Y14,AA14)</f>
        <v>195</v>
      </c>
      <c r="E14" s="667">
        <f t="shared" si="1"/>
        <v>0.93301435406698563</v>
      </c>
      <c r="F14" s="660">
        <v>12</v>
      </c>
      <c r="G14" s="660">
        <v>6</v>
      </c>
      <c r="H14" s="660">
        <v>6</v>
      </c>
      <c r="I14" s="660">
        <f t="shared" si="2"/>
        <v>85</v>
      </c>
      <c r="J14" s="660">
        <v>65</v>
      </c>
      <c r="K14" s="660">
        <v>20</v>
      </c>
      <c r="L14" s="660">
        <f t="shared" si="3"/>
        <v>32</v>
      </c>
      <c r="M14" s="660">
        <v>5</v>
      </c>
      <c r="N14" s="660">
        <v>5</v>
      </c>
      <c r="O14" s="660">
        <v>5</v>
      </c>
      <c r="P14" s="660">
        <v>5</v>
      </c>
      <c r="Q14" s="660">
        <v>3</v>
      </c>
      <c r="R14" s="660">
        <v>3</v>
      </c>
      <c r="S14" s="660">
        <v>3</v>
      </c>
      <c r="T14" s="660">
        <v>3</v>
      </c>
      <c r="U14" s="660">
        <f t="shared" si="4"/>
        <v>46</v>
      </c>
      <c r="V14" s="660">
        <v>18</v>
      </c>
      <c r="W14" s="660">
        <v>18</v>
      </c>
      <c r="X14" s="660">
        <v>10</v>
      </c>
      <c r="Y14" s="660">
        <v>0</v>
      </c>
      <c r="Z14" s="660" t="s">
        <v>902</v>
      </c>
      <c r="AA14" s="660">
        <f t="shared" si="5"/>
        <v>20</v>
      </c>
      <c r="AB14" s="660">
        <v>5</v>
      </c>
      <c r="AC14" s="660">
        <v>5</v>
      </c>
      <c r="AD14" s="660">
        <v>5</v>
      </c>
      <c r="AE14" s="660">
        <v>5</v>
      </c>
    </row>
    <row r="15" spans="1:31" s="660" customFormat="1">
      <c r="A15" s="664">
        <v>7</v>
      </c>
      <c r="B15" s="664">
        <v>2</v>
      </c>
      <c r="C15" s="664" t="s">
        <v>831</v>
      </c>
      <c r="D15" s="664">
        <f t="shared" si="6"/>
        <v>186</v>
      </c>
      <c r="E15" s="668">
        <f t="shared" si="1"/>
        <v>0.88995215311004783</v>
      </c>
      <c r="F15" s="665">
        <f>SUM(G15:H15)</f>
        <v>12</v>
      </c>
      <c r="G15" s="665">
        <v>6</v>
      </c>
      <c r="H15" s="665">
        <v>6</v>
      </c>
      <c r="I15" s="665">
        <f t="shared" si="2"/>
        <v>82</v>
      </c>
      <c r="J15" s="665">
        <v>70</v>
      </c>
      <c r="K15" s="665">
        <v>12</v>
      </c>
      <c r="L15" s="664">
        <f t="shared" si="3"/>
        <v>32</v>
      </c>
      <c r="M15" s="665">
        <v>5</v>
      </c>
      <c r="N15" s="665">
        <v>5</v>
      </c>
      <c r="O15" s="665">
        <v>5</v>
      </c>
      <c r="P15" s="665">
        <v>5</v>
      </c>
      <c r="Q15" s="665">
        <v>3</v>
      </c>
      <c r="R15" s="665">
        <v>3</v>
      </c>
      <c r="S15" s="665">
        <v>3</v>
      </c>
      <c r="T15" s="665">
        <v>3</v>
      </c>
      <c r="U15" s="664">
        <f t="shared" si="4"/>
        <v>35</v>
      </c>
      <c r="V15" s="665">
        <v>15</v>
      </c>
      <c r="W15" s="665">
        <v>10</v>
      </c>
      <c r="X15" s="665">
        <v>10</v>
      </c>
      <c r="Y15" s="665">
        <v>5</v>
      </c>
      <c r="Z15" s="665" t="s">
        <v>909</v>
      </c>
      <c r="AA15" s="664">
        <f t="shared" si="5"/>
        <v>20</v>
      </c>
      <c r="AB15" s="665">
        <v>5</v>
      </c>
      <c r="AC15" s="665">
        <v>5</v>
      </c>
      <c r="AD15" s="665">
        <v>5</v>
      </c>
      <c r="AE15" s="665">
        <v>5</v>
      </c>
    </row>
    <row r="16" spans="1:31" s="660" customFormat="1" ht="10.5">
      <c r="A16" s="660">
        <v>8</v>
      </c>
      <c r="B16" s="660">
        <v>1</v>
      </c>
      <c r="C16" s="660" t="s">
        <v>832</v>
      </c>
      <c r="D16" s="660">
        <f t="shared" si="6"/>
        <v>193</v>
      </c>
      <c r="E16" s="667">
        <f t="shared" si="1"/>
        <v>0.92344497607655507</v>
      </c>
      <c r="F16" s="660">
        <v>10</v>
      </c>
      <c r="G16" s="660">
        <v>6</v>
      </c>
      <c r="H16" s="660">
        <v>4</v>
      </c>
      <c r="I16" s="660">
        <f t="shared" si="2"/>
        <v>85</v>
      </c>
      <c r="J16" s="660">
        <v>65</v>
      </c>
      <c r="K16" s="660">
        <v>20</v>
      </c>
      <c r="L16" s="660">
        <f t="shared" si="3"/>
        <v>32</v>
      </c>
      <c r="M16" s="660">
        <v>5</v>
      </c>
      <c r="N16" s="660">
        <v>5</v>
      </c>
      <c r="O16" s="660">
        <v>5</v>
      </c>
      <c r="P16" s="660">
        <v>5</v>
      </c>
      <c r="Q16" s="660">
        <v>3</v>
      </c>
      <c r="R16" s="660">
        <v>3</v>
      </c>
      <c r="S16" s="660">
        <v>3</v>
      </c>
      <c r="T16" s="660">
        <v>3</v>
      </c>
      <c r="U16" s="660">
        <f t="shared" si="4"/>
        <v>46</v>
      </c>
      <c r="V16" s="660">
        <v>18</v>
      </c>
      <c r="W16" s="660">
        <v>18</v>
      </c>
      <c r="X16" s="660">
        <v>10</v>
      </c>
      <c r="Y16" s="660">
        <v>0</v>
      </c>
      <c r="Z16" s="660" t="s">
        <v>904</v>
      </c>
      <c r="AA16" s="660">
        <f t="shared" si="5"/>
        <v>20</v>
      </c>
      <c r="AB16" s="660">
        <v>5</v>
      </c>
      <c r="AC16" s="660">
        <v>5</v>
      </c>
      <c r="AD16" s="660">
        <v>5</v>
      </c>
      <c r="AE16" s="660">
        <v>5</v>
      </c>
    </row>
    <row r="17" spans="1:31" s="660" customFormat="1">
      <c r="A17" s="664">
        <v>8</v>
      </c>
      <c r="B17" s="664">
        <v>2</v>
      </c>
      <c r="C17" s="664" t="s">
        <v>832</v>
      </c>
      <c r="D17" s="664">
        <f t="shared" si="6"/>
        <v>199</v>
      </c>
      <c r="E17" s="668">
        <f t="shared" si="1"/>
        <v>0.95215311004784686</v>
      </c>
      <c r="F17" s="665">
        <f>SUM(G17:H17)</f>
        <v>12</v>
      </c>
      <c r="G17" s="665">
        <v>6</v>
      </c>
      <c r="H17" s="665">
        <v>6</v>
      </c>
      <c r="I17" s="665">
        <f t="shared" si="2"/>
        <v>90</v>
      </c>
      <c r="J17" s="665">
        <v>70</v>
      </c>
      <c r="K17" s="665">
        <v>20</v>
      </c>
      <c r="L17" s="664">
        <f t="shared" si="3"/>
        <v>32</v>
      </c>
      <c r="M17" s="665">
        <v>5</v>
      </c>
      <c r="N17" s="665">
        <v>5</v>
      </c>
      <c r="O17" s="665">
        <v>5</v>
      </c>
      <c r="P17" s="665">
        <v>5</v>
      </c>
      <c r="Q17" s="665">
        <v>3</v>
      </c>
      <c r="R17" s="665">
        <v>3</v>
      </c>
      <c r="S17" s="665">
        <v>3</v>
      </c>
      <c r="T17" s="665">
        <v>3</v>
      </c>
      <c r="U17" s="664">
        <f t="shared" si="4"/>
        <v>40</v>
      </c>
      <c r="V17" s="665">
        <v>20</v>
      </c>
      <c r="W17" s="665">
        <v>10</v>
      </c>
      <c r="X17" s="665">
        <v>10</v>
      </c>
      <c r="Y17" s="665">
        <v>5</v>
      </c>
      <c r="Z17" s="665" t="s">
        <v>909</v>
      </c>
      <c r="AA17" s="664">
        <f t="shared" si="5"/>
        <v>20</v>
      </c>
      <c r="AB17" s="665">
        <v>5</v>
      </c>
      <c r="AC17" s="665">
        <v>5</v>
      </c>
      <c r="AD17" s="665">
        <v>5</v>
      </c>
      <c r="AE17" s="665">
        <v>5</v>
      </c>
    </row>
    <row r="18" spans="1:31" s="660" customFormat="1" ht="10.5">
      <c r="A18" s="660">
        <v>9</v>
      </c>
      <c r="B18" s="660">
        <v>1</v>
      </c>
      <c r="C18" s="660" t="s">
        <v>833</v>
      </c>
      <c r="D18" s="660">
        <f t="shared" si="6"/>
        <v>200</v>
      </c>
      <c r="E18" s="667">
        <f t="shared" si="1"/>
        <v>0.9569377990430622</v>
      </c>
      <c r="F18" s="660">
        <v>12</v>
      </c>
      <c r="G18" s="660">
        <v>6</v>
      </c>
      <c r="H18" s="660">
        <v>6</v>
      </c>
      <c r="I18" s="660">
        <f t="shared" si="2"/>
        <v>85</v>
      </c>
      <c r="J18" s="660">
        <v>65</v>
      </c>
      <c r="K18" s="660">
        <v>20</v>
      </c>
      <c r="L18" s="660">
        <f t="shared" si="3"/>
        <v>32</v>
      </c>
      <c r="M18" s="660">
        <v>5</v>
      </c>
      <c r="N18" s="660">
        <v>5</v>
      </c>
      <c r="O18" s="660">
        <v>5</v>
      </c>
      <c r="P18" s="660">
        <v>5</v>
      </c>
      <c r="Q18" s="660">
        <v>3</v>
      </c>
      <c r="R18" s="660">
        <v>3</v>
      </c>
      <c r="S18" s="660">
        <v>3</v>
      </c>
      <c r="T18" s="660">
        <v>3</v>
      </c>
      <c r="U18" s="660">
        <f t="shared" si="4"/>
        <v>46</v>
      </c>
      <c r="V18" s="660">
        <v>18</v>
      </c>
      <c r="W18" s="660">
        <v>18</v>
      </c>
      <c r="X18" s="660">
        <v>10</v>
      </c>
      <c r="Y18" s="660">
        <v>5</v>
      </c>
      <c r="Z18" s="660" t="s">
        <v>904</v>
      </c>
      <c r="AA18" s="660">
        <f t="shared" si="5"/>
        <v>20</v>
      </c>
      <c r="AB18" s="660">
        <v>5</v>
      </c>
      <c r="AC18" s="660">
        <v>5</v>
      </c>
      <c r="AD18" s="660">
        <v>5</v>
      </c>
      <c r="AE18" s="660">
        <v>5</v>
      </c>
    </row>
    <row r="19" spans="1:31" s="660" customFormat="1">
      <c r="A19" s="664">
        <v>9</v>
      </c>
      <c r="B19" s="664">
        <v>2</v>
      </c>
      <c r="C19" s="664" t="s">
        <v>833</v>
      </c>
      <c r="D19" s="664">
        <f t="shared" si="6"/>
        <v>196</v>
      </c>
      <c r="E19" s="668">
        <f t="shared" si="1"/>
        <v>0.93779904306220097</v>
      </c>
      <c r="F19" s="665">
        <f>SUM(G19:H19)</f>
        <v>9</v>
      </c>
      <c r="G19" s="665">
        <v>6</v>
      </c>
      <c r="H19" s="665">
        <v>3</v>
      </c>
      <c r="I19" s="665">
        <f t="shared" si="2"/>
        <v>90</v>
      </c>
      <c r="J19" s="665">
        <v>70</v>
      </c>
      <c r="K19" s="665">
        <v>20</v>
      </c>
      <c r="L19" s="664">
        <f t="shared" si="3"/>
        <v>32</v>
      </c>
      <c r="M19" s="665">
        <v>5</v>
      </c>
      <c r="N19" s="665">
        <v>5</v>
      </c>
      <c r="O19" s="665">
        <v>5</v>
      </c>
      <c r="P19" s="665">
        <v>5</v>
      </c>
      <c r="Q19" s="665">
        <v>3</v>
      </c>
      <c r="R19" s="665">
        <v>3</v>
      </c>
      <c r="S19" s="665">
        <v>3</v>
      </c>
      <c r="T19" s="665">
        <v>3</v>
      </c>
      <c r="U19" s="664">
        <f t="shared" si="4"/>
        <v>40</v>
      </c>
      <c r="V19" s="665">
        <v>20</v>
      </c>
      <c r="W19" s="665">
        <v>10</v>
      </c>
      <c r="X19" s="665">
        <v>10</v>
      </c>
      <c r="Y19" s="665">
        <v>5</v>
      </c>
      <c r="Z19" s="665" t="s">
        <v>909</v>
      </c>
      <c r="AA19" s="664">
        <f t="shared" si="5"/>
        <v>20</v>
      </c>
      <c r="AB19" s="665">
        <v>5</v>
      </c>
      <c r="AC19" s="665">
        <v>5</v>
      </c>
      <c r="AD19" s="665">
        <v>5</v>
      </c>
      <c r="AE19" s="665">
        <v>5</v>
      </c>
    </row>
    <row r="20" spans="1:31" s="660" customFormat="1" ht="10.5">
      <c r="A20" s="660">
        <v>10</v>
      </c>
      <c r="B20" s="660">
        <v>1</v>
      </c>
      <c r="C20" s="660" t="s">
        <v>834</v>
      </c>
      <c r="D20" s="660">
        <f t="shared" si="6"/>
        <v>192</v>
      </c>
      <c r="E20" s="667">
        <f t="shared" si="1"/>
        <v>0.91866028708133973</v>
      </c>
      <c r="F20" s="660">
        <v>12</v>
      </c>
      <c r="G20" s="660">
        <v>6</v>
      </c>
      <c r="H20" s="660">
        <v>6</v>
      </c>
      <c r="I20" s="660">
        <f t="shared" si="2"/>
        <v>80</v>
      </c>
      <c r="J20" s="660">
        <v>60</v>
      </c>
      <c r="K20" s="660">
        <v>20</v>
      </c>
      <c r="L20" s="660">
        <f t="shared" si="3"/>
        <v>32</v>
      </c>
      <c r="M20" s="660">
        <v>5</v>
      </c>
      <c r="N20" s="660">
        <v>5</v>
      </c>
      <c r="O20" s="660">
        <v>5</v>
      </c>
      <c r="P20" s="660">
        <v>5</v>
      </c>
      <c r="Q20" s="660">
        <v>3</v>
      </c>
      <c r="R20" s="660">
        <v>3</v>
      </c>
      <c r="S20" s="660">
        <v>3</v>
      </c>
      <c r="T20" s="660">
        <v>3</v>
      </c>
      <c r="U20" s="660">
        <f t="shared" si="4"/>
        <v>48</v>
      </c>
      <c r="V20" s="660">
        <v>18</v>
      </c>
      <c r="W20" s="660">
        <v>20</v>
      </c>
      <c r="X20" s="660">
        <v>10</v>
      </c>
      <c r="Y20" s="660">
        <v>0</v>
      </c>
      <c r="Z20" s="660" t="s">
        <v>902</v>
      </c>
      <c r="AA20" s="660">
        <f t="shared" si="5"/>
        <v>20</v>
      </c>
      <c r="AB20" s="660">
        <v>5</v>
      </c>
      <c r="AC20" s="660">
        <v>5</v>
      </c>
      <c r="AD20" s="660">
        <v>5</v>
      </c>
      <c r="AE20" s="660">
        <v>5</v>
      </c>
    </row>
    <row r="21" spans="1:31" s="660" customFormat="1">
      <c r="A21" s="664">
        <v>10</v>
      </c>
      <c r="B21" s="664">
        <v>2</v>
      </c>
      <c r="C21" s="664" t="s">
        <v>834</v>
      </c>
      <c r="D21" s="664">
        <f t="shared" si="6"/>
        <v>196</v>
      </c>
      <c r="E21" s="668">
        <f t="shared" si="1"/>
        <v>0.93779904306220097</v>
      </c>
      <c r="F21" s="665">
        <f>SUM(G21:H21)</f>
        <v>9</v>
      </c>
      <c r="G21" s="665">
        <v>6</v>
      </c>
      <c r="H21" s="665">
        <v>3</v>
      </c>
      <c r="I21" s="665">
        <f t="shared" si="2"/>
        <v>90</v>
      </c>
      <c r="J21" s="665">
        <v>70</v>
      </c>
      <c r="K21" s="665">
        <v>20</v>
      </c>
      <c r="L21" s="664">
        <f t="shared" si="3"/>
        <v>32</v>
      </c>
      <c r="M21" s="665">
        <v>5</v>
      </c>
      <c r="N21" s="665">
        <v>5</v>
      </c>
      <c r="O21" s="665">
        <v>5</v>
      </c>
      <c r="P21" s="665">
        <v>5</v>
      </c>
      <c r="Q21" s="665">
        <v>3</v>
      </c>
      <c r="R21" s="665">
        <v>3</v>
      </c>
      <c r="S21" s="665">
        <v>3</v>
      </c>
      <c r="T21" s="665">
        <v>3</v>
      </c>
      <c r="U21" s="664">
        <f t="shared" si="4"/>
        <v>40</v>
      </c>
      <c r="V21" s="665">
        <v>20</v>
      </c>
      <c r="W21" s="665">
        <v>12</v>
      </c>
      <c r="X21" s="665">
        <v>8</v>
      </c>
      <c r="Y21" s="665">
        <v>5</v>
      </c>
      <c r="Z21" s="665" t="s">
        <v>909</v>
      </c>
      <c r="AA21" s="664">
        <f t="shared" si="5"/>
        <v>20</v>
      </c>
      <c r="AB21" s="665">
        <v>5</v>
      </c>
      <c r="AC21" s="665">
        <v>5</v>
      </c>
      <c r="AD21" s="665">
        <v>5</v>
      </c>
      <c r="AE21" s="665">
        <v>5</v>
      </c>
    </row>
    <row r="22" spans="1:31" s="660" customFormat="1" ht="10.5">
      <c r="A22" s="660">
        <v>11</v>
      </c>
      <c r="B22" s="660">
        <v>1</v>
      </c>
      <c r="C22" s="660" t="s">
        <v>835</v>
      </c>
      <c r="D22" s="660">
        <f t="shared" si="6"/>
        <v>179</v>
      </c>
      <c r="E22" s="667">
        <f t="shared" si="1"/>
        <v>0.8564593301435407</v>
      </c>
      <c r="F22" s="660">
        <v>10</v>
      </c>
      <c r="G22" s="660">
        <v>6</v>
      </c>
      <c r="H22" s="660">
        <v>4</v>
      </c>
      <c r="I22" s="660">
        <f t="shared" si="2"/>
        <v>90</v>
      </c>
      <c r="J22" s="660">
        <v>70</v>
      </c>
      <c r="K22" s="660">
        <v>20</v>
      </c>
      <c r="L22" s="660">
        <f t="shared" si="3"/>
        <v>26</v>
      </c>
      <c r="M22" s="660">
        <v>5</v>
      </c>
      <c r="N22" s="660">
        <v>5</v>
      </c>
      <c r="O22" s="660">
        <v>5</v>
      </c>
      <c r="P22" s="660">
        <v>5</v>
      </c>
      <c r="Q22" s="660">
        <v>0</v>
      </c>
      <c r="R22" s="660">
        <v>0</v>
      </c>
      <c r="S22" s="660">
        <v>3</v>
      </c>
      <c r="T22" s="660">
        <v>3</v>
      </c>
      <c r="U22" s="660">
        <f t="shared" si="4"/>
        <v>33</v>
      </c>
      <c r="V22" s="660">
        <v>18</v>
      </c>
      <c r="W22" s="660">
        <v>5</v>
      </c>
      <c r="X22" s="660">
        <v>10</v>
      </c>
      <c r="Y22" s="660">
        <v>0</v>
      </c>
      <c r="Z22" s="660" t="s">
        <v>902</v>
      </c>
      <c r="AA22" s="660">
        <f t="shared" si="5"/>
        <v>20</v>
      </c>
      <c r="AB22" s="660">
        <v>5</v>
      </c>
      <c r="AC22" s="660">
        <v>5</v>
      </c>
      <c r="AD22" s="660">
        <v>5</v>
      </c>
      <c r="AE22" s="660">
        <v>5</v>
      </c>
    </row>
    <row r="23" spans="1:31" s="660" customFormat="1">
      <c r="A23" s="664">
        <v>11</v>
      </c>
      <c r="B23" s="664">
        <v>2</v>
      </c>
      <c r="C23" s="664" t="s">
        <v>835</v>
      </c>
      <c r="D23" s="664">
        <f t="shared" si="6"/>
        <v>156</v>
      </c>
      <c r="E23" s="668">
        <f t="shared" si="1"/>
        <v>0.74641148325358853</v>
      </c>
      <c r="F23" s="665">
        <f>SUM(G23:H23)</f>
        <v>10</v>
      </c>
      <c r="G23" s="665">
        <v>6</v>
      </c>
      <c r="H23" s="665">
        <v>4</v>
      </c>
      <c r="I23" s="665">
        <f t="shared" si="2"/>
        <v>80</v>
      </c>
      <c r="J23" s="665">
        <v>70</v>
      </c>
      <c r="K23" s="665">
        <v>10</v>
      </c>
      <c r="L23" s="664">
        <f t="shared" si="3"/>
        <v>26</v>
      </c>
      <c r="M23" s="665">
        <v>5</v>
      </c>
      <c r="N23" s="665">
        <v>5</v>
      </c>
      <c r="O23" s="665">
        <v>5</v>
      </c>
      <c r="P23" s="665">
        <v>5</v>
      </c>
      <c r="Q23" s="665">
        <v>3</v>
      </c>
      <c r="R23" s="665">
        <v>3</v>
      </c>
      <c r="S23" s="665">
        <v>0</v>
      </c>
      <c r="T23" s="665">
        <v>0</v>
      </c>
      <c r="U23" s="664">
        <f t="shared" si="4"/>
        <v>15</v>
      </c>
      <c r="V23" s="665">
        <v>5</v>
      </c>
      <c r="W23" s="665">
        <v>5</v>
      </c>
      <c r="X23" s="665">
        <v>5</v>
      </c>
      <c r="Y23" s="665">
        <v>5</v>
      </c>
      <c r="Z23" s="665" t="s">
        <v>909</v>
      </c>
      <c r="AA23" s="664">
        <f t="shared" si="5"/>
        <v>20</v>
      </c>
      <c r="AB23" s="665">
        <v>5</v>
      </c>
      <c r="AC23" s="665">
        <v>5</v>
      </c>
      <c r="AD23" s="665">
        <v>5</v>
      </c>
      <c r="AE23" s="665">
        <v>5</v>
      </c>
    </row>
    <row r="24" spans="1:31" s="660" customFormat="1" ht="10.5">
      <c r="A24" s="660">
        <v>12</v>
      </c>
      <c r="B24" s="660">
        <v>1</v>
      </c>
      <c r="C24" s="660" t="s">
        <v>836</v>
      </c>
      <c r="D24" s="660">
        <f t="shared" si="6"/>
        <v>197</v>
      </c>
      <c r="E24" s="667">
        <f t="shared" si="1"/>
        <v>0.9425837320574163</v>
      </c>
      <c r="F24" s="660">
        <v>12</v>
      </c>
      <c r="G24" s="660">
        <v>6</v>
      </c>
      <c r="H24" s="660">
        <v>6</v>
      </c>
      <c r="I24" s="660">
        <f t="shared" si="2"/>
        <v>85</v>
      </c>
      <c r="J24" s="660">
        <v>65</v>
      </c>
      <c r="K24" s="660">
        <v>20</v>
      </c>
      <c r="L24" s="660">
        <f t="shared" si="3"/>
        <v>32</v>
      </c>
      <c r="M24" s="660">
        <v>5</v>
      </c>
      <c r="N24" s="660">
        <v>5</v>
      </c>
      <c r="O24" s="660">
        <v>5</v>
      </c>
      <c r="P24" s="660">
        <v>5</v>
      </c>
      <c r="Q24" s="660">
        <v>3</v>
      </c>
      <c r="R24" s="660">
        <v>3</v>
      </c>
      <c r="S24" s="660">
        <v>3</v>
      </c>
      <c r="T24" s="660">
        <v>3</v>
      </c>
      <c r="U24" s="660">
        <f t="shared" si="4"/>
        <v>43</v>
      </c>
      <c r="V24" s="660">
        <v>18</v>
      </c>
      <c r="W24" s="660">
        <v>20</v>
      </c>
      <c r="X24" s="660">
        <v>5</v>
      </c>
      <c r="Y24" s="660">
        <v>5</v>
      </c>
      <c r="Z24" s="660" t="s">
        <v>902</v>
      </c>
      <c r="AA24" s="660">
        <f t="shared" si="5"/>
        <v>20</v>
      </c>
      <c r="AB24" s="660">
        <v>5</v>
      </c>
      <c r="AC24" s="660">
        <v>5</v>
      </c>
      <c r="AD24" s="660">
        <v>5</v>
      </c>
      <c r="AE24" s="660">
        <v>5</v>
      </c>
    </row>
    <row r="25" spans="1:31" s="660" customFormat="1">
      <c r="A25" s="664">
        <v>12</v>
      </c>
      <c r="B25" s="664">
        <v>2</v>
      </c>
      <c r="C25" s="664" t="s">
        <v>836</v>
      </c>
      <c r="D25" s="664">
        <f t="shared" si="6"/>
        <v>209</v>
      </c>
      <c r="E25" s="668">
        <f t="shared" si="1"/>
        <v>1</v>
      </c>
      <c r="F25" s="665">
        <f>SUM(G25:H25)</f>
        <v>12</v>
      </c>
      <c r="G25" s="665">
        <v>6</v>
      </c>
      <c r="H25" s="665">
        <v>6</v>
      </c>
      <c r="I25" s="665">
        <f t="shared" si="2"/>
        <v>90</v>
      </c>
      <c r="J25" s="665">
        <v>70</v>
      </c>
      <c r="K25" s="665">
        <v>20</v>
      </c>
      <c r="L25" s="664">
        <f t="shared" si="3"/>
        <v>32</v>
      </c>
      <c r="M25" s="665">
        <v>5</v>
      </c>
      <c r="N25" s="665">
        <v>5</v>
      </c>
      <c r="O25" s="665">
        <v>5</v>
      </c>
      <c r="P25" s="665">
        <v>5</v>
      </c>
      <c r="Q25" s="665">
        <v>3</v>
      </c>
      <c r="R25" s="665">
        <v>3</v>
      </c>
      <c r="S25" s="665">
        <v>3</v>
      </c>
      <c r="T25" s="665">
        <v>3</v>
      </c>
      <c r="U25" s="664">
        <f t="shared" si="4"/>
        <v>50</v>
      </c>
      <c r="V25" s="665">
        <v>20</v>
      </c>
      <c r="W25" s="665">
        <v>20</v>
      </c>
      <c r="X25" s="665">
        <v>10</v>
      </c>
      <c r="Y25" s="665">
        <v>5</v>
      </c>
      <c r="Z25" s="665" t="s">
        <v>909</v>
      </c>
      <c r="AA25" s="664">
        <f t="shared" si="5"/>
        <v>20</v>
      </c>
      <c r="AB25" s="665">
        <v>5</v>
      </c>
      <c r="AC25" s="665">
        <v>5</v>
      </c>
      <c r="AD25" s="665">
        <v>5</v>
      </c>
      <c r="AE25" s="665">
        <v>5</v>
      </c>
    </row>
    <row r="26" spans="1:31" s="660" customFormat="1" ht="10.5">
      <c r="A26" s="660">
        <v>13</v>
      </c>
      <c r="B26" s="660">
        <v>1</v>
      </c>
      <c r="C26" s="660" t="s">
        <v>837</v>
      </c>
      <c r="D26" s="660">
        <f t="shared" si="6"/>
        <v>149</v>
      </c>
      <c r="E26" s="667">
        <f t="shared" si="1"/>
        <v>0.71291866028708128</v>
      </c>
      <c r="F26" s="660">
        <v>12</v>
      </c>
      <c r="G26" s="660">
        <v>6</v>
      </c>
      <c r="H26" s="660">
        <v>6</v>
      </c>
      <c r="I26" s="660">
        <f t="shared" si="2"/>
        <v>80</v>
      </c>
      <c r="J26" s="660">
        <v>60</v>
      </c>
      <c r="K26" s="660">
        <v>20</v>
      </c>
      <c r="L26" s="660">
        <f t="shared" si="3"/>
        <v>32</v>
      </c>
      <c r="M26" s="660">
        <v>5</v>
      </c>
      <c r="N26" s="660">
        <v>5</v>
      </c>
      <c r="O26" s="660">
        <v>5</v>
      </c>
      <c r="P26" s="660">
        <v>5</v>
      </c>
      <c r="Q26" s="660">
        <v>3</v>
      </c>
      <c r="R26" s="660">
        <v>3</v>
      </c>
      <c r="S26" s="660">
        <v>3</v>
      </c>
      <c r="T26" s="660">
        <v>3</v>
      </c>
      <c r="U26" s="660">
        <f t="shared" si="4"/>
        <v>0</v>
      </c>
      <c r="V26" s="660">
        <v>0</v>
      </c>
      <c r="W26" s="660">
        <v>0</v>
      </c>
      <c r="X26" s="660">
        <v>0</v>
      </c>
      <c r="Y26" s="660">
        <v>5</v>
      </c>
      <c r="Z26" s="660" t="s">
        <v>902</v>
      </c>
      <c r="AA26" s="660">
        <f t="shared" si="5"/>
        <v>20</v>
      </c>
      <c r="AB26" s="660">
        <v>5</v>
      </c>
      <c r="AC26" s="660">
        <v>5</v>
      </c>
      <c r="AD26" s="660">
        <v>5</v>
      </c>
      <c r="AE26" s="660">
        <v>5</v>
      </c>
    </row>
    <row r="27" spans="1:31" s="660" customFormat="1">
      <c r="A27" s="664">
        <v>13</v>
      </c>
      <c r="B27" s="664">
        <v>2</v>
      </c>
      <c r="C27" s="664" t="s">
        <v>837</v>
      </c>
      <c r="D27" s="664">
        <v>209</v>
      </c>
      <c r="E27" s="668">
        <f t="shared" si="1"/>
        <v>1</v>
      </c>
      <c r="F27" s="665">
        <f>SUM(G27:H27)</f>
        <v>0</v>
      </c>
      <c r="G27" s="665"/>
      <c r="H27" s="665"/>
      <c r="I27" s="665"/>
      <c r="J27" s="665"/>
      <c r="K27" s="665"/>
      <c r="L27" s="664">
        <f t="shared" si="3"/>
        <v>0</v>
      </c>
      <c r="M27" s="665"/>
      <c r="N27" s="665"/>
      <c r="O27" s="665"/>
      <c r="P27" s="665"/>
      <c r="Q27" s="665"/>
      <c r="R27" s="665"/>
      <c r="S27" s="665"/>
      <c r="T27" s="665"/>
      <c r="U27" s="664">
        <f t="shared" si="4"/>
        <v>0</v>
      </c>
      <c r="V27" s="665"/>
      <c r="W27" s="665"/>
      <c r="X27" s="665"/>
      <c r="Y27" s="665"/>
      <c r="Z27" s="665"/>
      <c r="AA27" s="664">
        <f t="shared" si="5"/>
        <v>0</v>
      </c>
      <c r="AB27" s="665"/>
      <c r="AC27" s="665"/>
      <c r="AD27" s="665"/>
      <c r="AE27" s="665"/>
    </row>
    <row r="28" spans="1:31" s="660" customFormat="1" ht="10.5">
      <c r="A28" s="660">
        <v>15</v>
      </c>
      <c r="B28" s="660">
        <v>1</v>
      </c>
      <c r="C28" s="660" t="s">
        <v>838</v>
      </c>
      <c r="D28" s="660">
        <f>SUM(F28,L28,I28,U28,Y28,AA28)</f>
        <v>199</v>
      </c>
      <c r="E28" s="667">
        <f t="shared" si="1"/>
        <v>0.95215311004784686</v>
      </c>
      <c r="F28" s="660">
        <v>12</v>
      </c>
      <c r="G28" s="660">
        <v>6</v>
      </c>
      <c r="H28" s="660">
        <v>6</v>
      </c>
      <c r="I28" s="660">
        <f t="shared" ref="I28:I59" si="7">SUM(J28:K28)</f>
        <v>80</v>
      </c>
      <c r="J28" s="660">
        <v>60</v>
      </c>
      <c r="K28" s="660">
        <v>20</v>
      </c>
      <c r="L28" s="660">
        <f t="shared" si="3"/>
        <v>32</v>
      </c>
      <c r="M28" s="660">
        <v>5</v>
      </c>
      <c r="N28" s="660">
        <v>5</v>
      </c>
      <c r="O28" s="660">
        <v>5</v>
      </c>
      <c r="P28" s="660">
        <v>5</v>
      </c>
      <c r="Q28" s="660">
        <v>3</v>
      </c>
      <c r="R28" s="660">
        <v>3</v>
      </c>
      <c r="S28" s="660">
        <v>3</v>
      </c>
      <c r="T28" s="660">
        <v>3</v>
      </c>
      <c r="U28" s="660">
        <f t="shared" si="4"/>
        <v>50</v>
      </c>
      <c r="V28" s="660">
        <v>20</v>
      </c>
      <c r="W28" s="660">
        <v>20</v>
      </c>
      <c r="X28" s="660">
        <v>10</v>
      </c>
      <c r="Y28" s="660">
        <v>5</v>
      </c>
      <c r="Z28" s="660" t="s">
        <v>902</v>
      </c>
      <c r="AA28" s="660">
        <f t="shared" si="5"/>
        <v>20</v>
      </c>
      <c r="AB28" s="660">
        <v>5</v>
      </c>
      <c r="AC28" s="660">
        <v>5</v>
      </c>
      <c r="AD28" s="660">
        <v>5</v>
      </c>
      <c r="AE28" s="660">
        <v>5</v>
      </c>
    </row>
    <row r="29" spans="1:31" s="660" customFormat="1">
      <c r="A29" s="664">
        <v>15</v>
      </c>
      <c r="B29" s="664">
        <v>2</v>
      </c>
      <c r="C29" s="664" t="s">
        <v>838</v>
      </c>
      <c r="D29" s="664">
        <v>207</v>
      </c>
      <c r="E29" s="668">
        <f t="shared" si="1"/>
        <v>0.99043062200956933</v>
      </c>
      <c r="F29" s="665">
        <f>SUM(G29:H29)</f>
        <v>0</v>
      </c>
      <c r="G29" s="665"/>
      <c r="H29" s="665"/>
      <c r="I29" s="665">
        <f t="shared" si="7"/>
        <v>0</v>
      </c>
      <c r="J29" s="665"/>
      <c r="K29" s="665"/>
      <c r="L29" s="664">
        <f t="shared" si="3"/>
        <v>0</v>
      </c>
      <c r="M29" s="665"/>
      <c r="N29" s="665"/>
      <c r="O29" s="665"/>
      <c r="P29" s="665"/>
      <c r="Q29" s="665"/>
      <c r="R29" s="665"/>
      <c r="S29" s="665"/>
      <c r="T29" s="665"/>
      <c r="U29" s="664">
        <f t="shared" si="4"/>
        <v>0</v>
      </c>
      <c r="V29" s="665"/>
      <c r="W29" s="665"/>
      <c r="X29" s="665"/>
      <c r="Y29" s="665"/>
      <c r="Z29" s="665"/>
      <c r="AA29" s="664">
        <f t="shared" si="5"/>
        <v>0</v>
      </c>
      <c r="AB29" s="665"/>
      <c r="AC29" s="665"/>
      <c r="AD29" s="665"/>
      <c r="AE29" s="665"/>
    </row>
    <row r="30" spans="1:31" s="660" customFormat="1">
      <c r="A30" s="660">
        <v>16</v>
      </c>
      <c r="B30" s="660">
        <v>1</v>
      </c>
      <c r="C30" s="660" t="s">
        <v>839</v>
      </c>
      <c r="D30" s="660">
        <f>SUM(F30,L30,I30,U30,Y30,AA30)</f>
        <v>202</v>
      </c>
      <c r="E30" s="667">
        <f t="shared" si="1"/>
        <v>0.96650717703349287</v>
      </c>
      <c r="F30" s="660">
        <v>12</v>
      </c>
      <c r="G30" s="660">
        <v>6</v>
      </c>
      <c r="H30" s="660">
        <v>6</v>
      </c>
      <c r="I30" s="662">
        <f t="shared" si="7"/>
        <v>88</v>
      </c>
      <c r="J30" s="660">
        <v>68</v>
      </c>
      <c r="K30" s="660">
        <v>20</v>
      </c>
      <c r="L30" s="660">
        <f t="shared" si="3"/>
        <v>32</v>
      </c>
      <c r="M30" s="660">
        <v>5</v>
      </c>
      <c r="N30" s="660">
        <v>5</v>
      </c>
      <c r="O30" s="660">
        <v>5</v>
      </c>
      <c r="P30" s="660">
        <v>5</v>
      </c>
      <c r="Q30" s="660">
        <v>3</v>
      </c>
      <c r="R30" s="660">
        <v>3</v>
      </c>
      <c r="S30" s="660">
        <v>3</v>
      </c>
      <c r="T30" s="660">
        <v>3</v>
      </c>
      <c r="U30" s="660">
        <f t="shared" si="4"/>
        <v>50</v>
      </c>
      <c r="V30" s="660">
        <v>20</v>
      </c>
      <c r="W30" s="660">
        <v>20</v>
      </c>
      <c r="X30" s="660">
        <v>10</v>
      </c>
      <c r="Y30" s="660">
        <v>5</v>
      </c>
      <c r="Z30" s="660" t="s">
        <v>902</v>
      </c>
      <c r="AA30" s="660">
        <f t="shared" si="5"/>
        <v>15</v>
      </c>
      <c r="AB30" s="660">
        <v>5</v>
      </c>
      <c r="AC30" s="660">
        <v>5</v>
      </c>
      <c r="AD30" s="660">
        <v>0</v>
      </c>
      <c r="AE30" s="660">
        <v>5</v>
      </c>
    </row>
    <row r="31" spans="1:31" s="660" customFormat="1">
      <c r="A31" s="664">
        <v>16</v>
      </c>
      <c r="B31" s="664">
        <v>2</v>
      </c>
      <c r="C31" s="664" t="s">
        <v>839</v>
      </c>
      <c r="D31" s="664">
        <f>SUM(F31,L31,I31,U31,Y31,AA31)</f>
        <v>207</v>
      </c>
      <c r="E31" s="668">
        <f t="shared" si="1"/>
        <v>0.99043062200956933</v>
      </c>
      <c r="F31" s="665">
        <f>SUM(G31:H31)</f>
        <v>10</v>
      </c>
      <c r="G31" s="665">
        <v>6</v>
      </c>
      <c r="H31" s="665">
        <v>4</v>
      </c>
      <c r="I31" s="665">
        <f t="shared" si="7"/>
        <v>90</v>
      </c>
      <c r="J31" s="665">
        <v>70</v>
      </c>
      <c r="K31" s="665">
        <v>20</v>
      </c>
      <c r="L31" s="664">
        <f t="shared" si="3"/>
        <v>32</v>
      </c>
      <c r="M31" s="665">
        <v>5</v>
      </c>
      <c r="N31" s="665">
        <v>5</v>
      </c>
      <c r="O31" s="665">
        <v>5</v>
      </c>
      <c r="P31" s="665">
        <v>5</v>
      </c>
      <c r="Q31" s="665">
        <v>3</v>
      </c>
      <c r="R31" s="665">
        <v>3</v>
      </c>
      <c r="S31" s="665">
        <v>3</v>
      </c>
      <c r="T31" s="665">
        <v>3</v>
      </c>
      <c r="U31" s="664">
        <f t="shared" si="4"/>
        <v>50</v>
      </c>
      <c r="V31" s="665">
        <v>20</v>
      </c>
      <c r="W31" s="665">
        <v>20</v>
      </c>
      <c r="X31" s="665">
        <v>10</v>
      </c>
      <c r="Y31" s="665">
        <v>5</v>
      </c>
      <c r="Z31" s="665" t="s">
        <v>909</v>
      </c>
      <c r="AA31" s="664">
        <f t="shared" si="5"/>
        <v>20</v>
      </c>
      <c r="AB31" s="665">
        <v>5</v>
      </c>
      <c r="AC31" s="665">
        <v>5</v>
      </c>
      <c r="AD31" s="665">
        <v>5</v>
      </c>
      <c r="AE31" s="665">
        <v>5</v>
      </c>
    </row>
    <row r="32" spans="1:31" s="660" customFormat="1" ht="10.5">
      <c r="A32" s="660">
        <v>17</v>
      </c>
      <c r="B32" s="660">
        <v>1</v>
      </c>
      <c r="C32" s="660" t="s">
        <v>840</v>
      </c>
      <c r="D32" s="660">
        <f>SUM(F32,L32,I32,U32,Y32,AA32)</f>
        <v>144</v>
      </c>
      <c r="E32" s="667">
        <f t="shared" si="1"/>
        <v>0.68899521531100483</v>
      </c>
      <c r="F32" s="660">
        <v>12</v>
      </c>
      <c r="G32" s="660">
        <v>6</v>
      </c>
      <c r="H32" s="660">
        <v>6</v>
      </c>
      <c r="I32" s="660">
        <f t="shared" si="7"/>
        <v>45</v>
      </c>
      <c r="J32" s="660">
        <v>45</v>
      </c>
      <c r="K32" s="660">
        <v>0</v>
      </c>
      <c r="L32" s="660">
        <f t="shared" si="3"/>
        <v>32</v>
      </c>
      <c r="M32" s="660">
        <v>5</v>
      </c>
      <c r="N32" s="660">
        <v>5</v>
      </c>
      <c r="O32" s="660">
        <v>5</v>
      </c>
      <c r="P32" s="660">
        <v>5</v>
      </c>
      <c r="Q32" s="660">
        <v>3</v>
      </c>
      <c r="R32" s="660">
        <v>3</v>
      </c>
      <c r="S32" s="660">
        <v>3</v>
      </c>
      <c r="T32" s="660">
        <v>3</v>
      </c>
      <c r="U32" s="660">
        <f t="shared" si="4"/>
        <v>30</v>
      </c>
      <c r="V32" s="660">
        <v>10</v>
      </c>
      <c r="W32" s="660">
        <v>15</v>
      </c>
      <c r="X32" s="660">
        <v>5</v>
      </c>
      <c r="Y32" s="660">
        <v>5</v>
      </c>
      <c r="Z32" s="660" t="s">
        <v>905</v>
      </c>
      <c r="AA32" s="660">
        <f t="shared" si="5"/>
        <v>20</v>
      </c>
      <c r="AB32" s="660">
        <v>5</v>
      </c>
      <c r="AC32" s="660">
        <v>5</v>
      </c>
      <c r="AD32" s="660">
        <v>5</v>
      </c>
      <c r="AE32" s="660">
        <v>5</v>
      </c>
    </row>
    <row r="33" spans="1:31" s="660" customFormat="1">
      <c r="A33" s="664">
        <v>17</v>
      </c>
      <c r="B33" s="664">
        <v>2</v>
      </c>
      <c r="C33" s="664" t="s">
        <v>840</v>
      </c>
      <c r="D33" s="664">
        <f>SUM(F33,L33,I33,U33,Y33,AA33)</f>
        <v>179</v>
      </c>
      <c r="E33" s="668">
        <f t="shared" si="1"/>
        <v>0.8564593301435407</v>
      </c>
      <c r="F33" s="665">
        <f>SUM(G33:H33)</f>
        <v>12</v>
      </c>
      <c r="G33" s="665">
        <v>6</v>
      </c>
      <c r="H33" s="665">
        <v>6</v>
      </c>
      <c r="I33" s="665">
        <f t="shared" si="7"/>
        <v>75</v>
      </c>
      <c r="J33" s="665">
        <v>60</v>
      </c>
      <c r="K33" s="665">
        <v>15</v>
      </c>
      <c r="L33" s="664">
        <f t="shared" si="3"/>
        <v>32</v>
      </c>
      <c r="M33" s="665">
        <v>5</v>
      </c>
      <c r="N33" s="665">
        <v>5</v>
      </c>
      <c r="O33" s="665">
        <v>5</v>
      </c>
      <c r="P33" s="665">
        <v>5</v>
      </c>
      <c r="Q33" s="665">
        <v>3</v>
      </c>
      <c r="R33" s="665">
        <v>3</v>
      </c>
      <c r="S33" s="665">
        <v>3</v>
      </c>
      <c r="T33" s="665">
        <v>3</v>
      </c>
      <c r="U33" s="664">
        <f t="shared" si="4"/>
        <v>35</v>
      </c>
      <c r="V33" s="665">
        <v>15</v>
      </c>
      <c r="W33" s="665">
        <v>10</v>
      </c>
      <c r="X33" s="665">
        <v>10</v>
      </c>
      <c r="Y33" s="665">
        <v>5</v>
      </c>
      <c r="Z33" s="665" t="s">
        <v>909</v>
      </c>
      <c r="AA33" s="664">
        <f t="shared" si="5"/>
        <v>20</v>
      </c>
      <c r="AB33" s="665">
        <v>5</v>
      </c>
      <c r="AC33" s="665">
        <v>5</v>
      </c>
      <c r="AD33" s="665">
        <v>5</v>
      </c>
      <c r="AE33" s="665">
        <v>5</v>
      </c>
    </row>
    <row r="34" spans="1:31" s="660" customFormat="1" ht="10.5">
      <c r="A34" s="660">
        <v>18</v>
      </c>
      <c r="B34" s="660">
        <v>1</v>
      </c>
      <c r="C34" s="660" t="s">
        <v>841</v>
      </c>
      <c r="D34" s="660">
        <f>SUM(F34,L34,I34,U34,Y34,AA34)</f>
        <v>194</v>
      </c>
      <c r="E34" s="667">
        <f t="shared" ref="E34:E65" si="8">D34/209</f>
        <v>0.92822966507177029</v>
      </c>
      <c r="F34" s="660">
        <v>12</v>
      </c>
      <c r="G34" s="660">
        <v>6</v>
      </c>
      <c r="H34" s="660">
        <v>6</v>
      </c>
      <c r="I34" s="660">
        <f t="shared" si="7"/>
        <v>80</v>
      </c>
      <c r="J34" s="660">
        <v>60</v>
      </c>
      <c r="K34" s="660">
        <v>20</v>
      </c>
      <c r="L34" s="660">
        <f t="shared" ref="L34:L65" si="9">SUM(M34:T34)</f>
        <v>32</v>
      </c>
      <c r="M34" s="660">
        <v>5</v>
      </c>
      <c r="N34" s="660">
        <v>5</v>
      </c>
      <c r="O34" s="660">
        <v>5</v>
      </c>
      <c r="P34" s="660">
        <v>5</v>
      </c>
      <c r="Q34" s="660">
        <v>3</v>
      </c>
      <c r="R34" s="660">
        <v>3</v>
      </c>
      <c r="S34" s="660">
        <v>3</v>
      </c>
      <c r="T34" s="660">
        <v>3</v>
      </c>
      <c r="U34" s="660">
        <f t="shared" ref="U34:U65" si="10">SUM(V34:X34)</f>
        <v>50</v>
      </c>
      <c r="V34" s="660">
        <v>20</v>
      </c>
      <c r="W34" s="660">
        <v>20</v>
      </c>
      <c r="X34" s="660">
        <v>10</v>
      </c>
      <c r="Y34" s="660">
        <v>0</v>
      </c>
      <c r="Z34" s="660" t="s">
        <v>903</v>
      </c>
      <c r="AA34" s="660">
        <f t="shared" ref="AA34:AA65" si="11">SUM(AB34:AE34)</f>
        <v>20</v>
      </c>
      <c r="AB34" s="660">
        <v>5</v>
      </c>
      <c r="AC34" s="660">
        <v>5</v>
      </c>
      <c r="AD34" s="660">
        <v>5</v>
      </c>
      <c r="AE34" s="660">
        <v>5</v>
      </c>
    </row>
    <row r="35" spans="1:31" s="660" customFormat="1">
      <c r="A35" s="664">
        <v>18</v>
      </c>
      <c r="B35" s="664">
        <v>2</v>
      </c>
      <c r="C35" s="664" t="s">
        <v>841</v>
      </c>
      <c r="D35" s="664">
        <v>202</v>
      </c>
      <c r="E35" s="668">
        <f t="shared" si="8"/>
        <v>0.96650717703349287</v>
      </c>
      <c r="F35" s="665">
        <f>SUM(G35:H35)</f>
        <v>0</v>
      </c>
      <c r="G35" s="665"/>
      <c r="H35" s="665"/>
      <c r="I35" s="665">
        <f t="shared" si="7"/>
        <v>0</v>
      </c>
      <c r="J35" s="665"/>
      <c r="K35" s="665"/>
      <c r="L35" s="664">
        <f t="shared" si="9"/>
        <v>0</v>
      </c>
      <c r="M35" s="665"/>
      <c r="N35" s="665"/>
      <c r="O35" s="665"/>
      <c r="P35" s="665"/>
      <c r="Q35" s="665"/>
      <c r="R35" s="665"/>
      <c r="S35" s="665"/>
      <c r="T35" s="665"/>
      <c r="U35" s="664">
        <f t="shared" si="10"/>
        <v>0</v>
      </c>
      <c r="V35" s="665"/>
      <c r="W35" s="665"/>
      <c r="X35" s="665"/>
      <c r="Y35" s="665"/>
      <c r="Z35" s="665"/>
      <c r="AA35" s="664">
        <f t="shared" si="11"/>
        <v>0</v>
      </c>
      <c r="AB35" s="665"/>
      <c r="AC35" s="665"/>
      <c r="AD35" s="665"/>
      <c r="AE35" s="665"/>
    </row>
    <row r="36" spans="1:31" s="660" customFormat="1" ht="10.5">
      <c r="A36" s="660">
        <v>19</v>
      </c>
      <c r="B36" s="660">
        <v>1</v>
      </c>
      <c r="C36" s="660" t="s">
        <v>842</v>
      </c>
      <c r="D36" s="660">
        <f>SUM(F36,L36,I36,U36,Y36,AA36)</f>
        <v>192</v>
      </c>
      <c r="E36" s="667">
        <f t="shared" si="8"/>
        <v>0.91866028708133973</v>
      </c>
      <c r="F36" s="660">
        <v>12</v>
      </c>
      <c r="G36" s="660">
        <v>6</v>
      </c>
      <c r="H36" s="660">
        <v>6</v>
      </c>
      <c r="I36" s="660">
        <f t="shared" si="7"/>
        <v>75</v>
      </c>
      <c r="J36" s="660">
        <v>55</v>
      </c>
      <c r="K36" s="660">
        <v>20</v>
      </c>
      <c r="L36" s="660">
        <f t="shared" si="9"/>
        <v>32</v>
      </c>
      <c r="M36" s="660">
        <v>5</v>
      </c>
      <c r="N36" s="660">
        <v>5</v>
      </c>
      <c r="O36" s="660">
        <v>5</v>
      </c>
      <c r="P36" s="660">
        <v>5</v>
      </c>
      <c r="Q36" s="660">
        <v>3</v>
      </c>
      <c r="R36" s="660">
        <v>3</v>
      </c>
      <c r="S36" s="660">
        <v>3</v>
      </c>
      <c r="T36" s="660">
        <v>3</v>
      </c>
      <c r="U36" s="660">
        <f t="shared" si="10"/>
        <v>48</v>
      </c>
      <c r="V36" s="660">
        <v>20</v>
      </c>
      <c r="W36" s="660">
        <v>18</v>
      </c>
      <c r="X36" s="660">
        <v>10</v>
      </c>
      <c r="Y36" s="660">
        <v>5</v>
      </c>
      <c r="Z36" s="660" t="s">
        <v>902</v>
      </c>
      <c r="AA36" s="660">
        <f t="shared" si="11"/>
        <v>20</v>
      </c>
      <c r="AB36" s="660">
        <v>5</v>
      </c>
      <c r="AC36" s="660">
        <v>5</v>
      </c>
      <c r="AD36" s="660">
        <v>5</v>
      </c>
      <c r="AE36" s="660">
        <v>5</v>
      </c>
    </row>
    <row r="37" spans="1:31" s="660" customFormat="1">
      <c r="A37" s="664">
        <v>19</v>
      </c>
      <c r="B37" s="664">
        <v>2</v>
      </c>
      <c r="C37" s="664" t="s">
        <v>842</v>
      </c>
      <c r="D37" s="664">
        <v>199</v>
      </c>
      <c r="E37" s="668">
        <f t="shared" si="8"/>
        <v>0.95215311004784686</v>
      </c>
      <c r="F37" s="665">
        <f>SUM(G37:H37)</f>
        <v>0</v>
      </c>
      <c r="G37" s="665"/>
      <c r="H37" s="665"/>
      <c r="I37" s="665">
        <f t="shared" si="7"/>
        <v>0</v>
      </c>
      <c r="J37" s="665"/>
      <c r="K37" s="665"/>
      <c r="L37" s="664">
        <f t="shared" si="9"/>
        <v>0</v>
      </c>
      <c r="M37" s="665"/>
      <c r="N37" s="665"/>
      <c r="O37" s="665"/>
      <c r="P37" s="665"/>
      <c r="Q37" s="665"/>
      <c r="R37" s="665"/>
      <c r="S37" s="665"/>
      <c r="T37" s="665"/>
      <c r="U37" s="664">
        <f t="shared" si="10"/>
        <v>0</v>
      </c>
      <c r="V37" s="665"/>
      <c r="W37" s="665"/>
      <c r="X37" s="665"/>
      <c r="Y37" s="665"/>
      <c r="Z37" s="665"/>
      <c r="AA37" s="664">
        <f t="shared" si="11"/>
        <v>0</v>
      </c>
      <c r="AB37" s="665"/>
      <c r="AC37" s="665"/>
      <c r="AD37" s="665"/>
      <c r="AE37" s="665"/>
    </row>
    <row r="38" spans="1:31" s="660" customFormat="1" ht="10.5">
      <c r="A38" s="660">
        <v>22</v>
      </c>
      <c r="B38" s="660">
        <v>1</v>
      </c>
      <c r="C38" s="660" t="s">
        <v>843</v>
      </c>
      <c r="D38" s="660">
        <f t="shared" ref="D38:D44" si="12">SUM(F38,L38,I38,U38,Y38,AA38)</f>
        <v>197</v>
      </c>
      <c r="E38" s="667">
        <f t="shared" si="8"/>
        <v>0.9425837320574163</v>
      </c>
      <c r="F38" s="660">
        <v>12</v>
      </c>
      <c r="G38" s="660">
        <v>6</v>
      </c>
      <c r="H38" s="660">
        <v>6</v>
      </c>
      <c r="I38" s="660">
        <f t="shared" si="7"/>
        <v>85</v>
      </c>
      <c r="J38" s="660">
        <v>65</v>
      </c>
      <c r="K38" s="660">
        <v>20</v>
      </c>
      <c r="L38" s="660">
        <f t="shared" si="9"/>
        <v>32</v>
      </c>
      <c r="M38" s="660">
        <v>5</v>
      </c>
      <c r="N38" s="660">
        <v>5</v>
      </c>
      <c r="O38" s="660">
        <v>5</v>
      </c>
      <c r="P38" s="660">
        <v>5</v>
      </c>
      <c r="Q38" s="660">
        <v>3</v>
      </c>
      <c r="R38" s="660">
        <v>3</v>
      </c>
      <c r="S38" s="660">
        <v>3</v>
      </c>
      <c r="T38" s="660">
        <v>3</v>
      </c>
      <c r="U38" s="660">
        <f t="shared" si="10"/>
        <v>43</v>
      </c>
      <c r="V38" s="660">
        <v>18</v>
      </c>
      <c r="W38" s="660">
        <v>15</v>
      </c>
      <c r="X38" s="660">
        <v>10</v>
      </c>
      <c r="Y38" s="660">
        <v>5</v>
      </c>
      <c r="Z38" s="660" t="s">
        <v>902</v>
      </c>
      <c r="AA38" s="660">
        <f t="shared" si="11"/>
        <v>20</v>
      </c>
      <c r="AB38" s="660">
        <v>5</v>
      </c>
      <c r="AC38" s="660">
        <v>5</v>
      </c>
      <c r="AD38" s="660">
        <v>5</v>
      </c>
      <c r="AE38" s="660">
        <v>5</v>
      </c>
    </row>
    <row r="39" spans="1:31" s="660" customFormat="1">
      <c r="A39" s="664">
        <v>22</v>
      </c>
      <c r="B39" s="664">
        <v>2</v>
      </c>
      <c r="C39" s="664" t="s">
        <v>843</v>
      </c>
      <c r="D39" s="664">
        <f t="shared" si="12"/>
        <v>204</v>
      </c>
      <c r="E39" s="668">
        <f t="shared" si="8"/>
        <v>0.97607655502392343</v>
      </c>
      <c r="F39" s="665">
        <f>SUM(G39:H39)</f>
        <v>12</v>
      </c>
      <c r="G39" s="665">
        <v>6</v>
      </c>
      <c r="H39" s="665">
        <v>6</v>
      </c>
      <c r="I39" s="665">
        <f t="shared" si="7"/>
        <v>85</v>
      </c>
      <c r="J39" s="665">
        <v>70</v>
      </c>
      <c r="K39" s="665">
        <v>15</v>
      </c>
      <c r="L39" s="664">
        <f t="shared" si="9"/>
        <v>32</v>
      </c>
      <c r="M39" s="665">
        <v>5</v>
      </c>
      <c r="N39" s="665">
        <v>5</v>
      </c>
      <c r="O39" s="665">
        <v>5</v>
      </c>
      <c r="P39" s="665">
        <v>5</v>
      </c>
      <c r="Q39" s="665">
        <v>3</v>
      </c>
      <c r="R39" s="665">
        <v>3</v>
      </c>
      <c r="S39" s="665">
        <v>3</v>
      </c>
      <c r="T39" s="665">
        <v>3</v>
      </c>
      <c r="U39" s="664">
        <f t="shared" si="10"/>
        <v>50</v>
      </c>
      <c r="V39" s="665">
        <v>20</v>
      </c>
      <c r="W39" s="665">
        <v>20</v>
      </c>
      <c r="X39" s="665">
        <v>10</v>
      </c>
      <c r="Y39" s="665">
        <v>5</v>
      </c>
      <c r="Z39" s="665" t="s">
        <v>909</v>
      </c>
      <c r="AA39" s="664">
        <f t="shared" si="11"/>
        <v>20</v>
      </c>
      <c r="AB39" s="665">
        <v>5</v>
      </c>
      <c r="AC39" s="665">
        <v>5</v>
      </c>
      <c r="AD39" s="665">
        <v>5</v>
      </c>
      <c r="AE39" s="665">
        <v>5</v>
      </c>
    </row>
    <row r="40" spans="1:31" s="660" customFormat="1" ht="10.5">
      <c r="A40" s="660">
        <v>23</v>
      </c>
      <c r="B40" s="660">
        <v>1</v>
      </c>
      <c r="C40" s="660" t="s">
        <v>844</v>
      </c>
      <c r="D40" s="660">
        <f t="shared" si="12"/>
        <v>172</v>
      </c>
      <c r="E40" s="667">
        <f t="shared" si="8"/>
        <v>0.82296650717703346</v>
      </c>
      <c r="F40" s="660">
        <f>SUM(G40:H40)</f>
        <v>12</v>
      </c>
      <c r="G40" s="660">
        <v>6</v>
      </c>
      <c r="H40" s="660">
        <v>6</v>
      </c>
      <c r="I40" s="660">
        <f t="shared" si="7"/>
        <v>65</v>
      </c>
      <c r="J40" s="660">
        <v>45</v>
      </c>
      <c r="K40" s="660">
        <v>20</v>
      </c>
      <c r="L40" s="660">
        <f t="shared" si="9"/>
        <v>32</v>
      </c>
      <c r="M40" s="660">
        <v>5</v>
      </c>
      <c r="N40" s="660">
        <v>5</v>
      </c>
      <c r="O40" s="660">
        <v>5</v>
      </c>
      <c r="P40" s="660">
        <v>5</v>
      </c>
      <c r="Q40" s="660">
        <v>3</v>
      </c>
      <c r="R40" s="660">
        <v>3</v>
      </c>
      <c r="S40" s="660">
        <v>3</v>
      </c>
      <c r="T40" s="660">
        <v>3</v>
      </c>
      <c r="U40" s="660">
        <f t="shared" si="10"/>
        <v>48</v>
      </c>
      <c r="V40" s="660">
        <v>20</v>
      </c>
      <c r="W40" s="660">
        <v>18</v>
      </c>
      <c r="X40" s="660">
        <v>10</v>
      </c>
      <c r="Y40" s="660">
        <v>0</v>
      </c>
      <c r="Z40" s="660" t="s">
        <v>902</v>
      </c>
      <c r="AA40" s="660">
        <f t="shared" si="11"/>
        <v>15</v>
      </c>
      <c r="AB40" s="660">
        <v>5</v>
      </c>
      <c r="AC40" s="660">
        <v>5</v>
      </c>
      <c r="AD40" s="660">
        <v>0</v>
      </c>
      <c r="AE40" s="660">
        <v>5</v>
      </c>
    </row>
    <row r="41" spans="1:31" s="660" customFormat="1">
      <c r="A41" s="664">
        <v>23</v>
      </c>
      <c r="B41" s="664">
        <v>2</v>
      </c>
      <c r="C41" s="664" t="s">
        <v>844</v>
      </c>
      <c r="D41" s="664">
        <f t="shared" si="12"/>
        <v>194</v>
      </c>
      <c r="E41" s="668">
        <f t="shared" si="8"/>
        <v>0.92822966507177029</v>
      </c>
      <c r="F41" s="665">
        <f>SUM(G41:H41)</f>
        <v>12</v>
      </c>
      <c r="G41" s="665">
        <v>6</v>
      </c>
      <c r="H41" s="665">
        <v>6</v>
      </c>
      <c r="I41" s="665">
        <f t="shared" si="7"/>
        <v>85</v>
      </c>
      <c r="J41" s="665">
        <v>70</v>
      </c>
      <c r="K41" s="665">
        <v>15</v>
      </c>
      <c r="L41" s="664">
        <f t="shared" si="9"/>
        <v>32</v>
      </c>
      <c r="M41" s="665">
        <v>5</v>
      </c>
      <c r="N41" s="665">
        <v>5</v>
      </c>
      <c r="O41" s="665">
        <v>5</v>
      </c>
      <c r="P41" s="665">
        <v>5</v>
      </c>
      <c r="Q41" s="665">
        <v>3</v>
      </c>
      <c r="R41" s="665">
        <v>3</v>
      </c>
      <c r="S41" s="665">
        <v>3</v>
      </c>
      <c r="T41" s="665">
        <v>3</v>
      </c>
      <c r="U41" s="664">
        <f t="shared" si="10"/>
        <v>40</v>
      </c>
      <c r="V41" s="665">
        <v>20</v>
      </c>
      <c r="W41" s="665">
        <v>10</v>
      </c>
      <c r="X41" s="665">
        <v>10</v>
      </c>
      <c r="Y41" s="665">
        <v>5</v>
      </c>
      <c r="Z41" s="665" t="s">
        <v>909</v>
      </c>
      <c r="AA41" s="664">
        <f t="shared" si="11"/>
        <v>20</v>
      </c>
      <c r="AB41" s="665">
        <v>5</v>
      </c>
      <c r="AC41" s="665">
        <v>5</v>
      </c>
      <c r="AD41" s="665">
        <v>5</v>
      </c>
      <c r="AE41" s="665">
        <v>5</v>
      </c>
    </row>
    <row r="42" spans="1:31" s="660" customFormat="1" ht="10.5">
      <c r="A42" s="660">
        <v>24</v>
      </c>
      <c r="B42" s="660">
        <v>1</v>
      </c>
      <c r="C42" s="660" t="s">
        <v>845</v>
      </c>
      <c r="D42" s="660">
        <f t="shared" si="12"/>
        <v>177</v>
      </c>
      <c r="E42" s="667">
        <f t="shared" si="8"/>
        <v>0.84688995215311003</v>
      </c>
      <c r="F42" s="660">
        <v>12</v>
      </c>
      <c r="G42" s="660">
        <v>6</v>
      </c>
      <c r="H42" s="660">
        <v>6</v>
      </c>
      <c r="I42" s="660">
        <f t="shared" si="7"/>
        <v>80</v>
      </c>
      <c r="J42" s="660">
        <v>60</v>
      </c>
      <c r="K42" s="660">
        <v>20</v>
      </c>
      <c r="L42" s="660">
        <f t="shared" si="9"/>
        <v>32</v>
      </c>
      <c r="M42" s="660">
        <v>5</v>
      </c>
      <c r="N42" s="660">
        <v>5</v>
      </c>
      <c r="O42" s="660">
        <v>5</v>
      </c>
      <c r="P42" s="660">
        <v>5</v>
      </c>
      <c r="Q42" s="660">
        <v>3</v>
      </c>
      <c r="R42" s="660">
        <v>3</v>
      </c>
      <c r="S42" s="660">
        <v>3</v>
      </c>
      <c r="T42" s="660">
        <v>3</v>
      </c>
      <c r="U42" s="660">
        <f t="shared" si="10"/>
        <v>28</v>
      </c>
      <c r="V42" s="660">
        <v>8</v>
      </c>
      <c r="W42" s="660">
        <v>10</v>
      </c>
      <c r="X42" s="660">
        <v>10</v>
      </c>
      <c r="Y42" s="660">
        <v>5</v>
      </c>
      <c r="Z42" s="660" t="s">
        <v>902</v>
      </c>
      <c r="AA42" s="660">
        <f t="shared" si="11"/>
        <v>20</v>
      </c>
      <c r="AB42" s="660">
        <v>5</v>
      </c>
      <c r="AC42" s="660">
        <v>5</v>
      </c>
      <c r="AD42" s="660">
        <v>5</v>
      </c>
      <c r="AE42" s="660">
        <v>5</v>
      </c>
    </row>
    <row r="43" spans="1:31" s="660" customFormat="1">
      <c r="A43" s="664">
        <v>24</v>
      </c>
      <c r="B43" s="664">
        <v>2</v>
      </c>
      <c r="C43" s="664" t="s">
        <v>845</v>
      </c>
      <c r="D43" s="664">
        <f t="shared" si="12"/>
        <v>0</v>
      </c>
      <c r="E43" s="668">
        <f t="shared" si="8"/>
        <v>0</v>
      </c>
      <c r="F43" s="665">
        <f>SUM(G43:H43)</f>
        <v>0</v>
      </c>
      <c r="G43" s="665"/>
      <c r="H43" s="665"/>
      <c r="I43" s="665">
        <f t="shared" si="7"/>
        <v>0</v>
      </c>
      <c r="J43" s="665"/>
      <c r="K43" s="665"/>
      <c r="L43" s="664">
        <f t="shared" si="9"/>
        <v>0</v>
      </c>
      <c r="M43" s="665"/>
      <c r="N43" s="665"/>
      <c r="O43" s="665"/>
      <c r="P43" s="665"/>
      <c r="Q43" s="665"/>
      <c r="R43" s="665"/>
      <c r="S43" s="665"/>
      <c r="T43" s="665"/>
      <c r="U43" s="664">
        <f t="shared" si="10"/>
        <v>0</v>
      </c>
      <c r="V43" s="665"/>
      <c r="W43" s="665"/>
      <c r="X43" s="665"/>
      <c r="Y43" s="665"/>
      <c r="Z43" s="665"/>
      <c r="AA43" s="664">
        <f t="shared" si="11"/>
        <v>0</v>
      </c>
      <c r="AB43" s="665"/>
      <c r="AC43" s="665"/>
      <c r="AD43" s="665"/>
      <c r="AE43" s="665"/>
    </row>
    <row r="44" spans="1:31" s="660" customFormat="1" ht="10.5">
      <c r="A44" s="660">
        <v>27</v>
      </c>
      <c r="B44" s="660">
        <v>1</v>
      </c>
      <c r="C44" s="660" t="s">
        <v>846</v>
      </c>
      <c r="D44" s="666">
        <f t="shared" si="12"/>
        <v>204</v>
      </c>
      <c r="E44" s="667">
        <f t="shared" si="8"/>
        <v>0.97607655502392343</v>
      </c>
      <c r="F44" s="660">
        <v>12</v>
      </c>
      <c r="G44" s="660">
        <v>6</v>
      </c>
      <c r="H44" s="660">
        <v>6</v>
      </c>
      <c r="I44" s="660">
        <f t="shared" si="7"/>
        <v>90</v>
      </c>
      <c r="J44" s="660">
        <v>70</v>
      </c>
      <c r="K44" s="660">
        <v>20</v>
      </c>
      <c r="L44" s="660">
        <f t="shared" si="9"/>
        <v>32</v>
      </c>
      <c r="M44" s="660">
        <v>5</v>
      </c>
      <c r="N44" s="660">
        <v>5</v>
      </c>
      <c r="O44" s="660">
        <v>5</v>
      </c>
      <c r="P44" s="660">
        <v>5</v>
      </c>
      <c r="Q44" s="660">
        <v>3</v>
      </c>
      <c r="R44" s="660">
        <v>3</v>
      </c>
      <c r="S44" s="660">
        <v>3</v>
      </c>
      <c r="T44" s="660">
        <v>3</v>
      </c>
      <c r="U44" s="660">
        <f t="shared" si="10"/>
        <v>50</v>
      </c>
      <c r="V44" s="660">
        <v>20</v>
      </c>
      <c r="W44" s="660">
        <v>20</v>
      </c>
      <c r="X44" s="660">
        <v>10</v>
      </c>
      <c r="Y44" s="660">
        <v>5</v>
      </c>
      <c r="Z44" s="660" t="s">
        <v>902</v>
      </c>
      <c r="AA44" s="660">
        <f t="shared" si="11"/>
        <v>15</v>
      </c>
      <c r="AB44" s="660">
        <v>0</v>
      </c>
      <c r="AC44" s="660">
        <v>5</v>
      </c>
      <c r="AD44" s="660">
        <v>5</v>
      </c>
      <c r="AE44" s="660">
        <v>5</v>
      </c>
    </row>
    <row r="45" spans="1:31" s="660" customFormat="1">
      <c r="A45" s="664">
        <v>27</v>
      </c>
      <c r="B45" s="664">
        <v>2</v>
      </c>
      <c r="C45" s="664" t="s">
        <v>846</v>
      </c>
      <c r="D45" s="664">
        <v>209</v>
      </c>
      <c r="E45" s="668">
        <f t="shared" si="8"/>
        <v>1</v>
      </c>
      <c r="F45" s="665">
        <f>SUM(G45:H45)</f>
        <v>0</v>
      </c>
      <c r="G45" s="665"/>
      <c r="H45" s="665"/>
      <c r="I45" s="665">
        <f t="shared" si="7"/>
        <v>0</v>
      </c>
      <c r="J45" s="665"/>
      <c r="K45" s="665"/>
      <c r="L45" s="664">
        <f t="shared" si="9"/>
        <v>0</v>
      </c>
      <c r="M45" s="665"/>
      <c r="N45" s="665"/>
      <c r="O45" s="665"/>
      <c r="P45" s="665"/>
      <c r="Q45" s="665"/>
      <c r="R45" s="665"/>
      <c r="S45" s="665"/>
      <c r="T45" s="665"/>
      <c r="U45" s="664">
        <f t="shared" si="10"/>
        <v>0</v>
      </c>
      <c r="V45" s="665"/>
      <c r="W45" s="665"/>
      <c r="X45" s="665"/>
      <c r="Y45" s="665"/>
      <c r="Z45" s="665"/>
      <c r="AA45" s="664">
        <f t="shared" si="11"/>
        <v>0</v>
      </c>
      <c r="AB45" s="665"/>
      <c r="AC45" s="665"/>
      <c r="AD45" s="665"/>
      <c r="AE45" s="665"/>
    </row>
    <row r="46" spans="1:31" s="660" customFormat="1" ht="10.5">
      <c r="A46" s="660">
        <v>28</v>
      </c>
      <c r="B46" s="660">
        <v>1</v>
      </c>
      <c r="C46" s="660" t="s">
        <v>847</v>
      </c>
      <c r="D46" s="660">
        <f>SUM(F46,L46,I46,U46,Y46,AA46)</f>
        <v>193</v>
      </c>
      <c r="E46" s="667">
        <f t="shared" si="8"/>
        <v>0.92344497607655507</v>
      </c>
      <c r="F46" s="660">
        <v>12</v>
      </c>
      <c r="G46" s="660">
        <v>6</v>
      </c>
      <c r="H46" s="660">
        <v>6</v>
      </c>
      <c r="I46" s="660">
        <f t="shared" si="7"/>
        <v>80</v>
      </c>
      <c r="J46" s="660">
        <v>60</v>
      </c>
      <c r="K46" s="660">
        <v>20</v>
      </c>
      <c r="L46" s="660">
        <f t="shared" si="9"/>
        <v>32</v>
      </c>
      <c r="M46" s="660">
        <v>5</v>
      </c>
      <c r="N46" s="660">
        <v>5</v>
      </c>
      <c r="O46" s="660">
        <v>5</v>
      </c>
      <c r="P46" s="660">
        <v>5</v>
      </c>
      <c r="Q46" s="660">
        <v>3</v>
      </c>
      <c r="R46" s="660">
        <v>3</v>
      </c>
      <c r="S46" s="660">
        <v>3</v>
      </c>
      <c r="T46" s="660">
        <v>3</v>
      </c>
      <c r="U46" s="660">
        <f t="shared" si="10"/>
        <v>49</v>
      </c>
      <c r="V46" s="660">
        <v>19</v>
      </c>
      <c r="W46" s="660">
        <v>20</v>
      </c>
      <c r="X46" s="660">
        <v>10</v>
      </c>
      <c r="Y46" s="660">
        <v>0</v>
      </c>
      <c r="Z46" s="660" t="s">
        <v>902</v>
      </c>
      <c r="AA46" s="660">
        <f t="shared" si="11"/>
        <v>20</v>
      </c>
      <c r="AB46" s="660">
        <v>5</v>
      </c>
      <c r="AC46" s="660">
        <v>5</v>
      </c>
      <c r="AD46" s="660">
        <v>5</v>
      </c>
      <c r="AE46" s="660">
        <v>5</v>
      </c>
    </row>
    <row r="47" spans="1:31" s="660" customFormat="1">
      <c r="A47" s="664">
        <v>28</v>
      </c>
      <c r="B47" s="664">
        <v>2</v>
      </c>
      <c r="C47" s="664" t="s">
        <v>847</v>
      </c>
      <c r="D47" s="664">
        <v>209</v>
      </c>
      <c r="E47" s="668">
        <f t="shared" si="8"/>
        <v>1</v>
      </c>
      <c r="F47" s="665">
        <f>SUM(G47:H47)</f>
        <v>0</v>
      </c>
      <c r="G47" s="665"/>
      <c r="H47" s="665"/>
      <c r="I47" s="665">
        <f t="shared" si="7"/>
        <v>0</v>
      </c>
      <c r="J47" s="665"/>
      <c r="K47" s="665"/>
      <c r="L47" s="664">
        <f t="shared" si="9"/>
        <v>0</v>
      </c>
      <c r="M47" s="665"/>
      <c r="N47" s="665"/>
      <c r="O47" s="665"/>
      <c r="P47" s="665"/>
      <c r="Q47" s="665"/>
      <c r="R47" s="665"/>
      <c r="S47" s="665"/>
      <c r="T47" s="665"/>
      <c r="U47" s="664">
        <f t="shared" si="10"/>
        <v>0</v>
      </c>
      <c r="V47" s="665"/>
      <c r="W47" s="665"/>
      <c r="X47" s="665"/>
      <c r="Y47" s="665"/>
      <c r="Z47" s="665"/>
      <c r="AA47" s="664">
        <f t="shared" si="11"/>
        <v>0</v>
      </c>
      <c r="AB47" s="665"/>
      <c r="AC47" s="665"/>
      <c r="AD47" s="665"/>
      <c r="AE47" s="665"/>
    </row>
    <row r="48" spans="1:31" s="660" customFormat="1" ht="10.5">
      <c r="A48" s="660">
        <v>29</v>
      </c>
      <c r="B48" s="660">
        <v>1</v>
      </c>
      <c r="C48" s="660" t="s">
        <v>848</v>
      </c>
      <c r="D48" s="660">
        <f>SUM(F48,L48,I48,U48,Y48,AA48)</f>
        <v>192</v>
      </c>
      <c r="E48" s="667">
        <f t="shared" si="8"/>
        <v>0.91866028708133973</v>
      </c>
      <c r="F48" s="660">
        <v>12</v>
      </c>
      <c r="G48" s="660">
        <v>6</v>
      </c>
      <c r="H48" s="660">
        <v>6</v>
      </c>
      <c r="I48" s="660">
        <f t="shared" si="7"/>
        <v>80</v>
      </c>
      <c r="J48" s="660">
        <v>60</v>
      </c>
      <c r="K48" s="660">
        <v>20</v>
      </c>
      <c r="L48" s="660">
        <f t="shared" si="9"/>
        <v>32</v>
      </c>
      <c r="M48" s="660">
        <v>5</v>
      </c>
      <c r="N48" s="660">
        <v>5</v>
      </c>
      <c r="O48" s="660">
        <v>5</v>
      </c>
      <c r="P48" s="660">
        <v>5</v>
      </c>
      <c r="Q48" s="660">
        <v>3</v>
      </c>
      <c r="R48" s="660">
        <v>3</v>
      </c>
      <c r="S48" s="660">
        <v>3</v>
      </c>
      <c r="T48" s="660">
        <v>3</v>
      </c>
      <c r="U48" s="660">
        <f t="shared" si="10"/>
        <v>43</v>
      </c>
      <c r="V48" s="660">
        <v>18</v>
      </c>
      <c r="W48" s="660">
        <v>20</v>
      </c>
      <c r="X48" s="660">
        <v>5</v>
      </c>
      <c r="Y48" s="660">
        <v>5</v>
      </c>
      <c r="Z48" s="660" t="s">
        <v>902</v>
      </c>
      <c r="AA48" s="660">
        <f t="shared" si="11"/>
        <v>20</v>
      </c>
      <c r="AB48" s="660">
        <v>5</v>
      </c>
      <c r="AC48" s="660">
        <v>5</v>
      </c>
      <c r="AD48" s="660">
        <v>5</v>
      </c>
      <c r="AE48" s="660">
        <v>5</v>
      </c>
    </row>
    <row r="49" spans="1:31">
      <c r="A49" s="664">
        <v>29</v>
      </c>
      <c r="B49" s="664">
        <v>2</v>
      </c>
      <c r="C49" s="664" t="s">
        <v>848</v>
      </c>
      <c r="D49" s="664">
        <f>SUM(F49,L49,I49,U49,Y49,AA49)</f>
        <v>194</v>
      </c>
      <c r="E49" s="668">
        <f t="shared" si="8"/>
        <v>0.92822966507177029</v>
      </c>
      <c r="F49" s="665">
        <f>SUM(G49:H49)</f>
        <v>12</v>
      </c>
      <c r="G49" s="665">
        <v>6</v>
      </c>
      <c r="H49" s="665">
        <v>6</v>
      </c>
      <c r="I49" s="665">
        <f t="shared" si="7"/>
        <v>85</v>
      </c>
      <c r="J49" s="665">
        <v>70</v>
      </c>
      <c r="K49" s="665">
        <v>15</v>
      </c>
      <c r="L49" s="664">
        <f t="shared" si="9"/>
        <v>32</v>
      </c>
      <c r="M49" s="665">
        <v>5</v>
      </c>
      <c r="N49" s="665">
        <v>5</v>
      </c>
      <c r="O49" s="665">
        <v>5</v>
      </c>
      <c r="P49" s="665">
        <v>5</v>
      </c>
      <c r="Q49" s="665">
        <v>3</v>
      </c>
      <c r="R49" s="665">
        <v>3</v>
      </c>
      <c r="S49" s="665">
        <v>3</v>
      </c>
      <c r="T49" s="665">
        <v>3</v>
      </c>
      <c r="U49" s="664">
        <f t="shared" si="10"/>
        <v>40</v>
      </c>
      <c r="V49" s="665">
        <v>20</v>
      </c>
      <c r="W49" s="665">
        <v>10</v>
      </c>
      <c r="X49" s="665">
        <v>10</v>
      </c>
      <c r="Y49" s="665">
        <v>5</v>
      </c>
      <c r="Z49" s="665" t="s">
        <v>909</v>
      </c>
      <c r="AA49" s="664">
        <f t="shared" si="11"/>
        <v>20</v>
      </c>
      <c r="AB49" s="665">
        <v>5</v>
      </c>
      <c r="AC49" s="665">
        <v>5</v>
      </c>
      <c r="AD49" s="665">
        <v>5</v>
      </c>
      <c r="AE49" s="665">
        <v>5</v>
      </c>
    </row>
    <row r="50" spans="1:31">
      <c r="A50" s="660">
        <v>30</v>
      </c>
      <c r="B50" s="660">
        <v>1</v>
      </c>
      <c r="C50" s="660" t="s">
        <v>849</v>
      </c>
      <c r="D50" s="660">
        <f>SUM(F50,L50,I50,U50,Y50,AA50)</f>
        <v>202</v>
      </c>
      <c r="E50" s="667">
        <f t="shared" si="8"/>
        <v>0.96650717703349287</v>
      </c>
      <c r="F50" s="660">
        <v>12</v>
      </c>
      <c r="G50" s="660">
        <v>6</v>
      </c>
      <c r="H50" s="660">
        <v>6</v>
      </c>
      <c r="I50" s="660">
        <f t="shared" si="7"/>
        <v>85</v>
      </c>
      <c r="J50" s="660">
        <v>65</v>
      </c>
      <c r="K50" s="660">
        <v>20</v>
      </c>
      <c r="L50" s="660">
        <f t="shared" si="9"/>
        <v>32</v>
      </c>
      <c r="M50" s="660">
        <v>5</v>
      </c>
      <c r="N50" s="660">
        <v>5</v>
      </c>
      <c r="O50" s="660">
        <v>5</v>
      </c>
      <c r="P50" s="660">
        <v>5</v>
      </c>
      <c r="Q50" s="660">
        <v>3</v>
      </c>
      <c r="R50" s="660">
        <v>3</v>
      </c>
      <c r="S50" s="660">
        <v>3</v>
      </c>
      <c r="T50" s="660">
        <v>3</v>
      </c>
      <c r="U50" s="660">
        <f t="shared" si="10"/>
        <v>48</v>
      </c>
      <c r="V50" s="660">
        <v>18</v>
      </c>
      <c r="W50" s="660">
        <v>20</v>
      </c>
      <c r="X50" s="660">
        <v>10</v>
      </c>
      <c r="Y50" s="660">
        <v>5</v>
      </c>
      <c r="Z50" s="660" t="s">
        <v>902</v>
      </c>
      <c r="AA50" s="660">
        <f t="shared" si="11"/>
        <v>20</v>
      </c>
      <c r="AB50" s="660">
        <v>5</v>
      </c>
      <c r="AC50" s="660">
        <v>5</v>
      </c>
      <c r="AD50" s="660">
        <v>5</v>
      </c>
      <c r="AE50" s="660">
        <v>5</v>
      </c>
    </row>
    <row r="51" spans="1:31">
      <c r="A51" s="664">
        <v>30</v>
      </c>
      <c r="B51" s="664">
        <v>2</v>
      </c>
      <c r="C51" s="664" t="s">
        <v>849</v>
      </c>
      <c r="D51" s="664">
        <f>SUM(F51,L51,I51,U51,Y51,AA51)</f>
        <v>189</v>
      </c>
      <c r="E51" s="668">
        <f t="shared" si="8"/>
        <v>0.90430622009569372</v>
      </c>
      <c r="F51" s="665">
        <f>SUM(G51:H51)</f>
        <v>12</v>
      </c>
      <c r="G51" s="665">
        <v>6</v>
      </c>
      <c r="H51" s="665">
        <v>6</v>
      </c>
      <c r="I51" s="665">
        <f t="shared" si="7"/>
        <v>80</v>
      </c>
      <c r="J51" s="665">
        <v>70</v>
      </c>
      <c r="K51" s="665">
        <v>10</v>
      </c>
      <c r="L51" s="664">
        <f t="shared" si="9"/>
        <v>32</v>
      </c>
      <c r="M51" s="665">
        <v>5</v>
      </c>
      <c r="N51" s="665">
        <v>5</v>
      </c>
      <c r="O51" s="665">
        <v>5</v>
      </c>
      <c r="P51" s="665">
        <v>5</v>
      </c>
      <c r="Q51" s="665">
        <v>3</v>
      </c>
      <c r="R51" s="665">
        <v>3</v>
      </c>
      <c r="S51" s="665">
        <v>3</v>
      </c>
      <c r="T51" s="665">
        <v>3</v>
      </c>
      <c r="U51" s="664">
        <f t="shared" si="10"/>
        <v>40</v>
      </c>
      <c r="V51" s="665">
        <v>15</v>
      </c>
      <c r="W51" s="665">
        <v>15</v>
      </c>
      <c r="X51" s="665">
        <v>10</v>
      </c>
      <c r="Y51" s="665">
        <v>5</v>
      </c>
      <c r="Z51" s="665" t="s">
        <v>909</v>
      </c>
      <c r="AA51" s="664">
        <f t="shared" si="11"/>
        <v>20</v>
      </c>
      <c r="AB51" s="665">
        <v>5</v>
      </c>
      <c r="AC51" s="665">
        <v>5</v>
      </c>
      <c r="AD51" s="665">
        <v>5</v>
      </c>
      <c r="AE51" s="665">
        <v>5</v>
      </c>
    </row>
    <row r="52" spans="1:31">
      <c r="A52" s="660">
        <v>32</v>
      </c>
      <c r="B52" s="660">
        <v>1</v>
      </c>
      <c r="C52" s="660" t="s">
        <v>850</v>
      </c>
      <c r="D52" s="660">
        <f>SUM(F52,L52,I52,U52,Y52,AA52)</f>
        <v>187</v>
      </c>
      <c r="E52" s="667">
        <f t="shared" si="8"/>
        <v>0.89473684210526316</v>
      </c>
      <c r="F52" s="660">
        <v>12</v>
      </c>
      <c r="G52" s="660">
        <v>6</v>
      </c>
      <c r="H52" s="660">
        <v>6</v>
      </c>
      <c r="I52" s="660">
        <f t="shared" si="7"/>
        <v>80</v>
      </c>
      <c r="J52" s="660">
        <v>60</v>
      </c>
      <c r="K52" s="660">
        <v>20</v>
      </c>
      <c r="L52" s="660">
        <f t="shared" si="9"/>
        <v>32</v>
      </c>
      <c r="M52" s="660">
        <v>5</v>
      </c>
      <c r="N52" s="660">
        <v>5</v>
      </c>
      <c r="O52" s="660">
        <v>5</v>
      </c>
      <c r="P52" s="660">
        <v>5</v>
      </c>
      <c r="Q52" s="660">
        <v>3</v>
      </c>
      <c r="R52" s="660">
        <v>3</v>
      </c>
      <c r="S52" s="660">
        <v>3</v>
      </c>
      <c r="T52" s="660">
        <v>3</v>
      </c>
      <c r="U52" s="660">
        <f t="shared" si="10"/>
        <v>48</v>
      </c>
      <c r="V52" s="660">
        <v>20</v>
      </c>
      <c r="W52" s="660">
        <v>18</v>
      </c>
      <c r="X52" s="660">
        <v>10</v>
      </c>
      <c r="Y52" s="660">
        <v>0</v>
      </c>
      <c r="Z52" s="660" t="s">
        <v>903</v>
      </c>
      <c r="AA52" s="660">
        <f t="shared" si="11"/>
        <v>15</v>
      </c>
      <c r="AB52" s="660">
        <v>5</v>
      </c>
      <c r="AC52" s="660">
        <v>5</v>
      </c>
      <c r="AD52" s="660">
        <v>0</v>
      </c>
      <c r="AE52" s="660">
        <v>5</v>
      </c>
    </row>
    <row r="53" spans="1:31">
      <c r="A53" s="664">
        <v>32</v>
      </c>
      <c r="B53" s="664">
        <v>2</v>
      </c>
      <c r="C53" s="664" t="s">
        <v>850</v>
      </c>
      <c r="D53" s="664">
        <v>189</v>
      </c>
      <c r="E53" s="668">
        <f t="shared" si="8"/>
        <v>0.90430622009569372</v>
      </c>
      <c r="F53" s="665">
        <f>SUM(G53:H53)</f>
        <v>0</v>
      </c>
      <c r="G53" s="665"/>
      <c r="H53" s="665"/>
      <c r="I53" s="665">
        <f t="shared" si="7"/>
        <v>0</v>
      </c>
      <c r="J53" s="665"/>
      <c r="K53" s="665"/>
      <c r="L53" s="664">
        <f t="shared" si="9"/>
        <v>0</v>
      </c>
      <c r="M53" s="665"/>
      <c r="N53" s="665"/>
      <c r="O53" s="665"/>
      <c r="P53" s="665"/>
      <c r="Q53" s="665"/>
      <c r="R53" s="665"/>
      <c r="S53" s="665"/>
      <c r="T53" s="665"/>
      <c r="U53" s="664">
        <f t="shared" si="10"/>
        <v>0</v>
      </c>
      <c r="V53" s="665"/>
      <c r="W53" s="665"/>
      <c r="X53" s="665"/>
      <c r="Y53" s="665"/>
      <c r="Z53" s="665"/>
      <c r="AA53" s="664">
        <f t="shared" si="11"/>
        <v>0</v>
      </c>
      <c r="AB53" s="665"/>
      <c r="AC53" s="665"/>
      <c r="AD53" s="665"/>
      <c r="AE53" s="665"/>
    </row>
    <row r="54" spans="1:31">
      <c r="A54" s="660">
        <v>33</v>
      </c>
      <c r="B54" s="660">
        <v>1</v>
      </c>
      <c r="C54" s="660" t="s">
        <v>581</v>
      </c>
      <c r="D54" s="660">
        <f>SUM(F54,L54,I54,U54,Y54,AA54)</f>
        <v>204</v>
      </c>
      <c r="E54" s="667">
        <f t="shared" si="8"/>
        <v>0.97607655502392343</v>
      </c>
      <c r="F54" s="660">
        <v>12</v>
      </c>
      <c r="G54" s="660">
        <v>6</v>
      </c>
      <c r="H54" s="660">
        <v>6</v>
      </c>
      <c r="I54" s="660">
        <f t="shared" si="7"/>
        <v>90</v>
      </c>
      <c r="J54" s="660">
        <v>70</v>
      </c>
      <c r="K54" s="660">
        <v>20</v>
      </c>
      <c r="L54" s="660">
        <f t="shared" si="9"/>
        <v>32</v>
      </c>
      <c r="M54" s="660">
        <v>5</v>
      </c>
      <c r="N54" s="660">
        <v>5</v>
      </c>
      <c r="O54" s="660">
        <v>5</v>
      </c>
      <c r="P54" s="660">
        <v>5</v>
      </c>
      <c r="Q54" s="660">
        <v>3</v>
      </c>
      <c r="R54" s="660">
        <v>3</v>
      </c>
      <c r="S54" s="660">
        <v>3</v>
      </c>
      <c r="T54" s="660">
        <v>3</v>
      </c>
      <c r="U54" s="660">
        <f t="shared" si="10"/>
        <v>45</v>
      </c>
      <c r="V54" s="660">
        <v>20</v>
      </c>
      <c r="W54" s="660">
        <v>20</v>
      </c>
      <c r="X54" s="660">
        <v>5</v>
      </c>
      <c r="Y54" s="660">
        <v>5</v>
      </c>
      <c r="Z54" s="660" t="s">
        <v>902</v>
      </c>
      <c r="AA54" s="660">
        <f t="shared" si="11"/>
        <v>20</v>
      </c>
      <c r="AB54" s="660">
        <v>5</v>
      </c>
      <c r="AC54" s="660">
        <v>5</v>
      </c>
      <c r="AD54" s="660">
        <v>5</v>
      </c>
      <c r="AE54" s="660">
        <v>5</v>
      </c>
    </row>
    <row r="55" spans="1:31">
      <c r="A55" s="664">
        <v>33</v>
      </c>
      <c r="B55" s="664">
        <v>2</v>
      </c>
      <c r="C55" s="664" t="s">
        <v>581</v>
      </c>
      <c r="D55" s="664">
        <f>SUM(F55,L55,I55,U55,Y55,AA55)</f>
        <v>209</v>
      </c>
      <c r="E55" s="668">
        <f t="shared" si="8"/>
        <v>1</v>
      </c>
      <c r="F55" s="665">
        <f>SUM(G55:H55)</f>
        <v>12</v>
      </c>
      <c r="G55" s="665">
        <v>6</v>
      </c>
      <c r="H55" s="665">
        <v>6</v>
      </c>
      <c r="I55" s="665">
        <f t="shared" si="7"/>
        <v>90</v>
      </c>
      <c r="J55" s="665">
        <v>70</v>
      </c>
      <c r="K55" s="665">
        <v>20</v>
      </c>
      <c r="L55" s="664">
        <f t="shared" si="9"/>
        <v>32</v>
      </c>
      <c r="M55" s="665">
        <v>5</v>
      </c>
      <c r="N55" s="665">
        <v>5</v>
      </c>
      <c r="O55" s="665">
        <v>5</v>
      </c>
      <c r="P55" s="665">
        <v>5</v>
      </c>
      <c r="Q55" s="665">
        <v>3</v>
      </c>
      <c r="R55" s="665">
        <v>3</v>
      </c>
      <c r="S55" s="665">
        <v>3</v>
      </c>
      <c r="T55" s="665">
        <v>3</v>
      </c>
      <c r="U55" s="664">
        <f t="shared" si="10"/>
        <v>50</v>
      </c>
      <c r="V55" s="665">
        <v>20</v>
      </c>
      <c r="W55" s="665">
        <v>20</v>
      </c>
      <c r="X55" s="665">
        <v>10</v>
      </c>
      <c r="Y55" s="665">
        <v>5</v>
      </c>
      <c r="Z55" s="665" t="s">
        <v>909</v>
      </c>
      <c r="AA55" s="664">
        <f t="shared" si="11"/>
        <v>20</v>
      </c>
      <c r="AB55" s="665">
        <v>5</v>
      </c>
      <c r="AC55" s="665">
        <v>5</v>
      </c>
      <c r="AD55" s="665">
        <v>5</v>
      </c>
      <c r="AE55" s="665">
        <v>5</v>
      </c>
    </row>
    <row r="56" spans="1:31">
      <c r="A56" s="660">
        <v>34</v>
      </c>
      <c r="B56" s="660">
        <v>1</v>
      </c>
      <c r="C56" s="660" t="s">
        <v>851</v>
      </c>
      <c r="D56" s="660">
        <f>SUM(F56,L56,I56,U56,Y56,AA56)</f>
        <v>191</v>
      </c>
      <c r="E56" s="667">
        <f t="shared" si="8"/>
        <v>0.9138755980861244</v>
      </c>
      <c r="F56" s="660">
        <v>11</v>
      </c>
      <c r="G56" s="660">
        <v>6</v>
      </c>
      <c r="H56" s="660">
        <v>5</v>
      </c>
      <c r="I56" s="660">
        <f t="shared" si="7"/>
        <v>80</v>
      </c>
      <c r="J56" s="660">
        <v>60</v>
      </c>
      <c r="K56" s="660">
        <v>20</v>
      </c>
      <c r="L56" s="660">
        <f t="shared" si="9"/>
        <v>32</v>
      </c>
      <c r="M56" s="660">
        <v>5</v>
      </c>
      <c r="N56" s="660">
        <v>5</v>
      </c>
      <c r="O56" s="660">
        <v>5</v>
      </c>
      <c r="P56" s="660">
        <v>5</v>
      </c>
      <c r="Q56" s="660">
        <v>3</v>
      </c>
      <c r="R56" s="660">
        <v>3</v>
      </c>
      <c r="S56" s="660">
        <v>3</v>
      </c>
      <c r="T56" s="660">
        <v>3</v>
      </c>
      <c r="U56" s="660">
        <f t="shared" si="10"/>
        <v>48</v>
      </c>
      <c r="V56" s="660">
        <v>18</v>
      </c>
      <c r="W56" s="660">
        <v>20</v>
      </c>
      <c r="X56" s="660">
        <v>10</v>
      </c>
      <c r="Y56" s="660">
        <v>5</v>
      </c>
      <c r="Z56" s="660" t="s">
        <v>902</v>
      </c>
      <c r="AA56" s="660">
        <f t="shared" si="11"/>
        <v>15</v>
      </c>
      <c r="AB56" s="660">
        <v>0</v>
      </c>
      <c r="AC56" s="660">
        <v>5</v>
      </c>
      <c r="AD56" s="660">
        <v>5</v>
      </c>
      <c r="AE56" s="660">
        <v>5</v>
      </c>
    </row>
    <row r="57" spans="1:31">
      <c r="A57" s="664">
        <v>34</v>
      </c>
      <c r="B57" s="664">
        <v>2</v>
      </c>
      <c r="C57" s="664" t="s">
        <v>851</v>
      </c>
      <c r="D57" s="664">
        <v>199</v>
      </c>
      <c r="E57" s="668">
        <f t="shared" si="8"/>
        <v>0.95215311004784686</v>
      </c>
      <c r="F57" s="665">
        <f>SUM(G57:H57)</f>
        <v>0</v>
      </c>
      <c r="G57" s="665"/>
      <c r="H57" s="665"/>
      <c r="I57" s="665">
        <f t="shared" si="7"/>
        <v>0</v>
      </c>
      <c r="J57" s="665"/>
      <c r="K57" s="665"/>
      <c r="L57" s="664">
        <f t="shared" si="9"/>
        <v>0</v>
      </c>
      <c r="M57" s="665"/>
      <c r="N57" s="665"/>
      <c r="O57" s="665"/>
      <c r="P57" s="665"/>
      <c r="Q57" s="665"/>
      <c r="R57" s="665"/>
      <c r="S57" s="665"/>
      <c r="T57" s="665"/>
      <c r="U57" s="664">
        <f t="shared" si="10"/>
        <v>0</v>
      </c>
      <c r="V57" s="665"/>
      <c r="W57" s="665"/>
      <c r="X57" s="665"/>
      <c r="Y57" s="665"/>
      <c r="Z57" s="665"/>
      <c r="AA57" s="664">
        <f t="shared" si="11"/>
        <v>0</v>
      </c>
      <c r="AB57" s="665"/>
      <c r="AC57" s="665"/>
      <c r="AD57" s="665"/>
      <c r="AE57" s="665"/>
    </row>
    <row r="58" spans="1:31">
      <c r="A58" s="660">
        <v>35</v>
      </c>
      <c r="B58" s="660">
        <v>1</v>
      </c>
      <c r="C58" s="660" t="s">
        <v>852</v>
      </c>
      <c r="D58" s="660">
        <f t="shared" ref="D58:D70" si="13">SUM(F58,L58,I58,U58,Y58,AA58)</f>
        <v>202</v>
      </c>
      <c r="E58" s="667">
        <f t="shared" si="8"/>
        <v>0.96650717703349287</v>
      </c>
      <c r="F58" s="660">
        <v>12</v>
      </c>
      <c r="G58" s="660">
        <v>6</v>
      </c>
      <c r="H58" s="660">
        <v>6</v>
      </c>
      <c r="I58" s="660">
        <f t="shared" si="7"/>
        <v>85</v>
      </c>
      <c r="J58" s="660">
        <v>65</v>
      </c>
      <c r="K58" s="660">
        <v>20</v>
      </c>
      <c r="L58" s="660">
        <f t="shared" si="9"/>
        <v>32</v>
      </c>
      <c r="M58" s="660">
        <v>5</v>
      </c>
      <c r="N58" s="660">
        <v>5</v>
      </c>
      <c r="O58" s="660">
        <v>5</v>
      </c>
      <c r="P58" s="660">
        <v>5</v>
      </c>
      <c r="Q58" s="660">
        <v>3</v>
      </c>
      <c r="R58" s="660">
        <v>3</v>
      </c>
      <c r="S58" s="660">
        <v>3</v>
      </c>
      <c r="T58" s="660">
        <v>3</v>
      </c>
      <c r="U58" s="660">
        <f t="shared" si="10"/>
        <v>48</v>
      </c>
      <c r="V58" s="660">
        <v>20</v>
      </c>
      <c r="W58" s="660">
        <v>18</v>
      </c>
      <c r="X58" s="660">
        <v>10</v>
      </c>
      <c r="Y58" s="660">
        <v>5</v>
      </c>
      <c r="Z58" s="660" t="s">
        <v>902</v>
      </c>
      <c r="AA58" s="660">
        <f t="shared" si="11"/>
        <v>20</v>
      </c>
      <c r="AB58" s="660">
        <v>5</v>
      </c>
      <c r="AC58" s="660">
        <v>5</v>
      </c>
      <c r="AD58" s="660">
        <v>5</v>
      </c>
      <c r="AE58" s="660">
        <v>5</v>
      </c>
    </row>
    <row r="59" spans="1:31">
      <c r="A59" s="664">
        <v>35</v>
      </c>
      <c r="B59" s="664">
        <v>2</v>
      </c>
      <c r="C59" s="664" t="s">
        <v>852</v>
      </c>
      <c r="D59" s="664">
        <f t="shared" si="13"/>
        <v>189</v>
      </c>
      <c r="E59" s="668">
        <f t="shared" si="8"/>
        <v>0.90430622009569372</v>
      </c>
      <c r="F59" s="665">
        <f>SUM(G59:H59)</f>
        <v>12</v>
      </c>
      <c r="G59" s="665">
        <v>6</v>
      </c>
      <c r="H59" s="665">
        <v>6</v>
      </c>
      <c r="I59" s="665">
        <f t="shared" si="7"/>
        <v>85</v>
      </c>
      <c r="J59" s="665">
        <v>70</v>
      </c>
      <c r="K59" s="665">
        <v>15</v>
      </c>
      <c r="L59" s="664">
        <f t="shared" si="9"/>
        <v>32</v>
      </c>
      <c r="M59" s="665">
        <v>5</v>
      </c>
      <c r="N59" s="665">
        <v>5</v>
      </c>
      <c r="O59" s="665">
        <v>5</v>
      </c>
      <c r="P59" s="665">
        <v>5</v>
      </c>
      <c r="Q59" s="665">
        <v>3</v>
      </c>
      <c r="R59" s="665">
        <v>3</v>
      </c>
      <c r="S59" s="665">
        <v>3</v>
      </c>
      <c r="T59" s="665">
        <v>3</v>
      </c>
      <c r="U59" s="664">
        <f t="shared" si="10"/>
        <v>35</v>
      </c>
      <c r="V59" s="665">
        <v>20</v>
      </c>
      <c r="W59" s="665">
        <v>10</v>
      </c>
      <c r="X59" s="665">
        <v>5</v>
      </c>
      <c r="Y59" s="665">
        <v>5</v>
      </c>
      <c r="Z59" s="665" t="s">
        <v>909</v>
      </c>
      <c r="AA59" s="664">
        <f t="shared" si="11"/>
        <v>20</v>
      </c>
      <c r="AB59" s="665">
        <v>5</v>
      </c>
      <c r="AC59" s="665">
        <v>5</v>
      </c>
      <c r="AD59" s="665">
        <v>5</v>
      </c>
      <c r="AE59" s="665">
        <v>5</v>
      </c>
    </row>
    <row r="60" spans="1:31">
      <c r="A60" s="660">
        <v>37</v>
      </c>
      <c r="B60" s="660">
        <v>1</v>
      </c>
      <c r="C60" s="660" t="s">
        <v>853</v>
      </c>
      <c r="D60" s="660">
        <f t="shared" si="13"/>
        <v>192</v>
      </c>
      <c r="E60" s="667">
        <f t="shared" si="8"/>
        <v>0.91866028708133973</v>
      </c>
      <c r="F60" s="660">
        <v>12</v>
      </c>
      <c r="G60" s="660">
        <v>6</v>
      </c>
      <c r="H60" s="660">
        <v>6</v>
      </c>
      <c r="I60" s="660">
        <f t="shared" ref="I60:I91" si="14">SUM(J60:K60)</f>
        <v>80</v>
      </c>
      <c r="J60" s="660">
        <v>60</v>
      </c>
      <c r="K60" s="660">
        <v>20</v>
      </c>
      <c r="L60" s="660">
        <f t="shared" si="9"/>
        <v>32</v>
      </c>
      <c r="M60" s="660">
        <v>5</v>
      </c>
      <c r="N60" s="660">
        <v>5</v>
      </c>
      <c r="O60" s="660">
        <v>5</v>
      </c>
      <c r="P60" s="660">
        <v>5</v>
      </c>
      <c r="Q60" s="660">
        <v>3</v>
      </c>
      <c r="R60" s="660">
        <v>3</v>
      </c>
      <c r="S60" s="660">
        <v>3</v>
      </c>
      <c r="T60" s="660">
        <v>3</v>
      </c>
      <c r="U60" s="660">
        <f t="shared" si="10"/>
        <v>48</v>
      </c>
      <c r="V60" s="660">
        <v>18</v>
      </c>
      <c r="W60" s="660">
        <v>20</v>
      </c>
      <c r="X60" s="660">
        <v>10</v>
      </c>
      <c r="Y60" s="660">
        <v>0</v>
      </c>
      <c r="Z60" s="660" t="s">
        <v>902</v>
      </c>
      <c r="AA60" s="660">
        <f t="shared" si="11"/>
        <v>20</v>
      </c>
      <c r="AB60" s="660">
        <v>5</v>
      </c>
      <c r="AC60" s="660">
        <v>5</v>
      </c>
      <c r="AD60" s="660">
        <v>5</v>
      </c>
      <c r="AE60" s="660">
        <v>5</v>
      </c>
    </row>
    <row r="61" spans="1:31">
      <c r="A61" s="664">
        <v>37</v>
      </c>
      <c r="B61" s="664">
        <v>2</v>
      </c>
      <c r="C61" s="664" t="s">
        <v>853</v>
      </c>
      <c r="D61" s="664">
        <f t="shared" si="13"/>
        <v>196</v>
      </c>
      <c r="E61" s="668">
        <f t="shared" si="8"/>
        <v>0.93779904306220097</v>
      </c>
      <c r="F61" s="665">
        <f>SUM(G61:H61)</f>
        <v>9</v>
      </c>
      <c r="G61" s="665">
        <v>6</v>
      </c>
      <c r="H61" s="665">
        <v>3</v>
      </c>
      <c r="I61" s="665">
        <f t="shared" si="14"/>
        <v>90</v>
      </c>
      <c r="J61" s="665">
        <v>70</v>
      </c>
      <c r="K61" s="665">
        <v>20</v>
      </c>
      <c r="L61" s="664">
        <f t="shared" si="9"/>
        <v>32</v>
      </c>
      <c r="M61" s="665">
        <v>5</v>
      </c>
      <c r="N61" s="665">
        <v>5</v>
      </c>
      <c r="O61" s="665">
        <v>5</v>
      </c>
      <c r="P61" s="665">
        <v>5</v>
      </c>
      <c r="Q61" s="665">
        <v>3</v>
      </c>
      <c r="R61" s="665">
        <v>3</v>
      </c>
      <c r="S61" s="665">
        <v>3</v>
      </c>
      <c r="T61" s="665">
        <v>3</v>
      </c>
      <c r="U61" s="664">
        <f t="shared" si="10"/>
        <v>40</v>
      </c>
      <c r="V61" s="665">
        <v>20</v>
      </c>
      <c r="W61" s="665">
        <v>12</v>
      </c>
      <c r="X61" s="665">
        <v>8</v>
      </c>
      <c r="Y61" s="665">
        <v>5</v>
      </c>
      <c r="Z61" s="665" t="s">
        <v>909</v>
      </c>
      <c r="AA61" s="664">
        <f t="shared" si="11"/>
        <v>20</v>
      </c>
      <c r="AB61" s="665">
        <v>5</v>
      </c>
      <c r="AC61" s="665">
        <v>5</v>
      </c>
      <c r="AD61" s="665">
        <v>5</v>
      </c>
      <c r="AE61" s="665">
        <v>5</v>
      </c>
    </row>
    <row r="62" spans="1:31">
      <c r="A62" s="660">
        <v>38</v>
      </c>
      <c r="B62" s="660">
        <v>1</v>
      </c>
      <c r="C62" s="660" t="s">
        <v>854</v>
      </c>
      <c r="D62" s="660">
        <f t="shared" si="13"/>
        <v>170</v>
      </c>
      <c r="E62" s="667">
        <f t="shared" si="8"/>
        <v>0.8133971291866029</v>
      </c>
      <c r="F62" s="660">
        <v>10</v>
      </c>
      <c r="G62" s="660">
        <v>6</v>
      </c>
      <c r="H62" s="660">
        <v>4</v>
      </c>
      <c r="I62" s="660">
        <f t="shared" si="14"/>
        <v>65</v>
      </c>
      <c r="J62" s="660">
        <v>45</v>
      </c>
      <c r="K62" s="660">
        <v>20</v>
      </c>
      <c r="L62" s="660">
        <f t="shared" si="9"/>
        <v>27</v>
      </c>
      <c r="M62" s="660">
        <v>5</v>
      </c>
      <c r="N62" s="660">
        <v>5</v>
      </c>
      <c r="O62" s="660">
        <v>0</v>
      </c>
      <c r="P62" s="660">
        <v>5</v>
      </c>
      <c r="Q62" s="660">
        <v>3</v>
      </c>
      <c r="R62" s="660">
        <v>3</v>
      </c>
      <c r="S62" s="660">
        <v>3</v>
      </c>
      <c r="T62" s="660">
        <v>3</v>
      </c>
      <c r="U62" s="660">
        <f t="shared" si="10"/>
        <v>48</v>
      </c>
      <c r="V62" s="660">
        <v>20</v>
      </c>
      <c r="W62" s="660">
        <v>18</v>
      </c>
      <c r="X62" s="660">
        <v>10</v>
      </c>
      <c r="Y62" s="660">
        <v>0</v>
      </c>
      <c r="Z62" s="660" t="s">
        <v>902</v>
      </c>
      <c r="AA62" s="660">
        <f t="shared" si="11"/>
        <v>20</v>
      </c>
      <c r="AB62" s="660">
        <v>5</v>
      </c>
      <c r="AC62" s="660">
        <v>5</v>
      </c>
      <c r="AD62" s="660">
        <v>5</v>
      </c>
      <c r="AE62" s="660">
        <v>5</v>
      </c>
    </row>
    <row r="63" spans="1:31">
      <c r="A63" s="664">
        <v>38</v>
      </c>
      <c r="B63" s="664">
        <v>2</v>
      </c>
      <c r="C63" s="664" t="s">
        <v>854</v>
      </c>
      <c r="D63" s="664">
        <f t="shared" si="13"/>
        <v>166</v>
      </c>
      <c r="E63" s="668">
        <f t="shared" si="8"/>
        <v>0.79425837320574166</v>
      </c>
      <c r="F63" s="665">
        <f>SUM(G63:H63)</f>
        <v>9</v>
      </c>
      <c r="G63" s="665">
        <v>6</v>
      </c>
      <c r="H63" s="665">
        <v>3</v>
      </c>
      <c r="I63" s="665">
        <f t="shared" si="14"/>
        <v>70</v>
      </c>
      <c r="J63" s="665">
        <v>60</v>
      </c>
      <c r="K63" s="665">
        <v>10</v>
      </c>
      <c r="L63" s="664">
        <f t="shared" si="9"/>
        <v>27</v>
      </c>
      <c r="M63" s="665">
        <v>5</v>
      </c>
      <c r="N63" s="665">
        <v>5</v>
      </c>
      <c r="O63" s="665">
        <v>0</v>
      </c>
      <c r="P63" s="665">
        <v>5</v>
      </c>
      <c r="Q63" s="665">
        <v>3</v>
      </c>
      <c r="R63" s="665">
        <v>3</v>
      </c>
      <c r="S63" s="665">
        <v>3</v>
      </c>
      <c r="T63" s="665">
        <v>3</v>
      </c>
      <c r="U63" s="664">
        <f t="shared" si="10"/>
        <v>35</v>
      </c>
      <c r="V63" s="665">
        <v>15</v>
      </c>
      <c r="W63" s="665">
        <v>10</v>
      </c>
      <c r="X63" s="665">
        <v>10</v>
      </c>
      <c r="Y63" s="665">
        <v>5</v>
      </c>
      <c r="Z63" s="665" t="s">
        <v>909</v>
      </c>
      <c r="AA63" s="664">
        <f t="shared" si="11"/>
        <v>20</v>
      </c>
      <c r="AB63" s="665">
        <v>5</v>
      </c>
      <c r="AC63" s="665">
        <v>5</v>
      </c>
      <c r="AD63" s="665">
        <v>5</v>
      </c>
      <c r="AE63" s="665">
        <v>5</v>
      </c>
    </row>
    <row r="64" spans="1:31">
      <c r="A64" s="660">
        <v>39</v>
      </c>
      <c r="B64" s="660">
        <v>1</v>
      </c>
      <c r="C64" s="660" t="s">
        <v>12</v>
      </c>
      <c r="D64" s="660">
        <f t="shared" si="13"/>
        <v>154</v>
      </c>
      <c r="E64" s="667">
        <f t="shared" si="8"/>
        <v>0.73684210526315785</v>
      </c>
      <c r="F64" s="660">
        <v>12</v>
      </c>
      <c r="G64" s="660">
        <v>6</v>
      </c>
      <c r="H64" s="660">
        <v>6</v>
      </c>
      <c r="I64" s="660">
        <f t="shared" si="14"/>
        <v>45</v>
      </c>
      <c r="J64" s="660">
        <v>25</v>
      </c>
      <c r="K64" s="660">
        <v>20</v>
      </c>
      <c r="L64" s="660">
        <f t="shared" si="9"/>
        <v>29</v>
      </c>
      <c r="M64" s="660">
        <v>5</v>
      </c>
      <c r="N64" s="660">
        <v>5</v>
      </c>
      <c r="O64" s="660">
        <v>5</v>
      </c>
      <c r="P64" s="660">
        <v>5</v>
      </c>
      <c r="Q64" s="660">
        <v>3</v>
      </c>
      <c r="R64" s="660">
        <v>0</v>
      </c>
      <c r="S64" s="660">
        <v>3</v>
      </c>
      <c r="T64" s="660">
        <v>3</v>
      </c>
      <c r="U64" s="660">
        <f t="shared" si="10"/>
        <v>48</v>
      </c>
      <c r="V64" s="660">
        <v>18</v>
      </c>
      <c r="W64" s="660">
        <v>20</v>
      </c>
      <c r="X64" s="660">
        <v>10</v>
      </c>
      <c r="Y64" s="660">
        <v>5</v>
      </c>
      <c r="Z64" s="660" t="s">
        <v>902</v>
      </c>
      <c r="AA64" s="660">
        <f t="shared" si="11"/>
        <v>15</v>
      </c>
      <c r="AB64" s="660">
        <v>5</v>
      </c>
      <c r="AC64" s="660">
        <v>5</v>
      </c>
      <c r="AD64" s="660">
        <v>0</v>
      </c>
      <c r="AE64" s="660">
        <v>5</v>
      </c>
    </row>
    <row r="65" spans="1:31">
      <c r="A65" s="664">
        <v>39</v>
      </c>
      <c r="B65" s="664">
        <v>2</v>
      </c>
      <c r="C65" s="664" t="s">
        <v>12</v>
      </c>
      <c r="D65" s="664">
        <f t="shared" si="13"/>
        <v>161</v>
      </c>
      <c r="E65" s="668">
        <f t="shared" si="8"/>
        <v>0.77033492822966509</v>
      </c>
      <c r="F65" s="665">
        <f>SUM(G65:H65)</f>
        <v>7</v>
      </c>
      <c r="G65" s="665">
        <v>4</v>
      </c>
      <c r="H65" s="665">
        <v>3</v>
      </c>
      <c r="I65" s="665">
        <f t="shared" si="14"/>
        <v>50</v>
      </c>
      <c r="J65" s="665">
        <v>40</v>
      </c>
      <c r="K65" s="665">
        <v>10</v>
      </c>
      <c r="L65" s="664">
        <f t="shared" si="9"/>
        <v>29</v>
      </c>
      <c r="M65" s="665">
        <v>5</v>
      </c>
      <c r="N65" s="665">
        <v>5</v>
      </c>
      <c r="O65" s="665">
        <v>5</v>
      </c>
      <c r="P65" s="665">
        <v>5</v>
      </c>
      <c r="Q65" s="665">
        <v>3</v>
      </c>
      <c r="R65" s="665">
        <v>0</v>
      </c>
      <c r="S65" s="665">
        <v>3</v>
      </c>
      <c r="T65" s="665">
        <v>3</v>
      </c>
      <c r="U65" s="664">
        <f t="shared" si="10"/>
        <v>50</v>
      </c>
      <c r="V65" s="665">
        <v>20</v>
      </c>
      <c r="W65" s="665">
        <v>20</v>
      </c>
      <c r="X65" s="665">
        <v>10</v>
      </c>
      <c r="Y65" s="665">
        <v>5</v>
      </c>
      <c r="Z65" s="665" t="s">
        <v>909</v>
      </c>
      <c r="AA65" s="664">
        <f t="shared" si="11"/>
        <v>20</v>
      </c>
      <c r="AB65" s="665">
        <v>5</v>
      </c>
      <c r="AC65" s="665">
        <v>5</v>
      </c>
      <c r="AD65" s="665">
        <v>5</v>
      </c>
      <c r="AE65" s="665">
        <v>5</v>
      </c>
    </row>
    <row r="66" spans="1:31">
      <c r="A66" s="660">
        <v>40</v>
      </c>
      <c r="B66" s="660">
        <v>1</v>
      </c>
      <c r="C66" s="660" t="s">
        <v>856</v>
      </c>
      <c r="D66" s="660">
        <f t="shared" si="13"/>
        <v>202</v>
      </c>
      <c r="E66" s="667">
        <f t="shared" ref="E66:E95" si="15">D66/209</f>
        <v>0.96650717703349287</v>
      </c>
      <c r="F66" s="660">
        <v>12</v>
      </c>
      <c r="G66" s="660">
        <v>6</v>
      </c>
      <c r="H66" s="660">
        <v>6</v>
      </c>
      <c r="I66" s="660">
        <f t="shared" si="14"/>
        <v>85</v>
      </c>
      <c r="J66" s="660">
        <v>65</v>
      </c>
      <c r="K66" s="660">
        <v>20</v>
      </c>
      <c r="L66" s="660">
        <f t="shared" ref="L66:L95" si="16">SUM(M66:T66)</f>
        <v>32</v>
      </c>
      <c r="M66" s="660">
        <v>5</v>
      </c>
      <c r="N66" s="660">
        <v>5</v>
      </c>
      <c r="O66" s="660">
        <v>5</v>
      </c>
      <c r="P66" s="660">
        <v>5</v>
      </c>
      <c r="Q66" s="660">
        <v>3</v>
      </c>
      <c r="R66" s="660">
        <v>3</v>
      </c>
      <c r="S66" s="660">
        <v>3</v>
      </c>
      <c r="T66" s="660">
        <v>3</v>
      </c>
      <c r="U66" s="660">
        <f t="shared" ref="U66:U95" si="17">SUM(V66:X66)</f>
        <v>48</v>
      </c>
      <c r="V66" s="660">
        <v>18</v>
      </c>
      <c r="W66" s="660">
        <v>20</v>
      </c>
      <c r="X66" s="660">
        <v>10</v>
      </c>
      <c r="Y66" s="660">
        <v>5</v>
      </c>
      <c r="Z66" s="660" t="s">
        <v>902</v>
      </c>
      <c r="AA66" s="660">
        <f t="shared" ref="AA66:AA79" si="18">SUM(AB66:AE66)</f>
        <v>20</v>
      </c>
      <c r="AB66" s="660">
        <v>5</v>
      </c>
      <c r="AC66" s="660">
        <v>5</v>
      </c>
      <c r="AD66" s="660">
        <v>5</v>
      </c>
      <c r="AE66" s="660">
        <v>5</v>
      </c>
    </row>
    <row r="67" spans="1:31">
      <c r="A67" s="664">
        <v>40</v>
      </c>
      <c r="B67" s="664">
        <v>2</v>
      </c>
      <c r="C67" s="664" t="s">
        <v>856</v>
      </c>
      <c r="D67" s="664">
        <f t="shared" si="13"/>
        <v>209</v>
      </c>
      <c r="E67" s="668">
        <f t="shared" si="15"/>
        <v>1</v>
      </c>
      <c r="F67" s="665">
        <f>SUM(G67:H67)</f>
        <v>12</v>
      </c>
      <c r="G67" s="665">
        <v>6</v>
      </c>
      <c r="H67" s="665">
        <v>6</v>
      </c>
      <c r="I67" s="665">
        <f t="shared" si="14"/>
        <v>90</v>
      </c>
      <c r="J67" s="665">
        <v>70</v>
      </c>
      <c r="K67" s="665">
        <v>20</v>
      </c>
      <c r="L67" s="664">
        <f t="shared" si="16"/>
        <v>32</v>
      </c>
      <c r="M67" s="665">
        <v>5</v>
      </c>
      <c r="N67" s="665">
        <v>5</v>
      </c>
      <c r="O67" s="665">
        <v>5</v>
      </c>
      <c r="P67" s="665">
        <v>5</v>
      </c>
      <c r="Q67" s="665">
        <v>3</v>
      </c>
      <c r="R67" s="665">
        <v>3</v>
      </c>
      <c r="S67" s="665">
        <v>3</v>
      </c>
      <c r="T67" s="665">
        <v>3</v>
      </c>
      <c r="U67" s="664">
        <f t="shared" si="17"/>
        <v>50</v>
      </c>
      <c r="V67" s="665">
        <v>20</v>
      </c>
      <c r="W67" s="665">
        <v>20</v>
      </c>
      <c r="X67" s="665">
        <v>10</v>
      </c>
      <c r="Y67" s="665">
        <v>5</v>
      </c>
      <c r="Z67" s="665" t="s">
        <v>909</v>
      </c>
      <c r="AA67" s="664">
        <f t="shared" si="18"/>
        <v>20</v>
      </c>
      <c r="AB67" s="665">
        <v>5</v>
      </c>
      <c r="AC67" s="665">
        <v>5</v>
      </c>
      <c r="AD67" s="665">
        <v>5</v>
      </c>
      <c r="AE67" s="665">
        <v>5</v>
      </c>
    </row>
    <row r="68" spans="1:31">
      <c r="A68" s="660">
        <v>43</v>
      </c>
      <c r="B68" s="660">
        <v>1</v>
      </c>
      <c r="C68" s="660" t="s">
        <v>857</v>
      </c>
      <c r="D68" s="660">
        <f t="shared" si="13"/>
        <v>197</v>
      </c>
      <c r="E68" s="667">
        <f t="shared" si="15"/>
        <v>0.9425837320574163</v>
      </c>
      <c r="F68" s="660">
        <v>12</v>
      </c>
      <c r="G68" s="660">
        <v>6</v>
      </c>
      <c r="H68" s="660">
        <v>6</v>
      </c>
      <c r="I68" s="660">
        <f t="shared" si="14"/>
        <v>80</v>
      </c>
      <c r="J68" s="660">
        <v>60</v>
      </c>
      <c r="K68" s="660">
        <v>20</v>
      </c>
      <c r="L68" s="660">
        <f t="shared" si="16"/>
        <v>32</v>
      </c>
      <c r="M68" s="660">
        <v>5</v>
      </c>
      <c r="N68" s="660">
        <v>5</v>
      </c>
      <c r="O68" s="660">
        <v>5</v>
      </c>
      <c r="P68" s="660">
        <v>5</v>
      </c>
      <c r="Q68" s="660">
        <v>3</v>
      </c>
      <c r="R68" s="660">
        <v>3</v>
      </c>
      <c r="S68" s="660">
        <v>3</v>
      </c>
      <c r="T68" s="660">
        <v>3</v>
      </c>
      <c r="U68" s="660">
        <f t="shared" si="17"/>
        <v>48</v>
      </c>
      <c r="V68" s="660">
        <v>18</v>
      </c>
      <c r="W68" s="660">
        <v>20</v>
      </c>
      <c r="X68" s="660">
        <v>10</v>
      </c>
      <c r="Y68" s="660">
        <v>5</v>
      </c>
      <c r="Z68" s="660" t="s">
        <v>902</v>
      </c>
      <c r="AA68" s="660">
        <f t="shared" si="18"/>
        <v>20</v>
      </c>
      <c r="AB68" s="660">
        <v>5</v>
      </c>
      <c r="AC68" s="660">
        <v>5</v>
      </c>
      <c r="AD68" s="660">
        <v>5</v>
      </c>
      <c r="AE68" s="660">
        <v>5</v>
      </c>
    </row>
    <row r="69" spans="1:31">
      <c r="A69" s="664">
        <v>43</v>
      </c>
      <c r="B69" s="664">
        <v>2</v>
      </c>
      <c r="C69" s="664" t="s">
        <v>857</v>
      </c>
      <c r="D69" s="664">
        <f t="shared" si="13"/>
        <v>199</v>
      </c>
      <c r="E69" s="668">
        <f t="shared" si="15"/>
        <v>0.95215311004784686</v>
      </c>
      <c r="F69" s="665">
        <f>SUM(G69:H69)</f>
        <v>12</v>
      </c>
      <c r="G69" s="665">
        <v>6</v>
      </c>
      <c r="H69" s="665">
        <v>6</v>
      </c>
      <c r="I69" s="665">
        <f t="shared" si="14"/>
        <v>80</v>
      </c>
      <c r="J69" s="665">
        <v>70</v>
      </c>
      <c r="K69" s="665">
        <v>10</v>
      </c>
      <c r="L69" s="664">
        <f t="shared" si="16"/>
        <v>32</v>
      </c>
      <c r="M69" s="665">
        <v>5</v>
      </c>
      <c r="N69" s="665">
        <v>5</v>
      </c>
      <c r="O69" s="665">
        <v>5</v>
      </c>
      <c r="P69" s="665">
        <v>5</v>
      </c>
      <c r="Q69" s="665">
        <v>3</v>
      </c>
      <c r="R69" s="665">
        <v>3</v>
      </c>
      <c r="S69" s="665">
        <v>3</v>
      </c>
      <c r="T69" s="665">
        <v>3</v>
      </c>
      <c r="U69" s="664">
        <f t="shared" si="17"/>
        <v>50</v>
      </c>
      <c r="V69" s="665">
        <v>20</v>
      </c>
      <c r="W69" s="665">
        <v>20</v>
      </c>
      <c r="X69" s="665">
        <v>10</v>
      </c>
      <c r="Y69" s="665">
        <v>5</v>
      </c>
      <c r="Z69" s="665" t="s">
        <v>909</v>
      </c>
      <c r="AA69" s="664">
        <f t="shared" si="18"/>
        <v>20</v>
      </c>
      <c r="AB69" s="665">
        <v>5</v>
      </c>
      <c r="AC69" s="665">
        <v>5</v>
      </c>
      <c r="AD69" s="665">
        <v>5</v>
      </c>
      <c r="AE69" s="665">
        <v>5</v>
      </c>
    </row>
    <row r="70" spans="1:31">
      <c r="A70" s="660">
        <v>44</v>
      </c>
      <c r="B70" s="660">
        <v>1</v>
      </c>
      <c r="C70" s="660" t="s">
        <v>858</v>
      </c>
      <c r="D70" s="660">
        <f t="shared" si="13"/>
        <v>73</v>
      </c>
      <c r="E70" s="667">
        <f t="shared" si="15"/>
        <v>0.34928229665071769</v>
      </c>
      <c r="F70" s="660">
        <v>11</v>
      </c>
      <c r="G70" s="660">
        <v>6</v>
      </c>
      <c r="H70" s="660">
        <v>5</v>
      </c>
      <c r="I70" s="660">
        <f t="shared" si="14"/>
        <v>5</v>
      </c>
      <c r="J70" s="660">
        <v>5</v>
      </c>
      <c r="K70" s="660">
        <v>0</v>
      </c>
      <c r="L70" s="660">
        <f t="shared" si="16"/>
        <v>32</v>
      </c>
      <c r="M70" s="660">
        <v>5</v>
      </c>
      <c r="N70" s="660">
        <v>5</v>
      </c>
      <c r="O70" s="660">
        <v>5</v>
      </c>
      <c r="P70" s="660">
        <v>5</v>
      </c>
      <c r="Q70" s="660">
        <v>3</v>
      </c>
      <c r="R70" s="660">
        <v>3</v>
      </c>
      <c r="S70" s="660">
        <v>3</v>
      </c>
      <c r="T70" s="660">
        <v>3</v>
      </c>
      <c r="U70" s="660">
        <f t="shared" si="17"/>
        <v>0</v>
      </c>
      <c r="V70" s="660">
        <v>0</v>
      </c>
      <c r="W70" s="660">
        <v>0</v>
      </c>
      <c r="X70" s="660">
        <v>0</v>
      </c>
      <c r="Y70" s="660">
        <v>5</v>
      </c>
      <c r="Z70" s="660" t="s">
        <v>902</v>
      </c>
      <c r="AA70" s="660">
        <f t="shared" si="18"/>
        <v>20</v>
      </c>
      <c r="AB70" s="660">
        <v>5</v>
      </c>
      <c r="AC70" s="660">
        <v>5</v>
      </c>
      <c r="AD70" s="660">
        <v>5</v>
      </c>
      <c r="AE70" s="660">
        <v>5</v>
      </c>
    </row>
    <row r="71" spans="1:31">
      <c r="A71" s="664">
        <v>44</v>
      </c>
      <c r="B71" s="664">
        <v>2</v>
      </c>
      <c r="C71" s="664" t="s">
        <v>858</v>
      </c>
      <c r="D71" s="664">
        <v>138</v>
      </c>
      <c r="E71" s="668">
        <f t="shared" si="15"/>
        <v>0.66028708133971292</v>
      </c>
      <c r="F71" s="665">
        <f>SUM(G71:H71)</f>
        <v>0</v>
      </c>
      <c r="G71" s="665"/>
      <c r="H71" s="665"/>
      <c r="I71" s="665">
        <f t="shared" si="14"/>
        <v>0</v>
      </c>
      <c r="J71" s="665"/>
      <c r="K71" s="665"/>
      <c r="L71" s="664">
        <f t="shared" si="16"/>
        <v>0</v>
      </c>
      <c r="M71" s="665"/>
      <c r="N71" s="665"/>
      <c r="O71" s="665"/>
      <c r="P71" s="665"/>
      <c r="Q71" s="665"/>
      <c r="R71" s="665"/>
      <c r="S71" s="665"/>
      <c r="T71" s="665"/>
      <c r="U71" s="664">
        <f t="shared" si="17"/>
        <v>0</v>
      </c>
      <c r="V71" s="665"/>
      <c r="W71" s="665"/>
      <c r="X71" s="665"/>
      <c r="Y71" s="665"/>
      <c r="Z71" s="665"/>
      <c r="AA71" s="664">
        <f t="shared" si="18"/>
        <v>0</v>
      </c>
      <c r="AB71" s="665"/>
      <c r="AC71" s="665"/>
      <c r="AD71" s="665"/>
      <c r="AE71" s="665"/>
    </row>
    <row r="72" spans="1:31">
      <c r="A72" s="660">
        <v>45</v>
      </c>
      <c r="B72" s="660">
        <v>1</v>
      </c>
      <c r="C72" s="660" t="s">
        <v>906</v>
      </c>
      <c r="D72" s="660">
        <f t="shared" ref="D72:D80" si="19">SUM(F72,L72,I72,U72,Y72,AA72)</f>
        <v>100</v>
      </c>
      <c r="E72" s="667">
        <f t="shared" si="15"/>
        <v>0.4784688995215311</v>
      </c>
      <c r="F72" s="660">
        <v>11</v>
      </c>
      <c r="G72" s="660">
        <v>6</v>
      </c>
      <c r="H72" s="660">
        <v>5</v>
      </c>
      <c r="I72" s="660">
        <f t="shared" si="14"/>
        <v>40</v>
      </c>
      <c r="J72" s="660">
        <v>40</v>
      </c>
      <c r="K72" s="660">
        <v>0</v>
      </c>
      <c r="L72" s="660">
        <f t="shared" si="16"/>
        <v>34</v>
      </c>
      <c r="M72" s="660">
        <v>5</v>
      </c>
      <c r="N72" s="660">
        <v>5</v>
      </c>
      <c r="O72" s="660">
        <v>5</v>
      </c>
      <c r="P72" s="660">
        <v>5</v>
      </c>
      <c r="Q72" s="660">
        <v>5</v>
      </c>
      <c r="R72" s="660">
        <v>3</v>
      </c>
      <c r="S72" s="660">
        <v>3</v>
      </c>
      <c r="T72" s="660">
        <v>3</v>
      </c>
      <c r="U72" s="660">
        <f t="shared" si="17"/>
        <v>0</v>
      </c>
      <c r="V72" s="660">
        <v>0</v>
      </c>
      <c r="W72" s="660">
        <v>0</v>
      </c>
      <c r="X72" s="660">
        <v>0</v>
      </c>
      <c r="Y72" s="660">
        <v>0</v>
      </c>
      <c r="Z72" s="660" t="s">
        <v>907</v>
      </c>
      <c r="AA72" s="660">
        <f t="shared" si="18"/>
        <v>15</v>
      </c>
      <c r="AB72" s="660">
        <v>5</v>
      </c>
      <c r="AC72" s="660">
        <v>0</v>
      </c>
      <c r="AD72" s="660">
        <v>5</v>
      </c>
      <c r="AE72" s="660">
        <v>5</v>
      </c>
    </row>
    <row r="73" spans="1:31">
      <c r="A73" s="664">
        <v>45</v>
      </c>
      <c r="B73" s="664">
        <v>2</v>
      </c>
      <c r="C73" s="664" t="s">
        <v>906</v>
      </c>
      <c r="D73" s="664">
        <f t="shared" si="19"/>
        <v>0</v>
      </c>
      <c r="E73" s="668">
        <f t="shared" si="15"/>
        <v>0</v>
      </c>
      <c r="F73" s="665">
        <f>SUM(G73:H73)</f>
        <v>0</v>
      </c>
      <c r="G73" s="665"/>
      <c r="H73" s="665"/>
      <c r="I73" s="665">
        <f t="shared" si="14"/>
        <v>0</v>
      </c>
      <c r="J73" s="665"/>
      <c r="K73" s="665"/>
      <c r="L73" s="664">
        <f t="shared" si="16"/>
        <v>0</v>
      </c>
      <c r="M73" s="665"/>
      <c r="N73" s="665"/>
      <c r="O73" s="665"/>
      <c r="P73" s="665"/>
      <c r="Q73" s="665"/>
      <c r="R73" s="665"/>
      <c r="S73" s="665"/>
      <c r="T73" s="665"/>
      <c r="U73" s="664">
        <f t="shared" si="17"/>
        <v>0</v>
      </c>
      <c r="V73" s="665"/>
      <c r="W73" s="665"/>
      <c r="X73" s="665"/>
      <c r="Y73" s="665"/>
      <c r="Z73" s="665"/>
      <c r="AA73" s="664">
        <f t="shared" si="18"/>
        <v>0</v>
      </c>
      <c r="AB73" s="665"/>
      <c r="AC73" s="665"/>
      <c r="AD73" s="665"/>
      <c r="AE73" s="665"/>
    </row>
    <row r="74" spans="1:31">
      <c r="A74" s="660">
        <v>48</v>
      </c>
      <c r="B74" s="660">
        <v>1</v>
      </c>
      <c r="C74" s="660" t="s">
        <v>860</v>
      </c>
      <c r="D74" s="660">
        <f t="shared" si="19"/>
        <v>192</v>
      </c>
      <c r="E74" s="667">
        <f t="shared" si="15"/>
        <v>0.91866028708133973</v>
      </c>
      <c r="F74" s="660">
        <v>9</v>
      </c>
      <c r="G74" s="660">
        <v>3</v>
      </c>
      <c r="H74" s="660">
        <v>6</v>
      </c>
      <c r="I74" s="660">
        <f t="shared" si="14"/>
        <v>85</v>
      </c>
      <c r="J74" s="660">
        <v>65</v>
      </c>
      <c r="K74" s="660">
        <v>20</v>
      </c>
      <c r="L74" s="660">
        <f t="shared" si="16"/>
        <v>32</v>
      </c>
      <c r="M74" s="660">
        <v>5</v>
      </c>
      <c r="N74" s="660">
        <v>5</v>
      </c>
      <c r="O74" s="660">
        <v>5</v>
      </c>
      <c r="P74" s="660">
        <v>5</v>
      </c>
      <c r="Q74" s="660">
        <v>3</v>
      </c>
      <c r="R74" s="660">
        <v>3</v>
      </c>
      <c r="S74" s="660">
        <v>3</v>
      </c>
      <c r="T74" s="660">
        <v>3</v>
      </c>
      <c r="U74" s="660">
        <f t="shared" si="17"/>
        <v>46</v>
      </c>
      <c r="V74" s="660">
        <v>18</v>
      </c>
      <c r="W74" s="660">
        <v>18</v>
      </c>
      <c r="X74" s="660">
        <v>10</v>
      </c>
      <c r="Y74" s="660">
        <v>5</v>
      </c>
      <c r="Z74" s="660" t="s">
        <v>902</v>
      </c>
      <c r="AA74" s="660">
        <f t="shared" si="18"/>
        <v>15</v>
      </c>
      <c r="AB74" s="660">
        <v>5</v>
      </c>
      <c r="AC74" s="660">
        <v>5</v>
      </c>
      <c r="AD74" s="660">
        <v>0</v>
      </c>
      <c r="AE74" s="660">
        <v>5</v>
      </c>
    </row>
    <row r="75" spans="1:31">
      <c r="A75" s="664">
        <v>48</v>
      </c>
      <c r="B75" s="664">
        <v>2</v>
      </c>
      <c r="C75" s="664" t="s">
        <v>860</v>
      </c>
      <c r="D75" s="664">
        <f t="shared" si="19"/>
        <v>188</v>
      </c>
      <c r="E75" s="668">
        <f t="shared" si="15"/>
        <v>0.8995215311004785</v>
      </c>
      <c r="F75" s="665">
        <f>SUM(G75:H75)</f>
        <v>6</v>
      </c>
      <c r="G75" s="665">
        <v>3</v>
      </c>
      <c r="H75" s="665">
        <v>3</v>
      </c>
      <c r="I75" s="665">
        <f t="shared" si="14"/>
        <v>90</v>
      </c>
      <c r="J75" s="665">
        <v>70</v>
      </c>
      <c r="K75" s="665">
        <v>20</v>
      </c>
      <c r="L75" s="664">
        <f t="shared" si="16"/>
        <v>32</v>
      </c>
      <c r="M75" s="665">
        <v>5</v>
      </c>
      <c r="N75" s="665">
        <v>5</v>
      </c>
      <c r="O75" s="665">
        <v>5</v>
      </c>
      <c r="P75" s="665">
        <v>5</v>
      </c>
      <c r="Q75" s="665">
        <v>3</v>
      </c>
      <c r="R75" s="665">
        <v>3</v>
      </c>
      <c r="S75" s="665">
        <v>3</v>
      </c>
      <c r="T75" s="665">
        <v>3</v>
      </c>
      <c r="U75" s="664">
        <f t="shared" si="17"/>
        <v>35</v>
      </c>
      <c r="V75" s="665">
        <v>15</v>
      </c>
      <c r="W75" s="665">
        <v>10</v>
      </c>
      <c r="X75" s="665">
        <v>10</v>
      </c>
      <c r="Y75" s="665">
        <v>5</v>
      </c>
      <c r="Z75" s="665"/>
      <c r="AA75" s="664">
        <f t="shared" si="18"/>
        <v>20</v>
      </c>
      <c r="AB75" s="665">
        <v>5</v>
      </c>
      <c r="AC75" s="665">
        <v>5</v>
      </c>
      <c r="AD75" s="665">
        <v>5</v>
      </c>
      <c r="AE75" s="665">
        <v>5</v>
      </c>
    </row>
    <row r="76" spans="1:31">
      <c r="A76" s="660">
        <v>49</v>
      </c>
      <c r="B76" s="660">
        <v>1</v>
      </c>
      <c r="C76" s="660" t="s">
        <v>861</v>
      </c>
      <c r="D76" s="660">
        <f t="shared" si="19"/>
        <v>190</v>
      </c>
      <c r="E76" s="667">
        <f t="shared" si="15"/>
        <v>0.90909090909090906</v>
      </c>
      <c r="F76" s="660">
        <v>12</v>
      </c>
      <c r="G76" s="660">
        <v>6</v>
      </c>
      <c r="H76" s="660">
        <v>6</v>
      </c>
      <c r="I76" s="660">
        <f t="shared" si="14"/>
        <v>80</v>
      </c>
      <c r="J76" s="660">
        <v>60</v>
      </c>
      <c r="K76" s="660">
        <v>20</v>
      </c>
      <c r="L76" s="660">
        <f t="shared" si="16"/>
        <v>32</v>
      </c>
      <c r="M76" s="660">
        <v>5</v>
      </c>
      <c r="N76" s="660">
        <v>5</v>
      </c>
      <c r="O76" s="660">
        <v>5</v>
      </c>
      <c r="P76" s="660">
        <v>5</v>
      </c>
      <c r="Q76" s="660">
        <v>3</v>
      </c>
      <c r="R76" s="660">
        <v>3</v>
      </c>
      <c r="S76" s="660">
        <v>3</v>
      </c>
      <c r="T76" s="660">
        <v>3</v>
      </c>
      <c r="U76" s="660">
        <f t="shared" si="17"/>
        <v>46</v>
      </c>
      <c r="V76" s="660">
        <v>18</v>
      </c>
      <c r="W76" s="660">
        <v>18</v>
      </c>
      <c r="X76" s="660">
        <v>10</v>
      </c>
      <c r="Y76" s="660">
        <v>5</v>
      </c>
      <c r="Z76" s="660" t="s">
        <v>904</v>
      </c>
      <c r="AA76" s="660">
        <f t="shared" si="18"/>
        <v>15</v>
      </c>
      <c r="AB76" s="660">
        <v>5</v>
      </c>
      <c r="AC76" s="660">
        <v>5</v>
      </c>
      <c r="AD76" s="660">
        <v>0</v>
      </c>
      <c r="AE76" s="660">
        <v>5</v>
      </c>
    </row>
    <row r="77" spans="1:31">
      <c r="A77" s="664">
        <v>49</v>
      </c>
      <c r="B77" s="664">
        <v>2</v>
      </c>
      <c r="C77" s="664" t="s">
        <v>861</v>
      </c>
      <c r="D77" s="664">
        <f t="shared" si="19"/>
        <v>193</v>
      </c>
      <c r="E77" s="668">
        <f t="shared" si="15"/>
        <v>0.92344497607655507</v>
      </c>
      <c r="F77" s="665">
        <f>SUM(G77:H77)</f>
        <v>6</v>
      </c>
      <c r="G77" s="665">
        <v>3</v>
      </c>
      <c r="H77" s="665">
        <v>3</v>
      </c>
      <c r="I77" s="665">
        <f t="shared" si="14"/>
        <v>90</v>
      </c>
      <c r="J77" s="665">
        <v>70</v>
      </c>
      <c r="K77" s="665">
        <v>20</v>
      </c>
      <c r="L77" s="664">
        <f t="shared" si="16"/>
        <v>32</v>
      </c>
      <c r="M77" s="665">
        <v>5</v>
      </c>
      <c r="N77" s="665">
        <v>5</v>
      </c>
      <c r="O77" s="665">
        <v>5</v>
      </c>
      <c r="P77" s="665">
        <v>5</v>
      </c>
      <c r="Q77" s="665">
        <v>3</v>
      </c>
      <c r="R77" s="665">
        <v>3</v>
      </c>
      <c r="S77" s="665">
        <v>3</v>
      </c>
      <c r="T77" s="665">
        <v>3</v>
      </c>
      <c r="U77" s="664">
        <f t="shared" si="17"/>
        <v>40</v>
      </c>
      <c r="V77" s="665">
        <v>20</v>
      </c>
      <c r="W77" s="665">
        <v>10</v>
      </c>
      <c r="X77" s="665">
        <v>10</v>
      </c>
      <c r="Y77" s="665">
        <v>5</v>
      </c>
      <c r="Z77" s="665" t="s">
        <v>909</v>
      </c>
      <c r="AA77" s="664">
        <f t="shared" si="18"/>
        <v>20</v>
      </c>
      <c r="AB77" s="665">
        <v>5</v>
      </c>
      <c r="AC77" s="665">
        <v>5</v>
      </c>
      <c r="AD77" s="665">
        <v>5</v>
      </c>
      <c r="AE77" s="665">
        <v>5</v>
      </c>
    </row>
    <row r="78" spans="1:31">
      <c r="A78" s="660">
        <v>51</v>
      </c>
      <c r="B78" s="660">
        <v>1</v>
      </c>
      <c r="C78" s="660" t="s">
        <v>862</v>
      </c>
      <c r="D78" s="660">
        <f t="shared" si="19"/>
        <v>185</v>
      </c>
      <c r="E78" s="667">
        <f t="shared" si="15"/>
        <v>0.88516746411483249</v>
      </c>
      <c r="F78" s="660">
        <v>12</v>
      </c>
      <c r="G78" s="660">
        <v>6</v>
      </c>
      <c r="H78" s="660">
        <v>6</v>
      </c>
      <c r="I78" s="660">
        <f t="shared" si="14"/>
        <v>70</v>
      </c>
      <c r="J78" s="660">
        <v>50</v>
      </c>
      <c r="K78" s="660">
        <v>20</v>
      </c>
      <c r="L78" s="660">
        <f t="shared" si="16"/>
        <v>32</v>
      </c>
      <c r="M78" s="660">
        <v>5</v>
      </c>
      <c r="N78" s="660">
        <v>5</v>
      </c>
      <c r="O78" s="660">
        <v>5</v>
      </c>
      <c r="P78" s="660">
        <v>5</v>
      </c>
      <c r="Q78" s="660">
        <v>3</v>
      </c>
      <c r="R78" s="660">
        <v>3</v>
      </c>
      <c r="S78" s="660">
        <v>3</v>
      </c>
      <c r="T78" s="660">
        <v>3</v>
      </c>
      <c r="U78" s="660">
        <f t="shared" si="17"/>
        <v>46</v>
      </c>
      <c r="V78" s="660">
        <v>18</v>
      </c>
      <c r="W78" s="660">
        <v>18</v>
      </c>
      <c r="X78" s="660">
        <v>10</v>
      </c>
      <c r="Y78" s="660">
        <v>5</v>
      </c>
      <c r="Z78" s="660" t="s">
        <v>902</v>
      </c>
      <c r="AA78" s="660">
        <f t="shared" si="18"/>
        <v>20</v>
      </c>
      <c r="AB78" s="660">
        <v>5</v>
      </c>
      <c r="AC78" s="660">
        <v>5</v>
      </c>
      <c r="AD78" s="660">
        <v>5</v>
      </c>
      <c r="AE78" s="660">
        <v>5</v>
      </c>
    </row>
    <row r="79" spans="1:31">
      <c r="A79" s="664">
        <v>51</v>
      </c>
      <c r="B79" s="664">
        <v>2</v>
      </c>
      <c r="C79" s="664" t="s">
        <v>862</v>
      </c>
      <c r="D79" s="664">
        <f t="shared" si="19"/>
        <v>185</v>
      </c>
      <c r="E79" s="668">
        <f t="shared" si="15"/>
        <v>0.88516746411483249</v>
      </c>
      <c r="F79" s="665">
        <f>SUM(G79:H79)</f>
        <v>12</v>
      </c>
      <c r="G79" s="665">
        <v>6</v>
      </c>
      <c r="H79" s="665">
        <v>6</v>
      </c>
      <c r="I79" s="665">
        <f t="shared" si="14"/>
        <v>70</v>
      </c>
      <c r="J79" s="665">
        <v>50</v>
      </c>
      <c r="K79" s="665">
        <v>20</v>
      </c>
      <c r="L79" s="664">
        <f t="shared" si="16"/>
        <v>32</v>
      </c>
      <c r="M79" s="665">
        <v>5</v>
      </c>
      <c r="N79" s="665">
        <v>5</v>
      </c>
      <c r="O79" s="665">
        <v>5</v>
      </c>
      <c r="P79" s="665">
        <v>5</v>
      </c>
      <c r="Q79" s="665">
        <v>3</v>
      </c>
      <c r="R79" s="665">
        <v>3</v>
      </c>
      <c r="S79" s="665">
        <v>3</v>
      </c>
      <c r="T79" s="665">
        <v>3</v>
      </c>
      <c r="U79" s="664">
        <f t="shared" si="17"/>
        <v>46</v>
      </c>
      <c r="V79" s="665">
        <v>18</v>
      </c>
      <c r="W79" s="665">
        <v>18</v>
      </c>
      <c r="X79" s="665">
        <v>10</v>
      </c>
      <c r="Y79" s="665">
        <v>5</v>
      </c>
      <c r="Z79" s="665" t="s">
        <v>909</v>
      </c>
      <c r="AA79" s="664">
        <f t="shared" si="18"/>
        <v>20</v>
      </c>
      <c r="AB79" s="665">
        <v>5</v>
      </c>
      <c r="AC79" s="665">
        <v>5</v>
      </c>
      <c r="AD79" s="665">
        <v>5</v>
      </c>
      <c r="AE79" s="665">
        <v>5</v>
      </c>
    </row>
    <row r="80" spans="1:31">
      <c r="A80" s="660">
        <v>54</v>
      </c>
      <c r="B80" s="660">
        <v>1</v>
      </c>
      <c r="C80" s="660" t="s">
        <v>863</v>
      </c>
      <c r="D80" s="660">
        <f t="shared" si="19"/>
        <v>196</v>
      </c>
      <c r="E80" s="667">
        <f t="shared" si="15"/>
        <v>0.93779904306220097</v>
      </c>
      <c r="F80" s="660">
        <v>11</v>
      </c>
      <c r="G80" s="660">
        <v>6</v>
      </c>
      <c r="H80" s="660">
        <v>5</v>
      </c>
      <c r="I80" s="660">
        <f t="shared" si="14"/>
        <v>80</v>
      </c>
      <c r="J80" s="660">
        <v>60</v>
      </c>
      <c r="K80" s="660">
        <v>20</v>
      </c>
      <c r="L80" s="660">
        <f t="shared" si="16"/>
        <v>34</v>
      </c>
      <c r="M80" s="660">
        <v>5</v>
      </c>
      <c r="N80" s="660">
        <v>5</v>
      </c>
      <c r="O80" s="660">
        <v>5</v>
      </c>
      <c r="P80" s="660">
        <v>5</v>
      </c>
      <c r="Q80" s="660">
        <v>5</v>
      </c>
      <c r="R80" s="660">
        <v>3</v>
      </c>
      <c r="S80" s="660">
        <v>3</v>
      </c>
      <c r="T80" s="660">
        <v>3</v>
      </c>
      <c r="U80" s="660">
        <f t="shared" si="17"/>
        <v>46</v>
      </c>
      <c r="V80" s="660">
        <v>18</v>
      </c>
      <c r="W80" s="660">
        <v>18</v>
      </c>
      <c r="X80" s="660">
        <v>10</v>
      </c>
      <c r="Y80" s="660">
        <v>5</v>
      </c>
      <c r="Z80" s="660" t="s">
        <v>902</v>
      </c>
      <c r="AA80" s="660">
        <f t="shared" ref="AA80:AA95" si="20">SUM(AB80:AE80)</f>
        <v>20</v>
      </c>
      <c r="AB80" s="660">
        <v>5</v>
      </c>
      <c r="AC80" s="660">
        <v>5</v>
      </c>
      <c r="AD80" s="660">
        <v>5</v>
      </c>
      <c r="AE80" s="660">
        <v>5</v>
      </c>
    </row>
    <row r="81" spans="1:31">
      <c r="A81" s="664">
        <v>54</v>
      </c>
      <c r="B81" s="664">
        <v>2</v>
      </c>
      <c r="C81" s="664" t="s">
        <v>863</v>
      </c>
      <c r="D81" s="664">
        <v>188</v>
      </c>
      <c r="E81" s="668">
        <f t="shared" si="15"/>
        <v>0.8995215311004785</v>
      </c>
      <c r="F81" s="665">
        <f>SUM(G81:H81)</f>
        <v>0</v>
      </c>
      <c r="G81" s="665"/>
      <c r="H81" s="665"/>
      <c r="I81" s="665">
        <f t="shared" si="14"/>
        <v>0</v>
      </c>
      <c r="J81" s="665"/>
      <c r="K81" s="665"/>
      <c r="L81" s="664">
        <f t="shared" si="16"/>
        <v>0</v>
      </c>
      <c r="M81" s="665"/>
      <c r="N81" s="665"/>
      <c r="O81" s="665"/>
      <c r="P81" s="665"/>
      <c r="Q81" s="665"/>
      <c r="R81" s="665"/>
      <c r="S81" s="665"/>
      <c r="T81" s="665"/>
      <c r="U81" s="664">
        <f t="shared" si="17"/>
        <v>0</v>
      </c>
      <c r="V81" s="665"/>
      <c r="W81" s="665"/>
      <c r="X81" s="665"/>
      <c r="Y81" s="665"/>
      <c r="Z81" s="665"/>
      <c r="AA81" s="664">
        <f t="shared" si="20"/>
        <v>0</v>
      </c>
      <c r="AB81" s="665"/>
      <c r="AC81" s="665"/>
      <c r="AD81" s="665"/>
      <c r="AE81" s="665"/>
    </row>
    <row r="82" spans="1:31">
      <c r="A82" s="660">
        <v>55</v>
      </c>
      <c r="B82" s="660">
        <v>1</v>
      </c>
      <c r="C82" s="660" t="s">
        <v>864</v>
      </c>
      <c r="D82" s="660">
        <f t="shared" ref="D82:D90" si="21">SUM(F82,L82,I82,U82,Y82,AA82)</f>
        <v>152</v>
      </c>
      <c r="E82" s="667">
        <f t="shared" si="15"/>
        <v>0.72727272727272729</v>
      </c>
      <c r="F82" s="660">
        <v>12</v>
      </c>
      <c r="G82" s="660">
        <v>6</v>
      </c>
      <c r="H82" s="660">
        <v>6</v>
      </c>
      <c r="I82" s="660">
        <f t="shared" si="14"/>
        <v>60</v>
      </c>
      <c r="J82" s="660">
        <v>40</v>
      </c>
      <c r="K82" s="660">
        <v>20</v>
      </c>
      <c r="L82" s="660">
        <f t="shared" si="16"/>
        <v>32</v>
      </c>
      <c r="M82" s="660">
        <v>5</v>
      </c>
      <c r="N82" s="660">
        <v>5</v>
      </c>
      <c r="O82" s="660">
        <v>5</v>
      </c>
      <c r="P82" s="660">
        <v>5</v>
      </c>
      <c r="Q82" s="660">
        <v>3</v>
      </c>
      <c r="R82" s="660">
        <v>3</v>
      </c>
      <c r="S82" s="660">
        <v>3</v>
      </c>
      <c r="T82" s="660">
        <v>3</v>
      </c>
      <c r="U82" s="660">
        <f t="shared" si="17"/>
        <v>33</v>
      </c>
      <c r="V82" s="660">
        <v>10</v>
      </c>
      <c r="W82" s="660">
        <v>18</v>
      </c>
      <c r="X82" s="660">
        <v>5</v>
      </c>
      <c r="Y82" s="660">
        <v>0</v>
      </c>
      <c r="Z82" s="660" t="s">
        <v>903</v>
      </c>
      <c r="AA82" s="660">
        <f t="shared" si="20"/>
        <v>15</v>
      </c>
      <c r="AB82" s="660">
        <v>5</v>
      </c>
      <c r="AC82" s="660">
        <v>5</v>
      </c>
      <c r="AD82" s="660">
        <v>0</v>
      </c>
      <c r="AE82" s="660">
        <v>5</v>
      </c>
    </row>
    <row r="83" spans="1:31">
      <c r="A83" s="664">
        <v>55</v>
      </c>
      <c r="B83" s="664">
        <v>2</v>
      </c>
      <c r="C83" s="664" t="s">
        <v>864</v>
      </c>
      <c r="D83" s="664">
        <f t="shared" si="21"/>
        <v>160</v>
      </c>
      <c r="E83" s="668">
        <f t="shared" si="15"/>
        <v>0.76555023923444976</v>
      </c>
      <c r="F83" s="665">
        <f>SUM(G83:H83)</f>
        <v>8</v>
      </c>
      <c r="G83" s="665">
        <v>4</v>
      </c>
      <c r="H83" s="665">
        <v>4</v>
      </c>
      <c r="I83" s="665">
        <f t="shared" si="14"/>
        <v>70</v>
      </c>
      <c r="J83" s="665">
        <v>60</v>
      </c>
      <c r="K83" s="665">
        <v>10</v>
      </c>
      <c r="L83" s="664">
        <f t="shared" si="16"/>
        <v>32</v>
      </c>
      <c r="M83" s="665">
        <v>5</v>
      </c>
      <c r="N83" s="665">
        <v>5</v>
      </c>
      <c r="O83" s="665">
        <v>5</v>
      </c>
      <c r="P83" s="665">
        <v>5</v>
      </c>
      <c r="Q83" s="665">
        <v>3</v>
      </c>
      <c r="R83" s="665">
        <v>3</v>
      </c>
      <c r="S83" s="665">
        <v>3</v>
      </c>
      <c r="T83" s="665">
        <v>3</v>
      </c>
      <c r="U83" s="664">
        <f t="shared" si="17"/>
        <v>25</v>
      </c>
      <c r="V83" s="665">
        <v>10</v>
      </c>
      <c r="W83" s="665">
        <v>10</v>
      </c>
      <c r="X83" s="665">
        <v>5</v>
      </c>
      <c r="Y83" s="665">
        <v>5</v>
      </c>
      <c r="Z83" s="665"/>
      <c r="AA83" s="664">
        <f t="shared" si="20"/>
        <v>20</v>
      </c>
      <c r="AB83" s="665">
        <v>5</v>
      </c>
      <c r="AC83" s="665">
        <v>5</v>
      </c>
      <c r="AD83" s="665">
        <v>5</v>
      </c>
      <c r="AE83" s="665">
        <v>5</v>
      </c>
    </row>
    <row r="84" spans="1:31">
      <c r="A84" s="660">
        <v>60</v>
      </c>
      <c r="B84" s="660">
        <v>1</v>
      </c>
      <c r="C84" s="660" t="s">
        <v>865</v>
      </c>
      <c r="D84" s="660">
        <f t="shared" si="21"/>
        <v>187</v>
      </c>
      <c r="E84" s="667">
        <f t="shared" si="15"/>
        <v>0.89473684210526316</v>
      </c>
      <c r="F84" s="660">
        <v>12</v>
      </c>
      <c r="G84" s="660">
        <v>6</v>
      </c>
      <c r="H84" s="660">
        <v>6</v>
      </c>
      <c r="I84" s="660">
        <f t="shared" si="14"/>
        <v>80</v>
      </c>
      <c r="J84" s="660">
        <v>60</v>
      </c>
      <c r="K84" s="660">
        <v>20</v>
      </c>
      <c r="L84" s="660">
        <f t="shared" si="16"/>
        <v>32</v>
      </c>
      <c r="M84" s="660">
        <v>5</v>
      </c>
      <c r="N84" s="660">
        <v>5</v>
      </c>
      <c r="O84" s="660">
        <v>5</v>
      </c>
      <c r="P84" s="660">
        <v>5</v>
      </c>
      <c r="Q84" s="660">
        <v>3</v>
      </c>
      <c r="R84" s="660">
        <v>3</v>
      </c>
      <c r="S84" s="660">
        <v>3</v>
      </c>
      <c r="T84" s="660">
        <v>3</v>
      </c>
      <c r="U84" s="660">
        <f t="shared" si="17"/>
        <v>38</v>
      </c>
      <c r="V84" s="660">
        <v>18</v>
      </c>
      <c r="W84" s="660">
        <v>10</v>
      </c>
      <c r="X84" s="660">
        <v>10</v>
      </c>
      <c r="Y84" s="660">
        <v>5</v>
      </c>
      <c r="Z84" s="660" t="s">
        <v>903</v>
      </c>
      <c r="AA84" s="660">
        <f t="shared" si="20"/>
        <v>20</v>
      </c>
      <c r="AB84" s="660">
        <v>5</v>
      </c>
      <c r="AC84" s="660">
        <v>5</v>
      </c>
      <c r="AD84" s="660">
        <v>5</v>
      </c>
      <c r="AE84" s="660">
        <v>5</v>
      </c>
    </row>
    <row r="85" spans="1:31">
      <c r="A85" s="664">
        <v>60</v>
      </c>
      <c r="B85" s="664">
        <v>2</v>
      </c>
      <c r="C85" s="664" t="s">
        <v>865</v>
      </c>
      <c r="D85" s="664">
        <f t="shared" si="21"/>
        <v>181</v>
      </c>
      <c r="E85" s="668">
        <f t="shared" si="15"/>
        <v>0.86602870813397126</v>
      </c>
      <c r="F85" s="665">
        <f>SUM(G85:H85)</f>
        <v>12</v>
      </c>
      <c r="G85" s="665">
        <v>6</v>
      </c>
      <c r="H85" s="665">
        <v>6</v>
      </c>
      <c r="I85" s="665">
        <f t="shared" si="14"/>
        <v>82</v>
      </c>
      <c r="J85" s="665">
        <v>70</v>
      </c>
      <c r="K85" s="665">
        <v>12</v>
      </c>
      <c r="L85" s="664">
        <f t="shared" si="16"/>
        <v>32</v>
      </c>
      <c r="M85" s="665">
        <v>5</v>
      </c>
      <c r="N85" s="665">
        <v>5</v>
      </c>
      <c r="O85" s="665">
        <v>5</v>
      </c>
      <c r="P85" s="665">
        <v>5</v>
      </c>
      <c r="Q85" s="665">
        <v>3</v>
      </c>
      <c r="R85" s="665">
        <v>3</v>
      </c>
      <c r="S85" s="665">
        <v>3</v>
      </c>
      <c r="T85" s="665">
        <v>3</v>
      </c>
      <c r="U85" s="664">
        <f t="shared" si="17"/>
        <v>30</v>
      </c>
      <c r="V85" s="665">
        <v>15</v>
      </c>
      <c r="W85" s="665">
        <v>10</v>
      </c>
      <c r="X85" s="665">
        <v>5</v>
      </c>
      <c r="Y85" s="665">
        <v>5</v>
      </c>
      <c r="Z85" s="665" t="s">
        <v>909</v>
      </c>
      <c r="AA85" s="664">
        <f t="shared" si="20"/>
        <v>20</v>
      </c>
      <c r="AB85" s="665">
        <v>5</v>
      </c>
      <c r="AC85" s="665">
        <v>5</v>
      </c>
      <c r="AD85" s="665">
        <v>5</v>
      </c>
      <c r="AE85" s="665">
        <v>5</v>
      </c>
    </row>
    <row r="86" spans="1:31">
      <c r="A86" s="660">
        <v>61</v>
      </c>
      <c r="B86" s="660">
        <v>1</v>
      </c>
      <c r="C86" s="660" t="s">
        <v>866</v>
      </c>
      <c r="D86" s="660">
        <f t="shared" si="21"/>
        <v>191</v>
      </c>
      <c r="E86" s="667">
        <f t="shared" si="15"/>
        <v>0.9138755980861244</v>
      </c>
      <c r="F86" s="660">
        <v>11</v>
      </c>
      <c r="G86" s="660">
        <v>6</v>
      </c>
      <c r="H86" s="660">
        <v>5</v>
      </c>
      <c r="I86" s="660">
        <f t="shared" si="14"/>
        <v>80</v>
      </c>
      <c r="J86" s="660">
        <v>60</v>
      </c>
      <c r="K86" s="660">
        <v>20</v>
      </c>
      <c r="L86" s="660">
        <f t="shared" si="16"/>
        <v>32</v>
      </c>
      <c r="M86" s="660">
        <v>5</v>
      </c>
      <c r="N86" s="660">
        <v>5</v>
      </c>
      <c r="O86" s="660">
        <v>5</v>
      </c>
      <c r="P86" s="660">
        <v>5</v>
      </c>
      <c r="Q86" s="660">
        <v>3</v>
      </c>
      <c r="R86" s="660">
        <v>3</v>
      </c>
      <c r="S86" s="660">
        <v>3</v>
      </c>
      <c r="T86" s="660">
        <v>3</v>
      </c>
      <c r="U86" s="660">
        <f t="shared" si="17"/>
        <v>48</v>
      </c>
      <c r="V86" s="660">
        <v>18</v>
      </c>
      <c r="W86" s="660">
        <v>20</v>
      </c>
      <c r="X86" s="660">
        <v>10</v>
      </c>
      <c r="Y86" s="660">
        <v>5</v>
      </c>
      <c r="Z86" s="660" t="s">
        <v>902</v>
      </c>
      <c r="AA86" s="660">
        <f t="shared" si="20"/>
        <v>15</v>
      </c>
      <c r="AB86" s="660">
        <v>5</v>
      </c>
      <c r="AC86" s="660">
        <v>5</v>
      </c>
      <c r="AD86" s="660">
        <v>0</v>
      </c>
      <c r="AE86" s="660">
        <v>5</v>
      </c>
    </row>
    <row r="87" spans="1:31">
      <c r="A87" s="664">
        <v>61</v>
      </c>
      <c r="B87" s="664">
        <v>2</v>
      </c>
      <c r="C87" s="664" t="s">
        <v>866</v>
      </c>
      <c r="D87" s="664">
        <f t="shared" si="21"/>
        <v>204</v>
      </c>
      <c r="E87" s="668">
        <f t="shared" si="15"/>
        <v>0.97607655502392343</v>
      </c>
      <c r="F87" s="665">
        <f>SUM(G87:H87)</f>
        <v>12</v>
      </c>
      <c r="G87" s="665">
        <v>6</v>
      </c>
      <c r="H87" s="665">
        <v>6</v>
      </c>
      <c r="I87" s="665">
        <f t="shared" si="14"/>
        <v>90</v>
      </c>
      <c r="J87" s="665">
        <v>70</v>
      </c>
      <c r="K87" s="665">
        <v>20</v>
      </c>
      <c r="L87" s="664">
        <f t="shared" si="16"/>
        <v>32</v>
      </c>
      <c r="M87" s="665">
        <v>5</v>
      </c>
      <c r="N87" s="665">
        <v>5</v>
      </c>
      <c r="O87" s="665">
        <v>5</v>
      </c>
      <c r="P87" s="665">
        <v>5</v>
      </c>
      <c r="Q87" s="665">
        <v>3</v>
      </c>
      <c r="R87" s="665">
        <v>3</v>
      </c>
      <c r="S87" s="665">
        <v>3</v>
      </c>
      <c r="T87" s="665">
        <v>3</v>
      </c>
      <c r="U87" s="664">
        <f t="shared" si="17"/>
        <v>45</v>
      </c>
      <c r="V87" s="665">
        <v>20</v>
      </c>
      <c r="W87" s="665">
        <v>15</v>
      </c>
      <c r="X87" s="665">
        <v>10</v>
      </c>
      <c r="Y87" s="665">
        <v>5</v>
      </c>
      <c r="Z87" s="665" t="s">
        <v>909</v>
      </c>
      <c r="AA87" s="664">
        <f t="shared" si="20"/>
        <v>20</v>
      </c>
      <c r="AB87" s="665">
        <v>5</v>
      </c>
      <c r="AC87" s="665">
        <v>5</v>
      </c>
      <c r="AD87" s="665">
        <v>5</v>
      </c>
      <c r="AE87" s="665">
        <v>5</v>
      </c>
    </row>
    <row r="88" spans="1:31">
      <c r="A88" s="660">
        <v>2001</v>
      </c>
      <c r="B88" s="660">
        <v>1</v>
      </c>
      <c r="C88" s="660" t="s">
        <v>867</v>
      </c>
      <c r="D88" s="660">
        <f t="shared" si="21"/>
        <v>197</v>
      </c>
      <c r="E88" s="667">
        <f t="shared" si="15"/>
        <v>0.9425837320574163</v>
      </c>
      <c r="F88" s="660">
        <v>12</v>
      </c>
      <c r="G88" s="660">
        <v>6</v>
      </c>
      <c r="H88" s="660">
        <v>6</v>
      </c>
      <c r="I88" s="660">
        <f t="shared" si="14"/>
        <v>80</v>
      </c>
      <c r="J88" s="660">
        <v>60</v>
      </c>
      <c r="K88" s="660">
        <v>20</v>
      </c>
      <c r="L88" s="660">
        <f t="shared" si="16"/>
        <v>32</v>
      </c>
      <c r="M88" s="660">
        <v>5</v>
      </c>
      <c r="N88" s="660">
        <v>5</v>
      </c>
      <c r="O88" s="660">
        <v>5</v>
      </c>
      <c r="P88" s="660">
        <v>5</v>
      </c>
      <c r="Q88" s="660">
        <v>3</v>
      </c>
      <c r="R88" s="660">
        <v>3</v>
      </c>
      <c r="S88" s="660">
        <v>3</v>
      </c>
      <c r="T88" s="660">
        <v>3</v>
      </c>
      <c r="U88" s="660">
        <f t="shared" si="17"/>
        <v>48</v>
      </c>
      <c r="V88" s="660">
        <v>20</v>
      </c>
      <c r="W88" s="660">
        <v>18</v>
      </c>
      <c r="X88" s="660">
        <v>10</v>
      </c>
      <c r="Y88" s="660">
        <v>5</v>
      </c>
      <c r="Z88" s="660" t="s">
        <v>903</v>
      </c>
      <c r="AA88" s="660">
        <f t="shared" si="20"/>
        <v>20</v>
      </c>
      <c r="AB88" s="660">
        <v>5</v>
      </c>
      <c r="AC88" s="660">
        <v>5</v>
      </c>
      <c r="AD88" s="660">
        <v>5</v>
      </c>
      <c r="AE88" s="660">
        <v>5</v>
      </c>
    </row>
    <row r="89" spans="1:31">
      <c r="A89" s="664">
        <v>2001</v>
      </c>
      <c r="B89" s="664">
        <v>2</v>
      </c>
      <c r="C89" s="664" t="s">
        <v>867</v>
      </c>
      <c r="D89" s="664">
        <f t="shared" si="21"/>
        <v>175</v>
      </c>
      <c r="E89" s="668">
        <f t="shared" si="15"/>
        <v>0.83732057416267947</v>
      </c>
      <c r="F89" s="665">
        <f>SUM(G89:H89)</f>
        <v>8</v>
      </c>
      <c r="G89" s="665">
        <v>4</v>
      </c>
      <c r="H89" s="665">
        <v>4</v>
      </c>
      <c r="I89" s="665">
        <f t="shared" si="14"/>
        <v>65</v>
      </c>
      <c r="J89" s="665">
        <v>60</v>
      </c>
      <c r="K89" s="665">
        <v>5</v>
      </c>
      <c r="L89" s="664">
        <f t="shared" si="16"/>
        <v>32</v>
      </c>
      <c r="M89" s="665">
        <v>5</v>
      </c>
      <c r="N89" s="665">
        <v>5</v>
      </c>
      <c r="O89" s="665">
        <v>5</v>
      </c>
      <c r="P89" s="665">
        <v>5</v>
      </c>
      <c r="Q89" s="665">
        <v>3</v>
      </c>
      <c r="R89" s="665">
        <v>3</v>
      </c>
      <c r="S89" s="665">
        <v>3</v>
      </c>
      <c r="T89" s="665">
        <v>3</v>
      </c>
      <c r="U89" s="664">
        <f t="shared" si="17"/>
        <v>45</v>
      </c>
      <c r="V89" s="665">
        <v>20</v>
      </c>
      <c r="W89" s="665">
        <v>15</v>
      </c>
      <c r="X89" s="665">
        <v>10</v>
      </c>
      <c r="Y89" s="665">
        <v>5</v>
      </c>
      <c r="Z89" s="665" t="s">
        <v>909</v>
      </c>
      <c r="AA89" s="664">
        <f t="shared" si="20"/>
        <v>20</v>
      </c>
      <c r="AB89" s="665">
        <v>5</v>
      </c>
      <c r="AC89" s="665">
        <v>5</v>
      </c>
      <c r="AD89" s="665">
        <v>5</v>
      </c>
      <c r="AE89" s="665">
        <v>5</v>
      </c>
    </row>
    <row r="90" spans="1:31">
      <c r="A90" s="660">
        <v>2004</v>
      </c>
      <c r="B90" s="660">
        <v>1</v>
      </c>
      <c r="C90" s="660" t="s">
        <v>868</v>
      </c>
      <c r="D90" s="660">
        <f t="shared" si="21"/>
        <v>199</v>
      </c>
      <c r="E90" s="667">
        <f t="shared" si="15"/>
        <v>0.95215311004784686</v>
      </c>
      <c r="F90" s="660">
        <v>12</v>
      </c>
      <c r="G90" s="660">
        <v>6</v>
      </c>
      <c r="H90" s="660">
        <v>6</v>
      </c>
      <c r="I90" s="660">
        <f t="shared" si="14"/>
        <v>80</v>
      </c>
      <c r="J90" s="660">
        <v>60</v>
      </c>
      <c r="K90" s="660">
        <v>20</v>
      </c>
      <c r="L90" s="660">
        <f t="shared" si="16"/>
        <v>32</v>
      </c>
      <c r="M90" s="660">
        <v>5</v>
      </c>
      <c r="N90" s="660">
        <v>5</v>
      </c>
      <c r="O90" s="660">
        <v>5</v>
      </c>
      <c r="P90" s="660">
        <v>5</v>
      </c>
      <c r="Q90" s="660">
        <v>3</v>
      </c>
      <c r="R90" s="660">
        <v>3</v>
      </c>
      <c r="S90" s="660">
        <v>3</v>
      </c>
      <c r="T90" s="660">
        <v>3</v>
      </c>
      <c r="U90" s="660">
        <f t="shared" si="17"/>
        <v>50</v>
      </c>
      <c r="V90" s="660">
        <v>20</v>
      </c>
      <c r="W90" s="660">
        <v>20</v>
      </c>
      <c r="X90" s="660">
        <v>10</v>
      </c>
      <c r="Y90" s="660">
        <v>5</v>
      </c>
      <c r="Z90" s="660" t="s">
        <v>902</v>
      </c>
      <c r="AA90" s="660">
        <f t="shared" si="20"/>
        <v>20</v>
      </c>
      <c r="AB90" s="660">
        <v>5</v>
      </c>
      <c r="AC90" s="660">
        <v>5</v>
      </c>
      <c r="AD90" s="660">
        <v>5</v>
      </c>
      <c r="AE90" s="660">
        <v>5</v>
      </c>
    </row>
    <row r="91" spans="1:31">
      <c r="A91" s="664">
        <v>2004</v>
      </c>
      <c r="B91" s="664">
        <v>2</v>
      </c>
      <c r="C91" s="664" t="s">
        <v>868</v>
      </c>
      <c r="D91" s="664">
        <v>204</v>
      </c>
      <c r="E91" s="668">
        <f t="shared" si="15"/>
        <v>0.97607655502392343</v>
      </c>
      <c r="F91" s="665">
        <f>SUM(G91:H91)</f>
        <v>0</v>
      </c>
      <c r="G91" s="665"/>
      <c r="H91" s="665"/>
      <c r="I91" s="665">
        <f t="shared" si="14"/>
        <v>0</v>
      </c>
      <c r="J91" s="665"/>
      <c r="K91" s="665"/>
      <c r="L91" s="664">
        <f t="shared" si="16"/>
        <v>0</v>
      </c>
      <c r="M91" s="665"/>
      <c r="N91" s="665"/>
      <c r="O91" s="665"/>
      <c r="P91" s="665"/>
      <c r="Q91" s="665"/>
      <c r="R91" s="665"/>
      <c r="S91" s="665"/>
      <c r="T91" s="665"/>
      <c r="U91" s="664">
        <f t="shared" si="17"/>
        <v>0</v>
      </c>
      <c r="V91" s="665"/>
      <c r="W91" s="665"/>
      <c r="X91" s="665"/>
      <c r="Y91" s="665"/>
      <c r="Z91" s="665"/>
      <c r="AA91" s="664">
        <f t="shared" si="20"/>
        <v>0</v>
      </c>
      <c r="AB91" s="665"/>
      <c r="AC91" s="665"/>
      <c r="AD91" s="665"/>
      <c r="AE91" s="665"/>
    </row>
    <row r="92" spans="1:31">
      <c r="A92" s="660">
        <v>5034</v>
      </c>
      <c r="B92" s="660">
        <v>1</v>
      </c>
      <c r="C92" s="660" t="s">
        <v>870</v>
      </c>
      <c r="D92" s="660">
        <f>SUM(F92,L92,I92,U92,Y92,AA92)</f>
        <v>197</v>
      </c>
      <c r="E92" s="667">
        <f t="shared" si="15"/>
        <v>0.9425837320574163</v>
      </c>
      <c r="F92" s="660">
        <v>12</v>
      </c>
      <c r="G92" s="660">
        <v>6</v>
      </c>
      <c r="H92" s="660">
        <v>6</v>
      </c>
      <c r="I92" s="660">
        <f t="shared" ref="I92:I95" si="22">SUM(J92:K92)</f>
        <v>80</v>
      </c>
      <c r="J92" s="660">
        <v>60</v>
      </c>
      <c r="K92" s="660">
        <v>20</v>
      </c>
      <c r="L92" s="660">
        <f t="shared" si="16"/>
        <v>32</v>
      </c>
      <c r="M92" s="660">
        <v>5</v>
      </c>
      <c r="N92" s="660">
        <v>5</v>
      </c>
      <c r="O92" s="660">
        <v>5</v>
      </c>
      <c r="P92" s="660">
        <v>5</v>
      </c>
      <c r="Q92" s="660">
        <v>3</v>
      </c>
      <c r="R92" s="660">
        <v>3</v>
      </c>
      <c r="S92" s="660">
        <v>3</v>
      </c>
      <c r="T92" s="660">
        <v>3</v>
      </c>
      <c r="U92" s="660">
        <f t="shared" si="17"/>
        <v>48</v>
      </c>
      <c r="V92" s="660">
        <v>18</v>
      </c>
      <c r="W92" s="660">
        <v>20</v>
      </c>
      <c r="X92" s="660">
        <v>10</v>
      </c>
      <c r="Y92" s="660">
        <v>5</v>
      </c>
      <c r="Z92" s="660" t="s">
        <v>903</v>
      </c>
      <c r="AA92" s="660">
        <f t="shared" si="20"/>
        <v>20</v>
      </c>
      <c r="AB92" s="660">
        <v>5</v>
      </c>
      <c r="AC92" s="660">
        <v>5</v>
      </c>
      <c r="AD92" s="660">
        <v>5</v>
      </c>
      <c r="AE92" s="660">
        <v>5</v>
      </c>
    </row>
    <row r="93" spans="1:31">
      <c r="A93" s="664">
        <v>5034</v>
      </c>
      <c r="B93" s="664">
        <v>2</v>
      </c>
      <c r="C93" s="664" t="s">
        <v>870</v>
      </c>
      <c r="D93" s="664">
        <f>SUM(F93,L93,I93,U93,Y93,AA93)</f>
        <v>161</v>
      </c>
      <c r="E93" s="668">
        <f t="shared" si="15"/>
        <v>0.77033492822966509</v>
      </c>
      <c r="F93" s="665">
        <f>SUM(G93:H93)</f>
        <v>6</v>
      </c>
      <c r="G93" s="665">
        <v>3</v>
      </c>
      <c r="H93" s="665">
        <v>3</v>
      </c>
      <c r="I93" s="665">
        <f t="shared" si="22"/>
        <v>50</v>
      </c>
      <c r="J93" s="665">
        <v>50</v>
      </c>
      <c r="K93" s="665">
        <v>0</v>
      </c>
      <c r="L93" s="664">
        <f t="shared" si="16"/>
        <v>32</v>
      </c>
      <c r="M93" s="665">
        <v>5</v>
      </c>
      <c r="N93" s="665">
        <v>5</v>
      </c>
      <c r="O93" s="665">
        <v>5</v>
      </c>
      <c r="P93" s="665">
        <v>5</v>
      </c>
      <c r="Q93" s="665">
        <v>3</v>
      </c>
      <c r="R93" s="665">
        <v>3</v>
      </c>
      <c r="S93" s="665">
        <v>3</v>
      </c>
      <c r="T93" s="665">
        <v>3</v>
      </c>
      <c r="U93" s="664">
        <f t="shared" si="17"/>
        <v>48</v>
      </c>
      <c r="V93" s="665">
        <v>20</v>
      </c>
      <c r="W93" s="665">
        <v>18</v>
      </c>
      <c r="X93" s="665">
        <v>10</v>
      </c>
      <c r="Y93" s="665">
        <v>5</v>
      </c>
      <c r="Z93" s="665"/>
      <c r="AA93" s="664">
        <f t="shared" si="20"/>
        <v>20</v>
      </c>
      <c r="AB93" s="665">
        <v>5</v>
      </c>
      <c r="AC93" s="665">
        <v>5</v>
      </c>
      <c r="AD93" s="665">
        <v>5</v>
      </c>
      <c r="AE93" s="665">
        <v>5</v>
      </c>
    </row>
    <row r="94" spans="1:31">
      <c r="A94" s="660">
        <v>5050</v>
      </c>
      <c r="B94" s="660">
        <v>1</v>
      </c>
      <c r="C94" s="660" t="s">
        <v>869</v>
      </c>
      <c r="D94" s="660">
        <f>SUM(F94,L94,I94,U94,Y94,AA94)</f>
        <v>201</v>
      </c>
      <c r="E94" s="667">
        <f t="shared" si="15"/>
        <v>0.96172248803827753</v>
      </c>
      <c r="F94" s="662">
        <f t="shared" ref="F94:F95" si="23">SUM(G94:H94)</f>
        <v>12</v>
      </c>
      <c r="G94" s="660">
        <v>6</v>
      </c>
      <c r="H94" s="660">
        <v>6</v>
      </c>
      <c r="I94" s="660">
        <f t="shared" si="22"/>
        <v>87</v>
      </c>
      <c r="J94" s="660">
        <v>67</v>
      </c>
      <c r="K94" s="660">
        <v>20</v>
      </c>
      <c r="L94" s="660">
        <f t="shared" si="16"/>
        <v>32</v>
      </c>
      <c r="M94" s="660">
        <v>5</v>
      </c>
      <c r="N94" s="660">
        <v>5</v>
      </c>
      <c r="O94" s="660">
        <v>5</v>
      </c>
      <c r="P94" s="660">
        <v>5</v>
      </c>
      <c r="Q94" s="660">
        <v>3</v>
      </c>
      <c r="R94" s="660">
        <v>3</v>
      </c>
      <c r="S94" s="660">
        <v>3</v>
      </c>
      <c r="T94" s="660">
        <v>3</v>
      </c>
      <c r="U94" s="660">
        <f t="shared" si="17"/>
        <v>50</v>
      </c>
      <c r="V94" s="660">
        <v>20</v>
      </c>
      <c r="W94" s="660">
        <v>20</v>
      </c>
      <c r="X94" s="660">
        <v>10</v>
      </c>
      <c r="Y94" s="660">
        <v>5</v>
      </c>
      <c r="Z94" s="660" t="s">
        <v>902</v>
      </c>
      <c r="AA94" s="660">
        <f t="shared" si="20"/>
        <v>15</v>
      </c>
      <c r="AB94" s="660">
        <v>5</v>
      </c>
      <c r="AC94" s="660">
        <v>5</v>
      </c>
      <c r="AD94" s="660">
        <v>0</v>
      </c>
      <c r="AE94" s="660">
        <v>5</v>
      </c>
    </row>
    <row r="95" spans="1:31">
      <c r="A95" s="664">
        <v>5050</v>
      </c>
      <c r="B95" s="664">
        <v>2</v>
      </c>
      <c r="C95" s="664" t="s">
        <v>869</v>
      </c>
      <c r="D95" s="664">
        <f>SUM(F95,L95,I95,U95,Y95,AA95)</f>
        <v>201</v>
      </c>
      <c r="E95" s="668">
        <f t="shared" si="15"/>
        <v>0.96172248803827753</v>
      </c>
      <c r="F95" s="665">
        <f t="shared" si="23"/>
        <v>12</v>
      </c>
      <c r="G95" s="665">
        <v>6</v>
      </c>
      <c r="H95" s="665">
        <v>6</v>
      </c>
      <c r="I95" s="665">
        <f t="shared" si="22"/>
        <v>87</v>
      </c>
      <c r="J95" s="665">
        <v>67</v>
      </c>
      <c r="K95" s="665">
        <v>20</v>
      </c>
      <c r="L95" s="664">
        <f t="shared" si="16"/>
        <v>32</v>
      </c>
      <c r="M95" s="665">
        <v>5</v>
      </c>
      <c r="N95" s="665">
        <v>5</v>
      </c>
      <c r="O95" s="665">
        <v>5</v>
      </c>
      <c r="P95" s="665">
        <v>5</v>
      </c>
      <c r="Q95" s="665">
        <v>3</v>
      </c>
      <c r="R95" s="665">
        <v>3</v>
      </c>
      <c r="S95" s="665">
        <v>3</v>
      </c>
      <c r="T95" s="665">
        <v>3</v>
      </c>
      <c r="U95" s="664">
        <f t="shared" si="17"/>
        <v>50</v>
      </c>
      <c r="V95" s="665">
        <v>20</v>
      </c>
      <c r="W95" s="665">
        <v>20</v>
      </c>
      <c r="X95" s="665">
        <v>10</v>
      </c>
      <c r="Y95" s="665">
        <v>5</v>
      </c>
      <c r="Z95" s="665"/>
      <c r="AA95" s="664">
        <f t="shared" si="20"/>
        <v>15</v>
      </c>
      <c r="AB95" s="665">
        <v>5</v>
      </c>
      <c r="AC95" s="665">
        <v>5</v>
      </c>
      <c r="AD95" s="665">
        <v>0</v>
      </c>
      <c r="AE95" s="665">
        <v>5</v>
      </c>
    </row>
    <row r="96" spans="1:31">
      <c r="A96" s="660"/>
      <c r="B96" s="660"/>
      <c r="C96" s="660" t="s">
        <v>908</v>
      </c>
      <c r="D96" s="660">
        <f>AVERAGE(D2:D48)</f>
        <v>186.89361702127658</v>
      </c>
      <c r="E96" s="660"/>
      <c r="F96" s="660">
        <f t="shared" ref="F96:Y96" si="24">AVERAGE(F2:F48)</f>
        <v>9.1063829787234045</v>
      </c>
      <c r="G96" s="660">
        <f t="shared" si="24"/>
        <v>5.7631578947368425</v>
      </c>
      <c r="H96" s="660">
        <f t="shared" si="24"/>
        <v>5.5</v>
      </c>
      <c r="I96" s="660">
        <f t="shared" si="24"/>
        <v>67.717391304347828</v>
      </c>
      <c r="J96" s="660">
        <f t="shared" si="24"/>
        <v>63.763157894736842</v>
      </c>
      <c r="K96" s="660">
        <f t="shared" si="24"/>
        <v>18.210526315789473</v>
      </c>
      <c r="L96" s="660">
        <f t="shared" si="24"/>
        <v>25.48936170212766</v>
      </c>
      <c r="M96" s="660">
        <f t="shared" si="24"/>
        <v>5</v>
      </c>
      <c r="N96" s="660">
        <f t="shared" si="24"/>
        <v>5</v>
      </c>
      <c r="O96" s="660">
        <f t="shared" si="24"/>
        <v>5</v>
      </c>
      <c r="P96" s="660">
        <f t="shared" si="24"/>
        <v>5</v>
      </c>
      <c r="Q96" s="660">
        <f t="shared" si="24"/>
        <v>2.9210526315789473</v>
      </c>
      <c r="R96" s="660">
        <f t="shared" si="24"/>
        <v>2.9210526315789473</v>
      </c>
      <c r="S96" s="660">
        <f t="shared" si="24"/>
        <v>2.8421052631578947</v>
      </c>
      <c r="T96" s="660">
        <f t="shared" si="24"/>
        <v>2.8421052631578947</v>
      </c>
      <c r="U96" s="660">
        <f t="shared" si="24"/>
        <v>32.914893617021278</v>
      </c>
      <c r="V96" s="660">
        <f t="shared" si="24"/>
        <v>17.210526315789473</v>
      </c>
      <c r="W96" s="660">
        <f t="shared" si="24"/>
        <v>14.947368421052632</v>
      </c>
      <c r="X96" s="660">
        <f t="shared" si="24"/>
        <v>8.5526315789473681</v>
      </c>
      <c r="Y96" s="660">
        <f t="shared" si="24"/>
        <v>3.6842105263157894</v>
      </c>
      <c r="Z96" s="660"/>
      <c r="AA96" s="660">
        <f>AVERAGE(AA2:AA48)</f>
        <v>15.638297872340425</v>
      </c>
      <c r="AB96" s="660">
        <f>AVERAGE(AB2:AB48)</f>
        <v>4.8717948717948714</v>
      </c>
      <c r="AC96" s="660">
        <f>AVERAGE(AC2:AC48)</f>
        <v>5</v>
      </c>
      <c r="AD96" s="660">
        <f>AVERAGE(AD2:AD48)</f>
        <v>4.3421052631578947</v>
      </c>
      <c r="AE96" s="660">
        <f>AVERAGE(AE2:AE48)</f>
        <v>5</v>
      </c>
    </row>
  </sheetData>
  <autoFilter ref="A1:AE96">
    <sortState ref="A2:AE96">
      <sortCondition ref="A1"/>
    </sortState>
  </autoFilter>
  <sortState ref="A2:AF95">
    <sortCondition ref="C2:C95"/>
  </sortState>
  <pageMargins left="0.7" right="0.7" top="0.75" bottom="0.75" header="0.3" footer="0.3"/>
  <pageSetup scale="7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8" workbookViewId="0">
      <selection activeCell="B43" sqref="B43"/>
    </sheetView>
  </sheetViews>
  <sheetFormatPr defaultRowHeight="12.75"/>
  <cols>
    <col min="1" max="1" width="8.28515625" style="39" customWidth="1"/>
    <col min="2" max="2" width="55.42578125" style="40" bestFit="1" customWidth="1"/>
    <col min="3" max="3" width="9.5703125" style="40" customWidth="1"/>
    <col min="4" max="4" width="9.140625" style="40"/>
    <col min="5" max="5" width="12.42578125" style="40" customWidth="1"/>
    <col min="6" max="6" width="18.5703125" style="40" customWidth="1"/>
    <col min="7" max="7" width="23.5703125" style="40" customWidth="1"/>
    <col min="8" max="8" width="17.140625" style="40" customWidth="1"/>
    <col min="9" max="9" width="21.140625" style="40" customWidth="1"/>
    <col min="10" max="10" width="19.85546875" style="40" customWidth="1"/>
    <col min="11" max="11" width="17.5703125" style="40" customWidth="1"/>
    <col min="12" max="16384" width="9.14062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612</v>
      </c>
      <c r="D5" s="827"/>
      <c r="E5" s="827"/>
      <c r="F5" s="827"/>
      <c r="G5" s="828"/>
    </row>
    <row r="6" spans="1:11" ht="18" customHeight="1">
      <c r="B6" s="45" t="s">
        <v>136</v>
      </c>
      <c r="C6" s="886" t="s">
        <v>613</v>
      </c>
      <c r="D6" s="830"/>
      <c r="E6" s="830"/>
      <c r="F6" s="830"/>
      <c r="G6" s="831"/>
    </row>
    <row r="7" spans="1:11" ht="18" customHeight="1">
      <c r="B7" s="45" t="s">
        <v>137</v>
      </c>
      <c r="C7" s="966">
        <v>1383</v>
      </c>
      <c r="D7" s="967"/>
      <c r="E7" s="967"/>
      <c r="F7" s="967"/>
      <c r="G7" s="968"/>
    </row>
    <row r="9" spans="1:11" ht="18" customHeight="1">
      <c r="B9" s="45" t="s">
        <v>138</v>
      </c>
      <c r="C9" s="843" t="s">
        <v>614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615</v>
      </c>
      <c r="D10" s="836"/>
      <c r="E10" s="836"/>
      <c r="F10" s="836"/>
      <c r="G10" s="837"/>
    </row>
    <row r="11" spans="1:11" ht="18" customHeight="1">
      <c r="B11" s="45" t="s">
        <v>142</v>
      </c>
      <c r="C11" s="969" t="s">
        <v>616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4413895</v>
      </c>
      <c r="I18" s="52">
        <v>0</v>
      </c>
      <c r="J18" s="51">
        <v>3774432</v>
      </c>
      <c r="K18" s="53">
        <f>(H18+I18)-J18</f>
        <v>639463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115</v>
      </c>
      <c r="G21" s="50">
        <v>2538</v>
      </c>
      <c r="H21" s="51">
        <v>3595</v>
      </c>
      <c r="I21" s="52">
        <f t="shared" ref="I21:I34" si="0">H21*F$114</f>
        <v>1578.2049999999999</v>
      </c>
      <c r="J21" s="51"/>
      <c r="K21" s="53">
        <f t="shared" ref="K21:K34" si="1">(H21+I21)-J21</f>
        <v>5173.2049999999999</v>
      </c>
    </row>
    <row r="22" spans="1:11" ht="18" customHeight="1">
      <c r="A22" s="45" t="s">
        <v>261</v>
      </c>
      <c r="B22" s="40" t="s">
        <v>157</v>
      </c>
      <c r="F22" s="50"/>
      <c r="G22" s="50"/>
      <c r="H22" s="51"/>
      <c r="I22" s="52">
        <f t="shared" si="0"/>
        <v>0</v>
      </c>
      <c r="J22" s="51"/>
      <c r="K22" s="53">
        <f t="shared" si="1"/>
        <v>0</v>
      </c>
    </row>
    <row r="23" spans="1:11" ht="18" customHeight="1">
      <c r="A23" s="45" t="s">
        <v>262</v>
      </c>
      <c r="B23" s="40" t="s">
        <v>158</v>
      </c>
      <c r="F23" s="50">
        <v>28</v>
      </c>
      <c r="G23" s="50">
        <v>5</v>
      </c>
      <c r="H23" s="51">
        <v>651</v>
      </c>
      <c r="I23" s="52">
        <f t="shared" si="0"/>
        <v>285.78899999999999</v>
      </c>
      <c r="J23" s="51"/>
      <c r="K23" s="53">
        <f t="shared" si="1"/>
        <v>936.78899999999999</v>
      </c>
    </row>
    <row r="24" spans="1:11" ht="18" customHeight="1">
      <c r="A24" s="45" t="s">
        <v>263</v>
      </c>
      <c r="B24" s="40" t="s">
        <v>159</v>
      </c>
      <c r="F24" s="50"/>
      <c r="G24" s="50"/>
      <c r="H24" s="51"/>
      <c r="I24" s="52">
        <f t="shared" si="0"/>
        <v>0</v>
      </c>
      <c r="J24" s="51"/>
      <c r="K24" s="53">
        <f t="shared" si="1"/>
        <v>0</v>
      </c>
    </row>
    <row r="25" spans="1:11" ht="18" customHeight="1">
      <c r="A25" s="45" t="s">
        <v>264</v>
      </c>
      <c r="B25" s="40" t="s">
        <v>160</v>
      </c>
      <c r="F25" s="50">
        <v>268</v>
      </c>
      <c r="G25" s="50">
        <v>2231</v>
      </c>
      <c r="H25" s="51">
        <v>21210</v>
      </c>
      <c r="I25" s="52">
        <f t="shared" si="0"/>
        <v>9311.19</v>
      </c>
      <c r="J25" s="51"/>
      <c r="K25" s="53">
        <f t="shared" si="1"/>
        <v>30521.190000000002</v>
      </c>
    </row>
    <row r="26" spans="1:11" ht="18" customHeight="1">
      <c r="A26" s="45" t="s">
        <v>265</v>
      </c>
      <c r="B26" s="40" t="s">
        <v>161</v>
      </c>
      <c r="F26" s="50"/>
      <c r="G26" s="50"/>
      <c r="H26" s="51"/>
      <c r="I26" s="52">
        <f t="shared" si="0"/>
        <v>0</v>
      </c>
      <c r="J26" s="51"/>
      <c r="K26" s="53">
        <f t="shared" si="1"/>
        <v>0</v>
      </c>
    </row>
    <row r="27" spans="1:11" ht="18" customHeight="1">
      <c r="A27" s="45" t="s">
        <v>266</v>
      </c>
      <c r="B27" s="40" t="s">
        <v>162</v>
      </c>
      <c r="F27" s="50"/>
      <c r="G27" s="50"/>
      <c r="H27" s="51"/>
      <c r="I27" s="52">
        <f t="shared" si="0"/>
        <v>0</v>
      </c>
      <c r="J27" s="51"/>
      <c r="K27" s="53">
        <f t="shared" si="1"/>
        <v>0</v>
      </c>
    </row>
    <row r="28" spans="1:11" ht="18" customHeight="1">
      <c r="A28" s="45" t="s">
        <v>267</v>
      </c>
      <c r="B28" s="40" t="s">
        <v>163</v>
      </c>
      <c r="F28" s="50"/>
      <c r="G28" s="50"/>
      <c r="H28" s="51"/>
      <c r="I28" s="52">
        <f t="shared" si="0"/>
        <v>0</v>
      </c>
      <c r="J28" s="51"/>
      <c r="K28" s="53">
        <f t="shared" si="1"/>
        <v>0</v>
      </c>
    </row>
    <row r="29" spans="1:11" ht="18" customHeight="1">
      <c r="A29" s="45" t="s">
        <v>268</v>
      </c>
      <c r="B29" s="40" t="s">
        <v>165</v>
      </c>
      <c r="F29" s="50">
        <v>20448</v>
      </c>
      <c r="G29" s="50">
        <v>8090</v>
      </c>
      <c r="H29" s="51">
        <v>505778</v>
      </c>
      <c r="I29" s="52">
        <f t="shared" si="0"/>
        <v>222036.54199999999</v>
      </c>
      <c r="J29" s="51"/>
      <c r="K29" s="53">
        <f t="shared" si="1"/>
        <v>727814.54200000002</v>
      </c>
    </row>
    <row r="30" spans="1:11" ht="18" customHeight="1">
      <c r="A30" s="45" t="s">
        <v>269</v>
      </c>
      <c r="B30" s="814" t="s">
        <v>617</v>
      </c>
      <c r="C30" s="815"/>
      <c r="D30" s="816"/>
      <c r="F30" s="50">
        <v>175</v>
      </c>
      <c r="G30" s="50">
        <v>155</v>
      </c>
      <c r="H30" s="51">
        <v>4570</v>
      </c>
      <c r="I30" s="52">
        <f t="shared" si="0"/>
        <v>2006.23</v>
      </c>
      <c r="J30" s="51"/>
      <c r="K30" s="53">
        <f t="shared" si="1"/>
        <v>6576.23</v>
      </c>
    </row>
    <row r="31" spans="1:11" ht="18" customHeight="1">
      <c r="A31" s="45" t="s">
        <v>270</v>
      </c>
      <c r="B31" s="814" t="s">
        <v>618</v>
      </c>
      <c r="C31" s="815"/>
      <c r="D31" s="816"/>
      <c r="F31" s="50">
        <v>328</v>
      </c>
      <c r="G31" s="50">
        <v>1000</v>
      </c>
      <c r="H31" s="51">
        <v>13187</v>
      </c>
      <c r="I31" s="52">
        <f t="shared" si="0"/>
        <v>5789.0929999999998</v>
      </c>
      <c r="J31" s="51"/>
      <c r="K31" s="53">
        <f t="shared" si="1"/>
        <v>18976.093000000001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0"/>
        <v>0</v>
      </c>
      <c r="J32" s="51"/>
      <c r="K32" s="53">
        <f t="shared" si="1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0"/>
        <v>0</v>
      </c>
      <c r="J33" s="51"/>
      <c r="K33" s="53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0"/>
        <v>0</v>
      </c>
      <c r="J34" s="51"/>
      <c r="K34" s="53">
        <f t="shared" si="1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21362</v>
      </c>
      <c r="G36" s="59">
        <f t="shared" si="2"/>
        <v>14019</v>
      </c>
      <c r="H36" s="59">
        <f t="shared" si="2"/>
        <v>548991</v>
      </c>
      <c r="I36" s="53">
        <f t="shared" si="2"/>
        <v>241007.049</v>
      </c>
      <c r="J36" s="53">
        <f t="shared" si="2"/>
        <v>0</v>
      </c>
      <c r="K36" s="53">
        <f t="shared" si="2"/>
        <v>789998.049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>
        <v>15064</v>
      </c>
      <c r="G40" s="50">
        <v>0</v>
      </c>
      <c r="H40" s="51">
        <v>1298023</v>
      </c>
      <c r="I40" s="52">
        <v>0</v>
      </c>
      <c r="J40" s="51"/>
      <c r="K40" s="53">
        <f t="shared" ref="K40:K47" si="3">(H40+I40)-J40</f>
        <v>1298023</v>
      </c>
    </row>
    <row r="41" spans="1:11" ht="18" customHeight="1">
      <c r="A41" s="45" t="s">
        <v>278</v>
      </c>
      <c r="B41" s="818" t="s">
        <v>172</v>
      </c>
      <c r="C41" s="819"/>
      <c r="F41" s="50">
        <v>64</v>
      </c>
      <c r="G41" s="50">
        <v>0</v>
      </c>
      <c r="H41" s="51">
        <v>2481</v>
      </c>
      <c r="I41" s="52">
        <v>0</v>
      </c>
      <c r="J41" s="51"/>
      <c r="K41" s="53">
        <f t="shared" si="3"/>
        <v>2481</v>
      </c>
    </row>
    <row r="42" spans="1:11" ht="18" customHeight="1">
      <c r="A42" s="45" t="s">
        <v>279</v>
      </c>
      <c r="B42" s="49" t="s">
        <v>174</v>
      </c>
      <c r="F42" s="50">
        <v>992</v>
      </c>
      <c r="G42" s="50">
        <v>0</v>
      </c>
      <c r="H42" s="51">
        <v>23071</v>
      </c>
      <c r="I42" s="52">
        <v>0</v>
      </c>
      <c r="J42" s="51"/>
      <c r="K42" s="53">
        <f t="shared" si="3"/>
        <v>23071</v>
      </c>
    </row>
    <row r="43" spans="1:11" ht="18" customHeight="1">
      <c r="A43" s="45" t="s">
        <v>280</v>
      </c>
      <c r="B43" s="49" t="s">
        <v>176</v>
      </c>
      <c r="F43" s="50"/>
      <c r="G43" s="50"/>
      <c r="H43" s="51"/>
      <c r="I43" s="52">
        <v>0</v>
      </c>
      <c r="J43" s="51"/>
      <c r="K43" s="53">
        <f t="shared" si="3"/>
        <v>0</v>
      </c>
    </row>
    <row r="44" spans="1:11" ht="18" customHeight="1">
      <c r="A44" s="45" t="s">
        <v>281</v>
      </c>
      <c r="B44" s="814" t="s">
        <v>619</v>
      </c>
      <c r="C44" s="815"/>
      <c r="D44" s="816"/>
      <c r="F44" s="50">
        <v>160</v>
      </c>
      <c r="G44" s="50">
        <v>0</v>
      </c>
      <c r="H44" s="50">
        <v>12818</v>
      </c>
      <c r="I44" s="52">
        <v>0</v>
      </c>
      <c r="J44" s="50"/>
      <c r="K44" s="63">
        <f t="shared" si="3"/>
        <v>12818</v>
      </c>
    </row>
    <row r="45" spans="1:11" ht="18" customHeight="1">
      <c r="A45" s="45" t="s">
        <v>283</v>
      </c>
      <c r="B45" s="814" t="s">
        <v>620</v>
      </c>
      <c r="C45" s="815"/>
      <c r="D45" s="816"/>
      <c r="F45" s="50">
        <v>5435</v>
      </c>
      <c r="G45" s="50">
        <v>0</v>
      </c>
      <c r="H45" s="51">
        <v>126942</v>
      </c>
      <c r="I45" s="52">
        <v>0</v>
      </c>
      <c r="J45" s="51"/>
      <c r="K45" s="53">
        <f t="shared" si="3"/>
        <v>126942</v>
      </c>
    </row>
    <row r="46" spans="1:11" ht="18" customHeight="1">
      <c r="A46" s="45" t="s">
        <v>284</v>
      </c>
      <c r="B46" s="814" t="s">
        <v>621</v>
      </c>
      <c r="C46" s="815"/>
      <c r="D46" s="816"/>
      <c r="F46" s="50">
        <v>2080</v>
      </c>
      <c r="G46" s="50">
        <v>0</v>
      </c>
      <c r="H46" s="51">
        <v>52760</v>
      </c>
      <c r="I46" s="52">
        <v>0</v>
      </c>
      <c r="J46" s="51"/>
      <c r="K46" s="53">
        <f t="shared" si="3"/>
        <v>52760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23795</v>
      </c>
      <c r="G49" s="64">
        <f t="shared" si="4"/>
        <v>0</v>
      </c>
      <c r="H49" s="53">
        <f t="shared" si="4"/>
        <v>1516095</v>
      </c>
      <c r="I49" s="53">
        <f t="shared" si="4"/>
        <v>0</v>
      </c>
      <c r="J49" s="53">
        <f t="shared" si="4"/>
        <v>0</v>
      </c>
      <c r="K49" s="53">
        <f t="shared" si="4"/>
        <v>1516095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46" t="s">
        <v>622</v>
      </c>
      <c r="C53" s="823"/>
      <c r="D53" s="813"/>
      <c r="F53" s="50">
        <v>7303</v>
      </c>
      <c r="G53" s="50">
        <v>3494</v>
      </c>
      <c r="H53" s="51">
        <v>199910</v>
      </c>
      <c r="I53" s="52">
        <f>H53*F$114</f>
        <v>87760.49</v>
      </c>
      <c r="J53" s="51"/>
      <c r="K53" s="53">
        <f t="shared" ref="K53:K62" si="5">(H53+I53)-J53</f>
        <v>287670.49</v>
      </c>
    </row>
    <row r="54" spans="1:11" ht="18" customHeight="1">
      <c r="A54" s="45" t="s">
        <v>289</v>
      </c>
      <c r="B54" s="104" t="s">
        <v>424</v>
      </c>
      <c r="C54" s="105"/>
      <c r="D54" s="106"/>
      <c r="F54" s="50">
        <v>0</v>
      </c>
      <c r="G54" s="50">
        <v>0</v>
      </c>
      <c r="H54" s="51">
        <v>15216046</v>
      </c>
      <c r="I54" s="52">
        <v>0</v>
      </c>
      <c r="J54" s="51"/>
      <c r="K54" s="53">
        <f t="shared" si="5"/>
        <v>15216046</v>
      </c>
    </row>
    <row r="55" spans="1:11" ht="18" customHeight="1">
      <c r="A55" s="45" t="s">
        <v>291</v>
      </c>
      <c r="B55" s="811"/>
      <c r="C55" s="812"/>
      <c r="D55" s="813"/>
      <c r="F55" s="50"/>
      <c r="G55" s="50"/>
      <c r="H55" s="51"/>
      <c r="I55" s="52">
        <v>0</v>
      </c>
      <c r="J55" s="51"/>
      <c r="K55" s="53">
        <f t="shared" si="5"/>
        <v>0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v>0</v>
      </c>
      <c r="J56" s="51"/>
      <c r="K56" s="53">
        <f t="shared" si="5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v>0</v>
      </c>
      <c r="J57" s="51"/>
      <c r="K57" s="53">
        <f t="shared" si="5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v>0</v>
      </c>
      <c r="J58" s="51"/>
      <c r="K58" s="53">
        <f t="shared" si="5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v>0</v>
      </c>
      <c r="J59" s="51"/>
      <c r="K59" s="53">
        <f t="shared" si="5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v>0</v>
      </c>
      <c r="J60" s="51"/>
      <c r="K60" s="53">
        <f t="shared" si="5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v>0</v>
      </c>
      <c r="J61" s="51"/>
      <c r="K61" s="53">
        <f t="shared" si="5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5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6">SUM(F53:F62)</f>
        <v>7303</v>
      </c>
      <c r="G64" s="59">
        <f t="shared" si="6"/>
        <v>3494</v>
      </c>
      <c r="H64" s="53">
        <f t="shared" si="6"/>
        <v>15415956</v>
      </c>
      <c r="I64" s="53">
        <f t="shared" si="6"/>
        <v>87760.49</v>
      </c>
      <c r="J64" s="53">
        <f t="shared" si="6"/>
        <v>0</v>
      </c>
      <c r="K64" s="53">
        <f t="shared" si="6"/>
        <v>15503716.49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/>
      <c r="G68" s="78"/>
      <c r="H68" s="78"/>
      <c r="I68" s="52">
        <v>0</v>
      </c>
      <c r="J68" s="78"/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7">SUM(F68:F72)</f>
        <v>0</v>
      </c>
      <c r="G74" s="86">
        <f t="shared" si="7"/>
        <v>0</v>
      </c>
      <c r="H74" s="86">
        <f t="shared" si="7"/>
        <v>0</v>
      </c>
      <c r="I74" s="87">
        <f t="shared" si="7"/>
        <v>0</v>
      </c>
      <c r="J74" s="86">
        <f t="shared" si="7"/>
        <v>0</v>
      </c>
      <c r="K74" s="63">
        <f t="shared" si="7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>
        <v>0</v>
      </c>
      <c r="G77" s="50">
        <v>1</v>
      </c>
      <c r="H77" s="51">
        <v>26500</v>
      </c>
      <c r="I77" s="52">
        <v>0</v>
      </c>
      <c r="J77" s="51"/>
      <c r="K77" s="53">
        <f>(H77+I77)-J77</f>
        <v>26500</v>
      </c>
    </row>
    <row r="78" spans="1:11" ht="18" customHeight="1">
      <c r="A78" s="45" t="s">
        <v>313</v>
      </c>
      <c r="B78" s="49" t="s">
        <v>197</v>
      </c>
      <c r="F78" s="50"/>
      <c r="G78" s="50"/>
      <c r="H78" s="51"/>
      <c r="I78" s="52">
        <v>0</v>
      </c>
      <c r="J78" s="51"/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>
        <v>304</v>
      </c>
      <c r="G79" s="50">
        <v>23</v>
      </c>
      <c r="H79" s="51">
        <v>7058</v>
      </c>
      <c r="I79" s="52">
        <v>0</v>
      </c>
      <c r="J79" s="51"/>
      <c r="K79" s="53">
        <f>(H79+I79)-J79</f>
        <v>7058</v>
      </c>
    </row>
    <row r="80" spans="1:11" ht="18" customHeight="1">
      <c r="A80" s="45" t="s">
        <v>315</v>
      </c>
      <c r="B80" s="49" t="s">
        <v>316</v>
      </c>
      <c r="F80" s="50"/>
      <c r="G80" s="50"/>
      <c r="H80" s="51"/>
      <c r="I80" s="52">
        <v>0</v>
      </c>
      <c r="J80" s="51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8">SUM(F77:F80)</f>
        <v>304</v>
      </c>
      <c r="G82" s="86">
        <f t="shared" si="8"/>
        <v>24</v>
      </c>
      <c r="H82" s="63">
        <f t="shared" si="8"/>
        <v>33558</v>
      </c>
      <c r="I82" s="63">
        <f t="shared" si="8"/>
        <v>0</v>
      </c>
      <c r="J82" s="63">
        <f t="shared" si="8"/>
        <v>0</v>
      </c>
      <c r="K82" s="63">
        <f t="shared" si="8"/>
        <v>33558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/>
      <c r="G86" s="50"/>
      <c r="H86" s="51"/>
      <c r="I86" s="52">
        <f t="shared" ref="I86:I96" si="9">H86*F$114</f>
        <v>0</v>
      </c>
      <c r="J86" s="51"/>
      <c r="K86" s="53">
        <f t="shared" ref="K86:K96" si="10">(H86+I86)-J86</f>
        <v>0</v>
      </c>
    </row>
    <row r="87" spans="1:11" ht="18" customHeight="1">
      <c r="A87" s="45" t="s">
        <v>320</v>
      </c>
      <c r="B87" s="49" t="s">
        <v>206</v>
      </c>
      <c r="F87" s="50"/>
      <c r="G87" s="50"/>
      <c r="H87" s="51"/>
      <c r="I87" s="52">
        <f t="shared" si="9"/>
        <v>0</v>
      </c>
      <c r="J87" s="51"/>
      <c r="K87" s="53">
        <f t="shared" si="10"/>
        <v>0</v>
      </c>
    </row>
    <row r="88" spans="1:11" ht="18" customHeight="1">
      <c r="A88" s="45" t="s">
        <v>321</v>
      </c>
      <c r="B88" s="49" t="s">
        <v>208</v>
      </c>
      <c r="F88" s="50"/>
      <c r="G88" s="50"/>
      <c r="H88" s="51"/>
      <c r="I88" s="52">
        <f t="shared" si="9"/>
        <v>0</v>
      </c>
      <c r="J88" s="51"/>
      <c r="K88" s="53">
        <f t="shared" si="10"/>
        <v>0</v>
      </c>
    </row>
    <row r="89" spans="1:11" ht="18" customHeight="1">
      <c r="A89" s="45" t="s">
        <v>322</v>
      </c>
      <c r="B89" s="49" t="s">
        <v>210</v>
      </c>
      <c r="F89" s="50"/>
      <c r="G89" s="50"/>
      <c r="H89" s="51"/>
      <c r="I89" s="52">
        <f t="shared" si="9"/>
        <v>0</v>
      </c>
      <c r="J89" s="51"/>
      <c r="K89" s="53">
        <f t="shared" si="10"/>
        <v>0</v>
      </c>
    </row>
    <row r="90" spans="1:11" ht="18" customHeight="1">
      <c r="A90" s="45" t="s">
        <v>323</v>
      </c>
      <c r="B90" s="818" t="s">
        <v>212</v>
      </c>
      <c r="C90" s="819"/>
      <c r="F90" s="50"/>
      <c r="G90" s="50"/>
      <c r="H90" s="51"/>
      <c r="I90" s="52">
        <f t="shared" si="9"/>
        <v>0</v>
      </c>
      <c r="J90" s="51"/>
      <c r="K90" s="53">
        <f t="shared" si="10"/>
        <v>0</v>
      </c>
    </row>
    <row r="91" spans="1:11" ht="18" customHeight="1">
      <c r="A91" s="45" t="s">
        <v>324</v>
      </c>
      <c r="B91" s="49" t="s">
        <v>214</v>
      </c>
      <c r="F91" s="50"/>
      <c r="G91" s="50"/>
      <c r="H91" s="51"/>
      <c r="I91" s="52">
        <f t="shared" si="9"/>
        <v>0</v>
      </c>
      <c r="J91" s="51"/>
      <c r="K91" s="53">
        <f t="shared" si="10"/>
        <v>0</v>
      </c>
    </row>
    <row r="92" spans="1:11" ht="18" customHeight="1">
      <c r="A92" s="45" t="s">
        <v>325</v>
      </c>
      <c r="B92" s="49" t="s">
        <v>216</v>
      </c>
      <c r="F92" s="89"/>
      <c r="G92" s="89"/>
      <c r="H92" s="90"/>
      <c r="I92" s="52">
        <f t="shared" si="9"/>
        <v>0</v>
      </c>
      <c r="J92" s="90"/>
      <c r="K92" s="53">
        <f t="shared" si="10"/>
        <v>0</v>
      </c>
    </row>
    <row r="93" spans="1:11" ht="18" customHeight="1">
      <c r="A93" s="45" t="s">
        <v>326</v>
      </c>
      <c r="B93" s="49" t="s">
        <v>218</v>
      </c>
      <c r="F93" s="50"/>
      <c r="G93" s="50"/>
      <c r="H93" s="51"/>
      <c r="I93" s="52">
        <f t="shared" si="9"/>
        <v>0</v>
      </c>
      <c r="J93" s="51"/>
      <c r="K93" s="53">
        <f t="shared" si="10"/>
        <v>0</v>
      </c>
    </row>
    <row r="94" spans="1:11" ht="18" customHeight="1">
      <c r="A94" s="45" t="s">
        <v>327</v>
      </c>
      <c r="B94" s="811" t="s">
        <v>623</v>
      </c>
      <c r="C94" s="812"/>
      <c r="D94" s="813"/>
      <c r="F94" s="50">
        <v>5</v>
      </c>
      <c r="G94" s="50">
        <v>0</v>
      </c>
      <c r="H94" s="51">
        <v>116</v>
      </c>
      <c r="I94" s="52">
        <f t="shared" si="9"/>
        <v>50.923999999999999</v>
      </c>
      <c r="J94" s="51"/>
      <c r="K94" s="53">
        <f t="shared" si="10"/>
        <v>166.92400000000001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9"/>
        <v>0</v>
      </c>
      <c r="J95" s="51"/>
      <c r="K95" s="53">
        <f t="shared" si="10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9"/>
        <v>0</v>
      </c>
      <c r="J96" s="51"/>
      <c r="K96" s="53">
        <f t="shared" si="10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1">SUM(F86:F96)</f>
        <v>5</v>
      </c>
      <c r="G98" s="59">
        <f t="shared" si="11"/>
        <v>0</v>
      </c>
      <c r="H98" s="59">
        <f t="shared" si="11"/>
        <v>116</v>
      </c>
      <c r="I98" s="59">
        <f t="shared" si="11"/>
        <v>50.923999999999999</v>
      </c>
      <c r="J98" s="59">
        <f t="shared" si="11"/>
        <v>0</v>
      </c>
      <c r="K98" s="59">
        <f t="shared" si="11"/>
        <v>166.92400000000001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862</v>
      </c>
      <c r="G102" s="50">
        <v>0</v>
      </c>
      <c r="H102" s="51">
        <v>36979</v>
      </c>
      <c r="I102" s="52">
        <f>H102*F$114</f>
        <v>16233.781000000001</v>
      </c>
      <c r="J102" s="51"/>
      <c r="K102" s="53">
        <f>(H102+I102)-J102</f>
        <v>53212.781000000003</v>
      </c>
    </row>
    <row r="103" spans="1:11" ht="18" customHeight="1">
      <c r="A103" s="45" t="s">
        <v>333</v>
      </c>
      <c r="B103" s="818" t="s">
        <v>226</v>
      </c>
      <c r="C103" s="818"/>
      <c r="F103" s="50"/>
      <c r="G103" s="50"/>
      <c r="H103" s="51"/>
      <c r="I103" s="52">
        <f>H103*F$114</f>
        <v>0</v>
      </c>
      <c r="J103" s="51"/>
      <c r="K103" s="53">
        <f>(H103+I103)-J103</f>
        <v>0</v>
      </c>
    </row>
    <row r="104" spans="1:11" ht="18" customHeight="1">
      <c r="A104" s="45" t="s">
        <v>334</v>
      </c>
      <c r="B104" s="811"/>
      <c r="C104" s="812"/>
      <c r="D104" s="813"/>
      <c r="F104" s="50"/>
      <c r="G104" s="50"/>
      <c r="H104" s="51"/>
      <c r="I104" s="52">
        <f>H104*F$114</f>
        <v>0</v>
      </c>
      <c r="J104" s="51"/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2">SUM(F102:F106)</f>
        <v>862</v>
      </c>
      <c r="G108" s="59">
        <f t="shared" si="12"/>
        <v>0</v>
      </c>
      <c r="H108" s="53">
        <f t="shared" si="12"/>
        <v>36979</v>
      </c>
      <c r="I108" s="53">
        <f t="shared" si="12"/>
        <v>16233.781000000001</v>
      </c>
      <c r="J108" s="53">
        <f t="shared" si="12"/>
        <v>0</v>
      </c>
      <c r="K108" s="53">
        <f t="shared" si="12"/>
        <v>53212.781000000003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23597000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0.439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183353000</v>
      </c>
    </row>
    <row r="118" spans="1:6">
      <c r="A118" s="45" t="s">
        <v>343</v>
      </c>
      <c r="B118" s="40" t="s">
        <v>237</v>
      </c>
      <c r="F118" s="51">
        <v>1483000</v>
      </c>
    </row>
    <row r="119" spans="1:6">
      <c r="A119" s="45" t="s">
        <v>344</v>
      </c>
      <c r="B119" s="43" t="s">
        <v>238</v>
      </c>
      <c r="F119" s="63">
        <f>SUM(F117:F118)</f>
        <v>184836000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190985000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f>F119-F121</f>
        <v>-6149000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2499000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f>F123+F125</f>
        <v>-3650000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3">SUM(F131:F135)</f>
        <v>0</v>
      </c>
      <c r="G137" s="59">
        <f t="shared" si="13"/>
        <v>0</v>
      </c>
      <c r="H137" s="53">
        <f t="shared" si="13"/>
        <v>0</v>
      </c>
      <c r="I137" s="53">
        <f t="shared" si="13"/>
        <v>0</v>
      </c>
      <c r="J137" s="53">
        <f t="shared" si="13"/>
        <v>0</v>
      </c>
      <c r="K137" s="53">
        <f t="shared" si="13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4">F36</f>
        <v>21362</v>
      </c>
      <c r="G141" s="95">
        <f t="shared" si="14"/>
        <v>14019</v>
      </c>
      <c r="H141" s="95">
        <f t="shared" si="14"/>
        <v>548991</v>
      </c>
      <c r="I141" s="95">
        <f t="shared" si="14"/>
        <v>241007.049</v>
      </c>
      <c r="J141" s="95">
        <f t="shared" si="14"/>
        <v>0</v>
      </c>
      <c r="K141" s="95">
        <f t="shared" si="14"/>
        <v>789998.049</v>
      </c>
    </row>
    <row r="142" spans="1:11" ht="18" customHeight="1">
      <c r="A142" s="45" t="s">
        <v>286</v>
      </c>
      <c r="B142" s="43" t="s">
        <v>125</v>
      </c>
      <c r="F142" s="95">
        <f t="shared" ref="F142:K142" si="15">F49</f>
        <v>23795</v>
      </c>
      <c r="G142" s="95">
        <f t="shared" si="15"/>
        <v>0</v>
      </c>
      <c r="H142" s="95">
        <f t="shared" si="15"/>
        <v>1516095</v>
      </c>
      <c r="I142" s="95">
        <f t="shared" si="15"/>
        <v>0</v>
      </c>
      <c r="J142" s="95">
        <f t="shared" si="15"/>
        <v>0</v>
      </c>
      <c r="K142" s="95">
        <f t="shared" si="15"/>
        <v>1516095</v>
      </c>
    </row>
    <row r="143" spans="1:11" ht="18" customHeight="1">
      <c r="A143" s="45" t="s">
        <v>305</v>
      </c>
      <c r="B143" s="43" t="s">
        <v>247</v>
      </c>
      <c r="F143" s="95">
        <f t="shared" ref="F143:K143" si="16">F64</f>
        <v>7303</v>
      </c>
      <c r="G143" s="95">
        <f t="shared" si="16"/>
        <v>3494</v>
      </c>
      <c r="H143" s="95">
        <f t="shared" si="16"/>
        <v>15415956</v>
      </c>
      <c r="I143" s="95">
        <f t="shared" si="16"/>
        <v>87760.49</v>
      </c>
      <c r="J143" s="95">
        <f t="shared" si="16"/>
        <v>0</v>
      </c>
      <c r="K143" s="95">
        <f t="shared" si="16"/>
        <v>15503716.49</v>
      </c>
    </row>
    <row r="144" spans="1:11" ht="18" customHeight="1">
      <c r="A144" s="45" t="s">
        <v>311</v>
      </c>
      <c r="B144" s="43" t="s">
        <v>127</v>
      </c>
      <c r="F144" s="95">
        <f t="shared" ref="F144:K144" si="17">F74</f>
        <v>0</v>
      </c>
      <c r="G144" s="95">
        <f t="shared" si="17"/>
        <v>0</v>
      </c>
      <c r="H144" s="95">
        <f t="shared" si="17"/>
        <v>0</v>
      </c>
      <c r="I144" s="95">
        <f t="shared" si="17"/>
        <v>0</v>
      </c>
      <c r="J144" s="95">
        <f t="shared" si="17"/>
        <v>0</v>
      </c>
      <c r="K144" s="95">
        <f t="shared" si="17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18">F82</f>
        <v>304</v>
      </c>
      <c r="G145" s="95">
        <f t="shared" si="18"/>
        <v>24</v>
      </c>
      <c r="H145" s="95">
        <f t="shared" si="18"/>
        <v>33558</v>
      </c>
      <c r="I145" s="95">
        <f t="shared" si="18"/>
        <v>0</v>
      </c>
      <c r="J145" s="95">
        <f t="shared" si="18"/>
        <v>0</v>
      </c>
      <c r="K145" s="95">
        <f t="shared" si="18"/>
        <v>33558</v>
      </c>
    </row>
    <row r="146" spans="1:11" ht="18" customHeight="1">
      <c r="A146" s="45" t="s">
        <v>331</v>
      </c>
      <c r="B146" s="43" t="s">
        <v>249</v>
      </c>
      <c r="F146" s="95">
        <f t="shared" ref="F146:K146" si="19">F98</f>
        <v>5</v>
      </c>
      <c r="G146" s="95">
        <f t="shared" si="19"/>
        <v>0</v>
      </c>
      <c r="H146" s="95">
        <f t="shared" si="19"/>
        <v>116</v>
      </c>
      <c r="I146" s="95">
        <f t="shared" si="19"/>
        <v>50.923999999999999</v>
      </c>
      <c r="J146" s="95">
        <f t="shared" si="19"/>
        <v>0</v>
      </c>
      <c r="K146" s="95">
        <f t="shared" si="19"/>
        <v>166.92400000000001</v>
      </c>
    </row>
    <row r="147" spans="1:11" ht="18" customHeight="1">
      <c r="A147" s="45" t="s">
        <v>338</v>
      </c>
      <c r="B147" s="43" t="s">
        <v>129</v>
      </c>
      <c r="F147" s="59">
        <f t="shared" ref="F147:K147" si="20">F108</f>
        <v>862</v>
      </c>
      <c r="G147" s="59">
        <f t="shared" si="20"/>
        <v>0</v>
      </c>
      <c r="H147" s="59">
        <f t="shared" si="20"/>
        <v>36979</v>
      </c>
      <c r="I147" s="59">
        <f t="shared" si="20"/>
        <v>16233.781000000001</v>
      </c>
      <c r="J147" s="59">
        <f t="shared" si="20"/>
        <v>0</v>
      </c>
      <c r="K147" s="59">
        <f t="shared" si="20"/>
        <v>53212.781000000003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23597000</v>
      </c>
    </row>
    <row r="149" spans="1:11" ht="18" customHeight="1">
      <c r="A149" s="45" t="s">
        <v>358</v>
      </c>
      <c r="B149" s="43" t="s">
        <v>250</v>
      </c>
      <c r="F149" s="59">
        <f t="shared" ref="F149:K149" si="21">F137</f>
        <v>0</v>
      </c>
      <c r="G149" s="59">
        <f t="shared" si="21"/>
        <v>0</v>
      </c>
      <c r="H149" s="59">
        <f t="shared" si="21"/>
        <v>0</v>
      </c>
      <c r="I149" s="59">
        <f t="shared" si="21"/>
        <v>0</v>
      </c>
      <c r="J149" s="59">
        <f t="shared" si="21"/>
        <v>0</v>
      </c>
      <c r="K149" s="59">
        <f t="shared" si="21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4413895</v>
      </c>
      <c r="I150" s="59">
        <f>I18</f>
        <v>0</v>
      </c>
      <c r="J150" s="59">
        <f>J18</f>
        <v>3774432</v>
      </c>
      <c r="K150" s="59">
        <f>K18</f>
        <v>639463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2">SUM(F141:F150)</f>
        <v>53631</v>
      </c>
      <c r="G152" s="99">
        <f t="shared" si="22"/>
        <v>17537</v>
      </c>
      <c r="H152" s="99">
        <f t="shared" si="22"/>
        <v>21965590</v>
      </c>
      <c r="I152" s="99">
        <f t="shared" si="22"/>
        <v>345052.24400000001</v>
      </c>
      <c r="J152" s="99">
        <f t="shared" si="22"/>
        <v>3774432</v>
      </c>
      <c r="K152" s="99">
        <f t="shared" si="22"/>
        <v>42133210.244000003</v>
      </c>
    </row>
    <row r="154" spans="1:11" ht="18" customHeight="1">
      <c r="A154" s="48" t="s">
        <v>361</v>
      </c>
      <c r="B154" s="43" t="s">
        <v>252</v>
      </c>
      <c r="F154" s="165">
        <f>K152/F121</f>
        <v>0.22061004918710894</v>
      </c>
    </row>
    <row r="155" spans="1:11" ht="18" customHeight="1">
      <c r="A155" s="48" t="s">
        <v>362</v>
      </c>
      <c r="B155" s="43" t="s">
        <v>253</v>
      </c>
      <c r="F155" s="165">
        <f>K152/F127</f>
        <v>-11.543345272328768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8" workbookViewId="0">
      <selection activeCell="B43" sqref="B43"/>
    </sheetView>
  </sheetViews>
  <sheetFormatPr defaultRowHeight="12.75"/>
  <cols>
    <col min="1" max="1" width="8.28515625" style="135" customWidth="1"/>
    <col min="2" max="2" width="55.42578125" style="49" bestFit="1" customWidth="1"/>
    <col min="3" max="3" width="9.5703125" style="49" customWidth="1"/>
    <col min="4" max="4" width="9.140625" style="49"/>
    <col min="5" max="5" width="12.42578125" style="49" customWidth="1"/>
    <col min="6" max="6" width="18.5703125" style="49" customWidth="1"/>
    <col min="7" max="7" width="23.5703125" style="49" customWidth="1"/>
    <col min="8" max="8" width="17.140625" style="49" customWidth="1"/>
    <col min="9" max="9" width="20" style="49" customWidth="1"/>
    <col min="10" max="10" width="19.85546875" style="49" customWidth="1"/>
    <col min="11" max="11" width="17.5703125" style="49" customWidth="1"/>
    <col min="12" max="16384" width="9.140625" style="49"/>
  </cols>
  <sheetData>
    <row r="1" spans="1:11" ht="18" customHeight="1">
      <c r="C1" s="346"/>
      <c r="D1" s="42"/>
      <c r="E1" s="346"/>
      <c r="F1" s="346"/>
      <c r="G1" s="346"/>
      <c r="H1" s="346"/>
      <c r="I1" s="346"/>
      <c r="J1" s="346"/>
      <c r="K1" s="346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26" t="s">
        <v>765</v>
      </c>
      <c r="D5" s="851"/>
      <c r="E5" s="851"/>
      <c r="F5" s="851"/>
      <c r="G5" s="852"/>
    </row>
    <row r="6" spans="1:11" ht="18" customHeight="1">
      <c r="B6" s="45" t="s">
        <v>136</v>
      </c>
      <c r="C6" s="829">
        <v>39</v>
      </c>
      <c r="D6" s="854"/>
      <c r="E6" s="854"/>
      <c r="F6" s="854"/>
      <c r="G6" s="855"/>
    </row>
    <row r="7" spans="1:11" ht="18" customHeight="1">
      <c r="B7" s="45" t="s">
        <v>137</v>
      </c>
      <c r="C7" s="878">
        <v>1141</v>
      </c>
      <c r="D7" s="857"/>
      <c r="E7" s="857"/>
      <c r="F7" s="857"/>
      <c r="G7" s="858"/>
    </row>
    <row r="9" spans="1:11" ht="18" customHeight="1">
      <c r="B9" s="45" t="s">
        <v>138</v>
      </c>
      <c r="C9" s="826" t="s">
        <v>766</v>
      </c>
      <c r="D9" s="851"/>
      <c r="E9" s="851"/>
      <c r="F9" s="851"/>
      <c r="G9" s="852"/>
    </row>
    <row r="10" spans="1:11" ht="18" customHeight="1">
      <c r="B10" s="45" t="s">
        <v>140</v>
      </c>
      <c r="C10" s="835" t="s">
        <v>767</v>
      </c>
      <c r="D10" s="860"/>
      <c r="E10" s="860"/>
      <c r="F10" s="860"/>
      <c r="G10" s="861"/>
    </row>
    <row r="11" spans="1:11" ht="18" customHeight="1">
      <c r="B11" s="45" t="s">
        <v>142</v>
      </c>
      <c r="C11" s="838" t="s">
        <v>768</v>
      </c>
      <c r="D11" s="874"/>
      <c r="E11" s="874"/>
      <c r="F11" s="874"/>
      <c r="G11" s="874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346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7" t="s">
        <v>122</v>
      </c>
      <c r="G18" s="57" t="s">
        <v>122</v>
      </c>
      <c r="H18" s="386">
        <v>3551896.66978727</v>
      </c>
      <c r="I18" s="167">
        <v>0</v>
      </c>
      <c r="J18" s="386">
        <v>3037315.7570626098</v>
      </c>
      <c r="K18" s="387">
        <f>(H18+I18)-J18</f>
        <v>514580.91272466024</v>
      </c>
    </row>
    <row r="19" spans="1:11" ht="45" customHeight="1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388">
        <v>1778</v>
      </c>
      <c r="G21" s="57">
        <v>6888</v>
      </c>
      <c r="H21" s="167">
        <v>166121</v>
      </c>
      <c r="I21" s="167">
        <v>142032</v>
      </c>
      <c r="J21" s="347">
        <v>9235</v>
      </c>
      <c r="K21" s="348">
        <f t="shared" ref="K21:K34" si="0">(H21+I21)-J21</f>
        <v>298918</v>
      </c>
    </row>
    <row r="22" spans="1:11" ht="18" customHeight="1">
      <c r="A22" s="45" t="s">
        <v>261</v>
      </c>
      <c r="B22" s="49" t="s">
        <v>157</v>
      </c>
      <c r="F22" s="388">
        <v>666</v>
      </c>
      <c r="G22" s="57">
        <v>1535</v>
      </c>
      <c r="H22" s="167">
        <v>24413</v>
      </c>
      <c r="I22" s="167">
        <v>20879</v>
      </c>
      <c r="J22" s="347">
        <v>0</v>
      </c>
      <c r="K22" s="348">
        <f t="shared" si="0"/>
        <v>45292</v>
      </c>
    </row>
    <row r="23" spans="1:11" ht="18" customHeight="1">
      <c r="A23" s="45" t="s">
        <v>262</v>
      </c>
      <c r="B23" s="49" t="s">
        <v>158</v>
      </c>
      <c r="F23" s="388"/>
      <c r="G23" s="57"/>
      <c r="H23" s="167"/>
      <c r="I23" s="167">
        <f t="shared" ref="I23:I34" si="1">H23*F$114</f>
        <v>0</v>
      </c>
      <c r="J23" s="347"/>
      <c r="K23" s="348">
        <f t="shared" si="0"/>
        <v>0</v>
      </c>
    </row>
    <row r="24" spans="1:11" ht="18" customHeight="1">
      <c r="A24" s="45" t="s">
        <v>263</v>
      </c>
      <c r="B24" s="49" t="s">
        <v>159</v>
      </c>
      <c r="F24" s="388">
        <v>1668</v>
      </c>
      <c r="G24" s="57">
        <v>1435</v>
      </c>
      <c r="H24" s="167">
        <v>209123</v>
      </c>
      <c r="I24" s="167">
        <v>178801</v>
      </c>
      <c r="J24" s="347">
        <v>243902</v>
      </c>
      <c r="K24" s="348">
        <f t="shared" si="0"/>
        <v>144022</v>
      </c>
    </row>
    <row r="25" spans="1:11" ht="18" customHeight="1">
      <c r="A25" s="45" t="s">
        <v>264</v>
      </c>
      <c r="B25" s="49" t="s">
        <v>160</v>
      </c>
      <c r="F25" s="388">
        <v>772</v>
      </c>
      <c r="G25" s="57">
        <v>1939</v>
      </c>
      <c r="H25" s="167">
        <v>31090</v>
      </c>
      <c r="I25" s="167">
        <v>26576</v>
      </c>
      <c r="J25" s="347">
        <v>0</v>
      </c>
      <c r="K25" s="348">
        <f t="shared" si="0"/>
        <v>57666</v>
      </c>
    </row>
    <row r="26" spans="1:11" ht="18" customHeight="1">
      <c r="A26" s="45" t="s">
        <v>265</v>
      </c>
      <c r="B26" s="49" t="s">
        <v>161</v>
      </c>
      <c r="F26" s="388"/>
      <c r="G26" s="57"/>
      <c r="H26" s="167"/>
      <c r="I26" s="167">
        <f t="shared" si="1"/>
        <v>0</v>
      </c>
      <c r="J26" s="347"/>
      <c r="K26" s="348">
        <f t="shared" si="0"/>
        <v>0</v>
      </c>
    </row>
    <row r="27" spans="1:11" ht="18" customHeight="1">
      <c r="A27" s="45" t="s">
        <v>266</v>
      </c>
      <c r="B27" s="49" t="s">
        <v>162</v>
      </c>
      <c r="F27" s="388"/>
      <c r="G27" s="57"/>
      <c r="H27" s="167"/>
      <c r="I27" s="167">
        <f t="shared" si="1"/>
        <v>0</v>
      </c>
      <c r="J27" s="347"/>
      <c r="K27" s="348">
        <f t="shared" si="0"/>
        <v>0</v>
      </c>
    </row>
    <row r="28" spans="1:11" ht="18" customHeight="1">
      <c r="A28" s="45" t="s">
        <v>267</v>
      </c>
      <c r="B28" s="49" t="s">
        <v>163</v>
      </c>
      <c r="F28" s="388"/>
      <c r="G28" s="57"/>
      <c r="H28" s="167"/>
      <c r="I28" s="167">
        <f t="shared" si="1"/>
        <v>0</v>
      </c>
      <c r="J28" s="347"/>
      <c r="K28" s="348">
        <f t="shared" si="0"/>
        <v>0</v>
      </c>
    </row>
    <row r="29" spans="1:11" ht="18" customHeight="1">
      <c r="A29" s="45" t="s">
        <v>268</v>
      </c>
      <c r="B29" s="49" t="s">
        <v>165</v>
      </c>
      <c r="F29" s="388">
        <v>469</v>
      </c>
      <c r="G29" s="57">
        <v>6994</v>
      </c>
      <c r="H29" s="167">
        <v>315282</v>
      </c>
      <c r="I29" s="167">
        <v>269557</v>
      </c>
      <c r="J29" s="347">
        <v>0</v>
      </c>
      <c r="K29" s="348">
        <f t="shared" si="0"/>
        <v>584839</v>
      </c>
    </row>
    <row r="30" spans="1:11" ht="18" customHeight="1">
      <c r="A30" s="45" t="s">
        <v>269</v>
      </c>
      <c r="B30" s="814"/>
      <c r="C30" s="815"/>
      <c r="D30" s="816"/>
      <c r="F30" s="388"/>
      <c r="G30" s="57"/>
      <c r="H30" s="388"/>
      <c r="I30" s="167">
        <f t="shared" si="1"/>
        <v>0</v>
      </c>
      <c r="J30" s="347"/>
      <c r="K30" s="348">
        <f t="shared" si="0"/>
        <v>0</v>
      </c>
    </row>
    <row r="31" spans="1:11" ht="18" customHeight="1">
      <c r="A31" s="45" t="s">
        <v>270</v>
      </c>
      <c r="B31" s="814"/>
      <c r="C31" s="815"/>
      <c r="D31" s="816"/>
      <c r="F31" s="388"/>
      <c r="G31" s="57"/>
      <c r="H31" s="388"/>
      <c r="I31" s="167">
        <f t="shared" si="1"/>
        <v>0</v>
      </c>
      <c r="J31" s="347"/>
      <c r="K31" s="348">
        <f t="shared" si="0"/>
        <v>0</v>
      </c>
    </row>
    <row r="32" spans="1:11" ht="18" customHeight="1">
      <c r="A32" s="45" t="s">
        <v>271</v>
      </c>
      <c r="B32" s="160"/>
      <c r="C32" s="161"/>
      <c r="D32" s="162"/>
      <c r="F32" s="388"/>
      <c r="G32" s="57" t="s">
        <v>272</v>
      </c>
      <c r="H32" s="388"/>
      <c r="I32" s="167">
        <f t="shared" si="1"/>
        <v>0</v>
      </c>
      <c r="J32" s="347"/>
      <c r="K32" s="348">
        <f t="shared" si="0"/>
        <v>0</v>
      </c>
    </row>
    <row r="33" spans="1:11" ht="18" customHeight="1">
      <c r="A33" s="45" t="s">
        <v>273</v>
      </c>
      <c r="B33" s="160"/>
      <c r="C33" s="161"/>
      <c r="D33" s="162"/>
      <c r="F33" s="388"/>
      <c r="G33" s="57" t="s">
        <v>272</v>
      </c>
      <c r="H33" s="388"/>
      <c r="I33" s="167">
        <f t="shared" si="1"/>
        <v>0</v>
      </c>
      <c r="J33" s="347"/>
      <c r="K33" s="348">
        <f t="shared" si="0"/>
        <v>0</v>
      </c>
    </row>
    <row r="34" spans="1:11" ht="18" customHeight="1">
      <c r="A34" s="45" t="s">
        <v>274</v>
      </c>
      <c r="B34" s="814"/>
      <c r="C34" s="815"/>
      <c r="D34" s="816"/>
      <c r="F34" s="388"/>
      <c r="G34" s="57" t="s">
        <v>272</v>
      </c>
      <c r="H34" s="388"/>
      <c r="I34" s="167">
        <f t="shared" si="1"/>
        <v>0</v>
      </c>
      <c r="J34" s="347"/>
      <c r="K34" s="348">
        <f t="shared" si="0"/>
        <v>0</v>
      </c>
    </row>
    <row r="35" spans="1:11" ht="18" customHeight="1">
      <c r="F35" s="389"/>
      <c r="G35" s="382"/>
      <c r="H35" s="389"/>
      <c r="K35" s="349"/>
    </row>
    <row r="36" spans="1:11" ht="18" customHeight="1">
      <c r="A36" s="48" t="s">
        <v>275</v>
      </c>
      <c r="B36" s="43" t="s">
        <v>166</v>
      </c>
      <c r="E36" s="43" t="s">
        <v>276</v>
      </c>
      <c r="F36" s="390">
        <f t="shared" ref="F36:K36" si="2">SUM(F21:F34)</f>
        <v>5353</v>
      </c>
      <c r="G36" s="350">
        <f t="shared" si="2"/>
        <v>18791</v>
      </c>
      <c r="H36" s="348">
        <f t="shared" si="2"/>
        <v>746029</v>
      </c>
      <c r="I36" s="348">
        <f t="shared" si="2"/>
        <v>637845</v>
      </c>
      <c r="J36" s="348">
        <f t="shared" si="2"/>
        <v>253137</v>
      </c>
      <c r="K36" s="348">
        <f t="shared" si="2"/>
        <v>1130737</v>
      </c>
    </row>
    <row r="37" spans="1:11" ht="18" customHeight="1" thickBot="1">
      <c r="B37" s="43"/>
      <c r="F37" s="351"/>
      <c r="G37" s="351"/>
      <c r="H37" s="352"/>
      <c r="I37" s="352"/>
      <c r="J37" s="352"/>
      <c r="K37" s="353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9" t="s">
        <v>170</v>
      </c>
      <c r="F40" s="388">
        <v>116</v>
      </c>
      <c r="G40" s="57">
        <v>210</v>
      </c>
      <c r="H40" s="347">
        <v>47737</v>
      </c>
      <c r="I40" s="167">
        <v>17233</v>
      </c>
      <c r="J40" s="347">
        <v>0</v>
      </c>
      <c r="K40" s="348">
        <f t="shared" ref="K40:K47" si="3">(H40+I40)-J40</f>
        <v>64970</v>
      </c>
    </row>
    <row r="41" spans="1:11" ht="18" customHeight="1">
      <c r="A41" s="45" t="s">
        <v>278</v>
      </c>
      <c r="B41" s="818" t="s">
        <v>172</v>
      </c>
      <c r="C41" s="818"/>
      <c r="F41" s="388"/>
      <c r="G41" s="57"/>
      <c r="H41" s="347"/>
      <c r="I41" s="167">
        <v>0</v>
      </c>
      <c r="J41" s="347"/>
      <c r="K41" s="348">
        <f t="shared" si="3"/>
        <v>0</v>
      </c>
    </row>
    <row r="42" spans="1:11" ht="18" customHeight="1">
      <c r="A42" s="45" t="s">
        <v>279</v>
      </c>
      <c r="B42" s="49" t="s">
        <v>174</v>
      </c>
      <c r="F42" s="388">
        <v>7284</v>
      </c>
      <c r="G42" s="57">
        <v>171</v>
      </c>
      <c r="H42" s="347">
        <v>331083</v>
      </c>
      <c r="I42" s="167">
        <v>119521</v>
      </c>
      <c r="J42" s="347">
        <v>0</v>
      </c>
      <c r="K42" s="348">
        <f t="shared" si="3"/>
        <v>450604</v>
      </c>
    </row>
    <row r="43" spans="1:11" ht="18" customHeight="1">
      <c r="A43" s="45" t="s">
        <v>280</v>
      </c>
      <c r="B43" s="49" t="s">
        <v>176</v>
      </c>
      <c r="F43" s="388"/>
      <c r="G43" s="57"/>
      <c r="H43" s="347"/>
      <c r="I43" s="167">
        <v>0</v>
      </c>
      <c r="J43" s="347">
        <v>0</v>
      </c>
      <c r="K43" s="348">
        <f t="shared" si="3"/>
        <v>0</v>
      </c>
    </row>
    <row r="44" spans="1:11" ht="18" customHeight="1">
      <c r="A44" s="45" t="s">
        <v>281</v>
      </c>
      <c r="B44" s="814" t="s">
        <v>769</v>
      </c>
      <c r="C44" s="815"/>
      <c r="D44" s="816"/>
      <c r="F44" s="388">
        <v>6876</v>
      </c>
      <c r="G44" s="57">
        <v>71</v>
      </c>
      <c r="H44" s="57">
        <v>247649</v>
      </c>
      <c r="I44" s="167">
        <v>89397</v>
      </c>
      <c r="J44" s="57"/>
      <c r="K44" s="354">
        <f t="shared" si="3"/>
        <v>337046</v>
      </c>
    </row>
    <row r="45" spans="1:11" ht="18" customHeight="1">
      <c r="A45" s="45" t="s">
        <v>283</v>
      </c>
      <c r="B45" s="814"/>
      <c r="C45" s="815"/>
      <c r="D45" s="816"/>
      <c r="F45" s="388"/>
      <c r="G45" s="57"/>
      <c r="H45" s="347"/>
      <c r="I45" s="167">
        <v>0</v>
      </c>
      <c r="J45" s="347"/>
      <c r="K45" s="348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388"/>
      <c r="G46" s="57"/>
      <c r="H46" s="347"/>
      <c r="I46" s="167">
        <v>0</v>
      </c>
      <c r="J46" s="347"/>
      <c r="K46" s="348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388"/>
      <c r="G47" s="57"/>
      <c r="H47" s="347"/>
      <c r="I47" s="167">
        <v>0</v>
      </c>
      <c r="J47" s="347"/>
      <c r="K47" s="348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355">
        <f t="shared" ref="F49:K49" si="4">SUM(F40:F47)</f>
        <v>14276</v>
      </c>
      <c r="G49" s="355">
        <f t="shared" si="4"/>
        <v>452</v>
      </c>
      <c r="H49" s="348">
        <f t="shared" si="4"/>
        <v>626469</v>
      </c>
      <c r="I49" s="348">
        <f t="shared" si="4"/>
        <v>226151</v>
      </c>
      <c r="J49" s="348">
        <f t="shared" si="4"/>
        <v>0</v>
      </c>
      <c r="K49" s="348">
        <f t="shared" si="4"/>
        <v>852620</v>
      </c>
    </row>
    <row r="50" spans="1:11" ht="18" customHeight="1" thickBot="1">
      <c r="G50" s="356"/>
      <c r="H50" s="356"/>
      <c r="I50" s="356"/>
      <c r="J50" s="356"/>
      <c r="K50" s="356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43" t="s">
        <v>179</v>
      </c>
      <c r="C52" s="43"/>
    </row>
    <row r="53" spans="1:11" ht="18" customHeight="1">
      <c r="A53" s="45" t="s">
        <v>287</v>
      </c>
      <c r="B53" s="49" t="s">
        <v>770</v>
      </c>
      <c r="F53" s="388">
        <v>21659</v>
      </c>
      <c r="G53" s="388">
        <v>17686</v>
      </c>
      <c r="H53" s="347">
        <v>1748108</v>
      </c>
      <c r="I53" s="167">
        <v>837343</v>
      </c>
      <c r="J53" s="167">
        <v>1949629</v>
      </c>
      <c r="K53" s="348">
        <f t="shared" ref="K53:K62" si="5">(H53+I53)-J53</f>
        <v>635822</v>
      </c>
    </row>
    <row r="54" spans="1:11" ht="18" customHeight="1">
      <c r="A54" s="45" t="s">
        <v>289</v>
      </c>
      <c r="B54" s="49" t="s">
        <v>771</v>
      </c>
      <c r="F54" s="388">
        <v>9372</v>
      </c>
      <c r="G54" s="388">
        <v>2770</v>
      </c>
      <c r="H54" s="347">
        <v>553568</v>
      </c>
      <c r="I54" s="167">
        <v>265160</v>
      </c>
      <c r="J54" s="167">
        <v>332525</v>
      </c>
      <c r="K54" s="348">
        <f t="shared" si="5"/>
        <v>486203</v>
      </c>
    </row>
    <row r="55" spans="1:11" ht="18" customHeight="1">
      <c r="A55" s="45" t="s">
        <v>291</v>
      </c>
      <c r="B55" s="49" t="s">
        <v>772</v>
      </c>
      <c r="F55" s="388">
        <v>44304</v>
      </c>
      <c r="G55" s="388">
        <v>340</v>
      </c>
      <c r="H55" s="347">
        <v>2388564</v>
      </c>
      <c r="I55" s="167">
        <v>1665784</v>
      </c>
      <c r="J55" s="167">
        <v>1739484</v>
      </c>
      <c r="K55" s="348">
        <f t="shared" si="5"/>
        <v>2314864</v>
      </c>
    </row>
    <row r="56" spans="1:11" ht="18" customHeight="1">
      <c r="A56" s="45" t="s">
        <v>293</v>
      </c>
      <c r="B56" s="49" t="s">
        <v>773</v>
      </c>
      <c r="F56" s="388">
        <v>2995</v>
      </c>
      <c r="G56" s="388">
        <v>0</v>
      </c>
      <c r="H56" s="347">
        <v>919748</v>
      </c>
      <c r="I56" s="167">
        <v>562616</v>
      </c>
      <c r="J56" s="167">
        <v>247775</v>
      </c>
      <c r="K56" s="348">
        <f t="shared" si="5"/>
        <v>1234589</v>
      </c>
    </row>
    <row r="57" spans="1:11" ht="18" customHeight="1">
      <c r="A57" s="45" t="s">
        <v>295</v>
      </c>
      <c r="B57" s="49" t="s">
        <v>774</v>
      </c>
      <c r="F57" s="388">
        <v>0</v>
      </c>
      <c r="G57" s="388">
        <v>0</v>
      </c>
      <c r="H57" s="347">
        <v>1302307</v>
      </c>
      <c r="I57" s="167">
        <v>708716</v>
      </c>
      <c r="J57" s="167">
        <v>0</v>
      </c>
      <c r="K57" s="348">
        <f t="shared" si="5"/>
        <v>2011023</v>
      </c>
    </row>
    <row r="58" spans="1:11" ht="18" customHeight="1">
      <c r="A58" s="45" t="s">
        <v>298</v>
      </c>
      <c r="B58" s="49" t="s">
        <v>775</v>
      </c>
      <c r="F58" s="388">
        <v>0</v>
      </c>
      <c r="G58" s="388">
        <v>0</v>
      </c>
      <c r="H58" s="347">
        <v>25000</v>
      </c>
      <c r="I58" s="167">
        <v>13605</v>
      </c>
      <c r="J58" s="167">
        <v>0</v>
      </c>
      <c r="K58" s="348">
        <f t="shared" si="5"/>
        <v>38605</v>
      </c>
    </row>
    <row r="59" spans="1:11" ht="18" customHeight="1">
      <c r="A59" s="45" t="s">
        <v>300</v>
      </c>
      <c r="B59" s="49" t="s">
        <v>776</v>
      </c>
      <c r="F59" s="388">
        <v>0</v>
      </c>
      <c r="G59" s="388">
        <v>0</v>
      </c>
      <c r="H59" s="347">
        <v>26500</v>
      </c>
      <c r="I59" s="167">
        <v>8634</v>
      </c>
      <c r="J59" s="167">
        <v>0</v>
      </c>
      <c r="K59" s="348">
        <f t="shared" si="5"/>
        <v>35134</v>
      </c>
    </row>
    <row r="60" spans="1:11" ht="18" customHeight="1">
      <c r="A60" s="45" t="s">
        <v>302</v>
      </c>
      <c r="B60" s="49" t="s">
        <v>777</v>
      </c>
      <c r="F60" s="388">
        <v>0</v>
      </c>
      <c r="G60" s="388">
        <v>0</v>
      </c>
      <c r="H60" s="347">
        <v>1047887</v>
      </c>
      <c r="I60" s="167">
        <v>377336</v>
      </c>
      <c r="J60" s="167">
        <v>184936</v>
      </c>
      <c r="K60" s="348">
        <f t="shared" si="5"/>
        <v>1240287</v>
      </c>
    </row>
    <row r="61" spans="1:11" ht="18" customHeight="1">
      <c r="A61" s="45" t="s">
        <v>303</v>
      </c>
      <c r="B61" s="814"/>
      <c r="C61" s="815"/>
      <c r="D61" s="816"/>
      <c r="F61" s="57"/>
      <c r="G61" s="57"/>
      <c r="H61" s="347"/>
      <c r="I61" s="167">
        <v>0</v>
      </c>
      <c r="J61" s="347"/>
      <c r="K61" s="348">
        <f t="shared" si="5"/>
        <v>0</v>
      </c>
    </row>
    <row r="62" spans="1:11" ht="18" customHeight="1">
      <c r="A62" s="45" t="s">
        <v>304</v>
      </c>
      <c r="B62" s="814"/>
      <c r="C62" s="815"/>
      <c r="D62" s="816"/>
      <c r="F62" s="57"/>
      <c r="G62" s="57"/>
      <c r="H62" s="347"/>
      <c r="I62" s="167">
        <v>0</v>
      </c>
      <c r="J62" s="347"/>
      <c r="K62" s="348">
        <f t="shared" si="5"/>
        <v>0</v>
      </c>
    </row>
    <row r="63" spans="1:11" ht="18" customHeight="1">
      <c r="A63" s="45"/>
      <c r="I63" s="357"/>
    </row>
    <row r="64" spans="1:11" ht="18" customHeight="1">
      <c r="A64" s="45" t="s">
        <v>305</v>
      </c>
      <c r="B64" s="43" t="s">
        <v>184</v>
      </c>
      <c r="E64" s="43" t="s">
        <v>276</v>
      </c>
      <c r="F64" s="350">
        <f t="shared" ref="F64:K64" si="6">SUM(F53:F62)</f>
        <v>78330</v>
      </c>
      <c r="G64" s="350">
        <f t="shared" si="6"/>
        <v>20796</v>
      </c>
      <c r="H64" s="348">
        <f t="shared" si="6"/>
        <v>8011682</v>
      </c>
      <c r="I64" s="348">
        <f t="shared" si="6"/>
        <v>4439194</v>
      </c>
      <c r="J64" s="348">
        <f t="shared" si="6"/>
        <v>4454349</v>
      </c>
      <c r="K64" s="348">
        <f t="shared" si="6"/>
        <v>7996527</v>
      </c>
    </row>
    <row r="65" spans="1:11" ht="18" customHeight="1">
      <c r="F65" s="358"/>
      <c r="G65" s="358"/>
      <c r="H65" s="358"/>
      <c r="I65" s="358"/>
      <c r="J65" s="358"/>
      <c r="K65" s="358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359"/>
      <c r="G67" s="359"/>
      <c r="H67" s="359"/>
      <c r="I67" s="360"/>
      <c r="J67" s="359"/>
      <c r="K67" s="361"/>
    </row>
    <row r="68" spans="1:11" ht="18" customHeight="1">
      <c r="A68" s="45" t="s">
        <v>306</v>
      </c>
      <c r="B68" s="49" t="s">
        <v>188</v>
      </c>
      <c r="F68" s="362"/>
      <c r="G68" s="362"/>
      <c r="H68" s="362"/>
      <c r="I68" s="167">
        <v>0</v>
      </c>
      <c r="J68" s="362"/>
      <c r="K68" s="348">
        <f>(H68+I68)-J68</f>
        <v>0</v>
      </c>
    </row>
    <row r="69" spans="1:11" ht="18" customHeight="1">
      <c r="A69" s="45" t="s">
        <v>307</v>
      </c>
      <c r="B69" s="49" t="s">
        <v>190</v>
      </c>
      <c r="F69" s="362"/>
      <c r="G69" s="362"/>
      <c r="H69" s="362"/>
      <c r="I69" s="167">
        <v>0</v>
      </c>
      <c r="J69" s="362"/>
      <c r="K69" s="348">
        <f>(H69+I69)-J69</f>
        <v>0</v>
      </c>
    </row>
    <row r="70" spans="1:11" ht="18" customHeight="1">
      <c r="A70" s="45" t="s">
        <v>308</v>
      </c>
      <c r="B70" s="164"/>
      <c r="C70" s="262"/>
      <c r="D70" s="263"/>
      <c r="E70" s="43"/>
      <c r="F70" s="364"/>
      <c r="G70" s="364"/>
      <c r="H70" s="363"/>
      <c r="I70" s="167">
        <v>0</v>
      </c>
      <c r="J70" s="363"/>
      <c r="K70" s="348">
        <f>(H70+I70)-J70</f>
        <v>0</v>
      </c>
    </row>
    <row r="71" spans="1:11" ht="18" customHeight="1">
      <c r="A71" s="45" t="s">
        <v>309</v>
      </c>
      <c r="B71" s="164"/>
      <c r="C71" s="262"/>
      <c r="D71" s="263"/>
      <c r="E71" s="43"/>
      <c r="F71" s="364"/>
      <c r="G71" s="364"/>
      <c r="H71" s="363"/>
      <c r="I71" s="167">
        <v>0</v>
      </c>
      <c r="J71" s="363"/>
      <c r="K71" s="348">
        <f>(H71+I71)-J71</f>
        <v>0</v>
      </c>
    </row>
    <row r="72" spans="1:11" ht="18" customHeight="1">
      <c r="A72" s="45" t="s">
        <v>310</v>
      </c>
      <c r="B72" s="163"/>
      <c r="C72" s="264"/>
      <c r="D72" s="365"/>
      <c r="E72" s="43"/>
      <c r="F72" s="57"/>
      <c r="G72" s="57"/>
      <c r="H72" s="347"/>
      <c r="I72" s="167">
        <v>0</v>
      </c>
      <c r="J72" s="347"/>
      <c r="K72" s="348">
        <f>(H72+I72)-J72</f>
        <v>0</v>
      </c>
    </row>
    <row r="73" spans="1:11" ht="18" customHeight="1">
      <c r="A73" s="45"/>
      <c r="E73" s="43"/>
      <c r="F73" s="366"/>
      <c r="G73" s="366"/>
      <c r="H73" s="367"/>
      <c r="I73" s="360"/>
      <c r="J73" s="367"/>
      <c r="K73" s="361"/>
    </row>
    <row r="74" spans="1:11" ht="18" customHeight="1">
      <c r="A74" s="48" t="s">
        <v>311</v>
      </c>
      <c r="B74" s="43" t="s">
        <v>191</v>
      </c>
      <c r="E74" s="43" t="s">
        <v>276</v>
      </c>
      <c r="F74" s="368">
        <f t="shared" ref="F74:K74" si="7">SUM(F68:F72)</f>
        <v>0</v>
      </c>
      <c r="G74" s="368">
        <f t="shared" si="7"/>
        <v>0</v>
      </c>
      <c r="H74" s="368">
        <f t="shared" si="7"/>
        <v>0</v>
      </c>
      <c r="I74" s="370">
        <f t="shared" si="7"/>
        <v>0</v>
      </c>
      <c r="J74" s="368">
        <f t="shared" si="7"/>
        <v>0</v>
      </c>
      <c r="K74" s="354">
        <f t="shared" si="7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7"/>
      <c r="G77" s="57"/>
      <c r="H77" s="347">
        <v>15050</v>
      </c>
      <c r="I77" s="167">
        <v>5433</v>
      </c>
      <c r="J77" s="347"/>
      <c r="K77" s="348">
        <f>(H77+I77)-J77</f>
        <v>20483</v>
      </c>
    </row>
    <row r="78" spans="1:11" ht="18" customHeight="1">
      <c r="A78" s="45" t="s">
        <v>313</v>
      </c>
      <c r="B78" s="49" t="s">
        <v>197</v>
      </c>
      <c r="F78" s="57"/>
      <c r="G78" s="57"/>
      <c r="H78" s="347"/>
      <c r="I78" s="167">
        <v>0</v>
      </c>
      <c r="J78" s="347"/>
      <c r="K78" s="348">
        <f>(H78+I78)-J78</f>
        <v>0</v>
      </c>
    </row>
    <row r="79" spans="1:11" ht="18" customHeight="1">
      <c r="A79" s="45" t="s">
        <v>314</v>
      </c>
      <c r="B79" s="49" t="s">
        <v>199</v>
      </c>
      <c r="F79" s="57"/>
      <c r="G79" s="57"/>
      <c r="H79" s="347">
        <v>2664</v>
      </c>
      <c r="I79" s="167">
        <v>954</v>
      </c>
      <c r="J79" s="347"/>
      <c r="K79" s="348">
        <f>(H79+I79)-J79</f>
        <v>3618</v>
      </c>
    </row>
    <row r="80" spans="1:11" ht="18" customHeight="1">
      <c r="A80" s="45" t="s">
        <v>315</v>
      </c>
      <c r="B80" s="49" t="s">
        <v>316</v>
      </c>
      <c r="F80" s="57"/>
      <c r="G80" s="57"/>
      <c r="H80" s="347"/>
      <c r="I80" s="167">
        <v>0</v>
      </c>
      <c r="J80" s="347"/>
      <c r="K80" s="348">
        <f>(H80+I80)-J80</f>
        <v>0</v>
      </c>
    </row>
    <row r="81" spans="1:11" ht="18" customHeight="1">
      <c r="A81" s="45"/>
      <c r="K81" s="371"/>
    </row>
    <row r="82" spans="1:11" ht="18" customHeight="1">
      <c r="A82" s="45" t="s">
        <v>317</v>
      </c>
      <c r="B82" s="43" t="s">
        <v>318</v>
      </c>
      <c r="E82" s="43" t="s">
        <v>276</v>
      </c>
      <c r="F82" s="368">
        <f t="shared" ref="F82:K82" si="8">SUM(F77:F80)</f>
        <v>0</v>
      </c>
      <c r="G82" s="368">
        <f t="shared" si="8"/>
        <v>0</v>
      </c>
      <c r="H82" s="354">
        <f t="shared" si="8"/>
        <v>17714</v>
      </c>
      <c r="I82" s="354">
        <f t="shared" si="8"/>
        <v>6387</v>
      </c>
      <c r="J82" s="354">
        <f t="shared" si="8"/>
        <v>0</v>
      </c>
      <c r="K82" s="354">
        <f t="shared" si="8"/>
        <v>24101</v>
      </c>
    </row>
    <row r="83" spans="1:11" ht="18" customHeight="1" thickBot="1">
      <c r="A83" s="45"/>
      <c r="F83" s="356"/>
      <c r="G83" s="356"/>
      <c r="H83" s="356"/>
      <c r="I83" s="356"/>
      <c r="J83" s="356"/>
      <c r="K83" s="356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f t="shared" ref="I86:I96" si="9">H86*F$114</f>
        <v>0</v>
      </c>
      <c r="J86" s="347">
        <v>0</v>
      </c>
      <c r="K86" s="348">
        <f t="shared" ref="K86:K96" si="10">(H86+I86)-J86</f>
        <v>0</v>
      </c>
    </row>
    <row r="87" spans="1:11" ht="18" customHeight="1">
      <c r="A87" s="45" t="s">
        <v>320</v>
      </c>
      <c r="B87" s="49" t="s">
        <v>206</v>
      </c>
      <c r="F87" s="57">
        <v>0</v>
      </c>
      <c r="G87" s="57">
        <v>0</v>
      </c>
      <c r="H87" s="347">
        <v>0</v>
      </c>
      <c r="I87" s="167">
        <f t="shared" si="9"/>
        <v>0</v>
      </c>
      <c r="J87" s="347">
        <v>0</v>
      </c>
      <c r="K87" s="348">
        <f t="shared" si="10"/>
        <v>0</v>
      </c>
    </row>
    <row r="88" spans="1:11" ht="18" customHeight="1">
      <c r="A88" s="45" t="s">
        <v>321</v>
      </c>
      <c r="B88" s="49" t="s">
        <v>208</v>
      </c>
      <c r="F88" s="57">
        <v>84</v>
      </c>
      <c r="G88" s="57">
        <v>0</v>
      </c>
      <c r="H88" s="347">
        <v>295450</v>
      </c>
      <c r="I88" s="167">
        <v>252610</v>
      </c>
      <c r="J88" s="347">
        <v>26400</v>
      </c>
      <c r="K88" s="348">
        <f t="shared" si="10"/>
        <v>521660</v>
      </c>
    </row>
    <row r="89" spans="1:11" ht="18" customHeight="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f t="shared" si="9"/>
        <v>0</v>
      </c>
      <c r="J89" s="347">
        <v>0</v>
      </c>
      <c r="K89" s="348">
        <f t="shared" si="10"/>
        <v>0</v>
      </c>
    </row>
    <row r="90" spans="1:11" ht="18" customHeight="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f t="shared" si="9"/>
        <v>0</v>
      </c>
      <c r="J90" s="347">
        <v>0</v>
      </c>
      <c r="K90" s="348">
        <f t="shared" si="10"/>
        <v>0</v>
      </c>
    </row>
    <row r="91" spans="1:11" ht="18" customHeight="1">
      <c r="A91" s="45" t="s">
        <v>324</v>
      </c>
      <c r="B91" s="49" t="s">
        <v>214</v>
      </c>
      <c r="F91" s="57">
        <v>920</v>
      </c>
      <c r="G91" s="57">
        <v>118</v>
      </c>
      <c r="H91" s="347">
        <v>49808</v>
      </c>
      <c r="I91" s="167">
        <v>42583</v>
      </c>
      <c r="J91" s="347">
        <v>0</v>
      </c>
      <c r="K91" s="348">
        <f t="shared" si="10"/>
        <v>92391</v>
      </c>
    </row>
    <row r="92" spans="1:11" ht="18" customHeight="1">
      <c r="A92" s="45" t="s">
        <v>325</v>
      </c>
      <c r="B92" s="49" t="s">
        <v>216</v>
      </c>
      <c r="F92" s="372">
        <v>405</v>
      </c>
      <c r="G92" s="372">
        <v>50</v>
      </c>
      <c r="H92" s="373">
        <v>14370</v>
      </c>
      <c r="I92" s="167">
        <v>12286</v>
      </c>
      <c r="J92" s="373">
        <v>0</v>
      </c>
      <c r="K92" s="348">
        <f t="shared" si="10"/>
        <v>26656</v>
      </c>
    </row>
    <row r="93" spans="1:11" ht="18" customHeight="1">
      <c r="A93" s="45" t="s">
        <v>326</v>
      </c>
      <c r="B93" s="49" t="s">
        <v>218</v>
      </c>
      <c r="F93" s="57">
        <v>0</v>
      </c>
      <c r="G93" s="57">
        <v>0</v>
      </c>
      <c r="H93" s="347">
        <v>0</v>
      </c>
      <c r="I93" s="167">
        <f t="shared" si="9"/>
        <v>0</v>
      </c>
      <c r="J93" s="347">
        <v>0</v>
      </c>
      <c r="K93" s="348">
        <f t="shared" si="10"/>
        <v>0</v>
      </c>
    </row>
    <row r="94" spans="1:11" ht="18" customHeight="1">
      <c r="A94" s="45" t="s">
        <v>327</v>
      </c>
      <c r="B94" s="817"/>
      <c r="C94" s="864"/>
      <c r="D94" s="865"/>
      <c r="F94" s="57"/>
      <c r="G94" s="57"/>
      <c r="H94" s="347"/>
      <c r="I94" s="167">
        <f t="shared" si="9"/>
        <v>0</v>
      </c>
      <c r="J94" s="347"/>
      <c r="K94" s="348">
        <f t="shared" si="10"/>
        <v>0</v>
      </c>
    </row>
    <row r="95" spans="1:11" ht="18" customHeight="1">
      <c r="A95" s="45" t="s">
        <v>329</v>
      </c>
      <c r="B95" s="817"/>
      <c r="C95" s="864"/>
      <c r="D95" s="865"/>
      <c r="F95" s="57"/>
      <c r="G95" s="57"/>
      <c r="H95" s="347"/>
      <c r="I95" s="167">
        <f t="shared" si="9"/>
        <v>0</v>
      </c>
      <c r="J95" s="347"/>
      <c r="K95" s="348">
        <f t="shared" si="10"/>
        <v>0</v>
      </c>
    </row>
    <row r="96" spans="1:11" ht="18" customHeight="1">
      <c r="A96" s="45" t="s">
        <v>330</v>
      </c>
      <c r="B96" s="817"/>
      <c r="C96" s="864"/>
      <c r="D96" s="865"/>
      <c r="F96" s="57"/>
      <c r="G96" s="57"/>
      <c r="H96" s="347"/>
      <c r="I96" s="167">
        <f t="shared" si="9"/>
        <v>0</v>
      </c>
      <c r="J96" s="347"/>
      <c r="K96" s="348">
        <f t="shared" si="10"/>
        <v>0</v>
      </c>
    </row>
    <row r="97" spans="1:11" ht="18" customHeight="1">
      <c r="A97" s="45"/>
    </row>
    <row r="98" spans="1:11" ht="18" customHeight="1">
      <c r="A98" s="48" t="s">
        <v>331</v>
      </c>
      <c r="B98" s="43" t="s">
        <v>220</v>
      </c>
      <c r="E98" s="43" t="s">
        <v>276</v>
      </c>
      <c r="F98" s="350">
        <f t="shared" ref="F98:K98" si="11">SUM(F86:F96)</f>
        <v>1409</v>
      </c>
      <c r="G98" s="350">
        <f t="shared" si="11"/>
        <v>168</v>
      </c>
      <c r="H98" s="347">
        <f t="shared" si="11"/>
        <v>359628</v>
      </c>
      <c r="I98" s="347">
        <f t="shared" si="11"/>
        <v>307479</v>
      </c>
      <c r="J98" s="347">
        <f t="shared" si="11"/>
        <v>26400</v>
      </c>
      <c r="K98" s="347">
        <f t="shared" si="11"/>
        <v>640707</v>
      </c>
    </row>
    <row r="99" spans="1:11" ht="18" customHeight="1" thickBot="1">
      <c r="B99" s="43"/>
      <c r="F99" s="356"/>
      <c r="G99" s="356"/>
      <c r="H99" s="356"/>
      <c r="I99" s="356"/>
      <c r="J99" s="356"/>
      <c r="K99" s="356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7">
        <v>165</v>
      </c>
      <c r="G102" s="57">
        <v>0</v>
      </c>
      <c r="H102" s="347">
        <v>7192</v>
      </c>
      <c r="I102" s="167">
        <v>6148</v>
      </c>
      <c r="J102" s="347">
        <v>0</v>
      </c>
      <c r="K102" s="348">
        <f>(H102+I102)-J102</f>
        <v>13340</v>
      </c>
    </row>
    <row r="103" spans="1:11" ht="18" customHeight="1">
      <c r="A103" s="45" t="s">
        <v>333</v>
      </c>
      <c r="B103" s="818" t="s">
        <v>226</v>
      </c>
      <c r="C103" s="818"/>
      <c r="F103" s="57"/>
      <c r="G103" s="57"/>
      <c r="H103" s="347"/>
      <c r="I103" s="167">
        <f>H103*F$114</f>
        <v>0</v>
      </c>
      <c r="J103" s="347"/>
      <c r="K103" s="348">
        <f>(H103+I103)-J103</f>
        <v>0</v>
      </c>
    </row>
    <row r="104" spans="1:11" ht="18" customHeight="1">
      <c r="A104" s="45" t="s">
        <v>334</v>
      </c>
      <c r="B104" s="817"/>
      <c r="C104" s="864"/>
      <c r="D104" s="865"/>
      <c r="F104" s="57"/>
      <c r="G104" s="57"/>
      <c r="H104" s="347"/>
      <c r="I104" s="167">
        <f>H104*F$114</f>
        <v>0</v>
      </c>
      <c r="J104" s="347"/>
      <c r="K104" s="348">
        <f>(H104+I104)-J104</f>
        <v>0</v>
      </c>
    </row>
    <row r="105" spans="1:11" ht="18" customHeight="1">
      <c r="A105" s="45" t="s">
        <v>336</v>
      </c>
      <c r="B105" s="817"/>
      <c r="C105" s="864"/>
      <c r="D105" s="865"/>
      <c r="F105" s="57"/>
      <c r="G105" s="57"/>
      <c r="H105" s="347"/>
      <c r="I105" s="167">
        <f>H105*F$114</f>
        <v>0</v>
      </c>
      <c r="J105" s="347"/>
      <c r="K105" s="348">
        <f>(H105+I105)-J105</f>
        <v>0</v>
      </c>
    </row>
    <row r="106" spans="1:11" ht="18" customHeight="1">
      <c r="A106" s="45" t="s">
        <v>337</v>
      </c>
      <c r="B106" s="817"/>
      <c r="C106" s="864"/>
      <c r="D106" s="865"/>
      <c r="F106" s="57"/>
      <c r="G106" s="57"/>
      <c r="H106" s="347"/>
      <c r="I106" s="167">
        <f>H106*F$114</f>
        <v>0</v>
      </c>
      <c r="J106" s="347"/>
      <c r="K106" s="348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350">
        <f t="shared" ref="F108:K108" si="12">SUM(F102:F106)</f>
        <v>165</v>
      </c>
      <c r="G108" s="350">
        <f t="shared" si="12"/>
        <v>0</v>
      </c>
      <c r="H108" s="348">
        <f t="shared" si="12"/>
        <v>7192</v>
      </c>
      <c r="I108" s="348">
        <f t="shared" si="12"/>
        <v>6148</v>
      </c>
      <c r="J108" s="348">
        <f t="shared" si="12"/>
        <v>0</v>
      </c>
      <c r="K108" s="348">
        <f t="shared" si="12"/>
        <v>13340</v>
      </c>
    </row>
    <row r="109" spans="1:11" ht="18" customHeight="1" thickBot="1">
      <c r="A109" s="374"/>
      <c r="B109" s="92"/>
      <c r="C109" s="375"/>
      <c r="D109" s="375"/>
      <c r="E109" s="375"/>
      <c r="F109" s="356"/>
      <c r="G109" s="356"/>
      <c r="H109" s="356"/>
      <c r="I109" s="356"/>
      <c r="J109" s="356"/>
      <c r="K109" s="356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386">
        <v>7447389</v>
      </c>
    </row>
    <row r="112" spans="1:11" ht="18" customHeight="1">
      <c r="B112" s="43"/>
      <c r="E112" s="43"/>
      <c r="F112" s="391"/>
    </row>
    <row r="113" spans="1:6">
      <c r="A113" s="48"/>
      <c r="B113" s="43" t="s">
        <v>233</v>
      </c>
      <c r="F113" s="391"/>
    </row>
    <row r="114" spans="1:6">
      <c r="A114" s="45" t="s">
        <v>340</v>
      </c>
      <c r="B114" s="49" t="s">
        <v>341</v>
      </c>
      <c r="F114" s="392">
        <v>0.85495257181028728</v>
      </c>
    </row>
    <row r="115" spans="1:6">
      <c r="A115" s="45"/>
      <c r="B115" s="43"/>
      <c r="F115" s="391"/>
    </row>
    <row r="116" spans="1:6">
      <c r="A116" s="45" t="s">
        <v>234</v>
      </c>
      <c r="B116" s="43" t="s">
        <v>235</v>
      </c>
      <c r="F116" s="391"/>
    </row>
    <row r="117" spans="1:6">
      <c r="A117" s="45" t="s">
        <v>342</v>
      </c>
      <c r="B117" s="49" t="s">
        <v>236</v>
      </c>
      <c r="F117" s="386">
        <v>120837283</v>
      </c>
    </row>
    <row r="118" spans="1:6">
      <c r="A118" s="45" t="s">
        <v>343</v>
      </c>
      <c r="B118" s="49" t="s">
        <v>237</v>
      </c>
      <c r="F118" s="386">
        <v>4660629</v>
      </c>
    </row>
    <row r="119" spans="1:6">
      <c r="A119" s="45" t="s">
        <v>344</v>
      </c>
      <c r="B119" s="43" t="s">
        <v>238</v>
      </c>
      <c r="F119" s="393">
        <f>+F118+F117</f>
        <v>125497912</v>
      </c>
    </row>
    <row r="120" spans="1:6">
      <c r="A120" s="45"/>
      <c r="B120" s="43"/>
      <c r="F120" s="391"/>
    </row>
    <row r="121" spans="1:6">
      <c r="A121" s="45" t="s">
        <v>345</v>
      </c>
      <c r="B121" s="43" t="s">
        <v>346</v>
      </c>
      <c r="F121" s="386">
        <v>118592518</v>
      </c>
    </row>
    <row r="122" spans="1:6">
      <c r="A122" s="45"/>
      <c r="F122" s="391"/>
    </row>
    <row r="123" spans="1:6">
      <c r="A123" s="45" t="s">
        <v>347</v>
      </c>
      <c r="B123" s="43" t="s">
        <v>348</v>
      </c>
      <c r="F123" s="386">
        <f>+F119-F121</f>
        <v>6905394</v>
      </c>
    </row>
    <row r="124" spans="1:6">
      <c r="A124" s="45"/>
      <c r="F124" s="391"/>
    </row>
    <row r="125" spans="1:6">
      <c r="A125" s="45" t="s">
        <v>349</v>
      </c>
      <c r="B125" s="43" t="s">
        <v>350</v>
      </c>
      <c r="F125" s="386">
        <f>115491+314381-498204</f>
        <v>-68332</v>
      </c>
    </row>
    <row r="126" spans="1:6">
      <c r="A126" s="45"/>
      <c r="F126" s="391"/>
    </row>
    <row r="127" spans="1:6">
      <c r="A127" s="45" t="s">
        <v>351</v>
      </c>
      <c r="B127" s="43" t="s">
        <v>352</v>
      </c>
      <c r="F127" s="386">
        <f>+F123+F125</f>
        <v>6837062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9" t="s">
        <v>242</v>
      </c>
      <c r="F131" s="57"/>
      <c r="G131" s="57"/>
      <c r="H131" s="347"/>
      <c r="I131" s="167">
        <v>0</v>
      </c>
      <c r="J131" s="347"/>
      <c r="K131" s="348">
        <f>(H131+I131)-J131</f>
        <v>0</v>
      </c>
    </row>
    <row r="132" spans="1:11" ht="18" customHeight="1">
      <c r="A132" s="45" t="s">
        <v>354</v>
      </c>
      <c r="B132" s="49" t="s">
        <v>128</v>
      </c>
      <c r="F132" s="57"/>
      <c r="G132" s="57"/>
      <c r="H132" s="347"/>
      <c r="I132" s="167">
        <v>0</v>
      </c>
      <c r="J132" s="347"/>
      <c r="K132" s="348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7"/>
      <c r="G133" s="57"/>
      <c r="H133" s="347"/>
      <c r="I133" s="167">
        <v>0</v>
      </c>
      <c r="J133" s="347"/>
      <c r="K133" s="348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7"/>
      <c r="G134" s="57"/>
      <c r="H134" s="347"/>
      <c r="I134" s="167">
        <v>0</v>
      </c>
      <c r="J134" s="347"/>
      <c r="K134" s="348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7"/>
      <c r="G135" s="57"/>
      <c r="H135" s="347"/>
      <c r="I135" s="167">
        <v>0</v>
      </c>
      <c r="J135" s="347"/>
      <c r="K135" s="348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350">
        <f t="shared" ref="F137:K137" si="13">SUM(F131:F135)</f>
        <v>0</v>
      </c>
      <c r="G137" s="350">
        <f t="shared" si="13"/>
        <v>0</v>
      </c>
      <c r="H137" s="348">
        <f t="shared" si="13"/>
        <v>0</v>
      </c>
      <c r="I137" s="348">
        <f t="shared" si="13"/>
        <v>0</v>
      </c>
      <c r="J137" s="348">
        <f t="shared" si="13"/>
        <v>0</v>
      </c>
      <c r="K137" s="348">
        <f t="shared" si="13"/>
        <v>0</v>
      </c>
    </row>
    <row r="138" spans="1:11" ht="18" customHeight="1">
      <c r="A138" s="49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377">
        <f t="shared" ref="F141:K141" si="14">F36</f>
        <v>5353</v>
      </c>
      <c r="G141" s="377">
        <f t="shared" si="14"/>
        <v>18791</v>
      </c>
      <c r="H141" s="347">
        <f t="shared" si="14"/>
        <v>746029</v>
      </c>
      <c r="I141" s="347">
        <f t="shared" si="14"/>
        <v>637845</v>
      </c>
      <c r="J141" s="347">
        <f t="shared" si="14"/>
        <v>253137</v>
      </c>
      <c r="K141" s="347">
        <f t="shared" si="14"/>
        <v>1130737</v>
      </c>
    </row>
    <row r="142" spans="1:11" ht="18" customHeight="1">
      <c r="A142" s="45" t="s">
        <v>286</v>
      </c>
      <c r="B142" s="43" t="s">
        <v>125</v>
      </c>
      <c r="F142" s="377">
        <f t="shared" ref="F142:K142" si="15">F49</f>
        <v>14276</v>
      </c>
      <c r="G142" s="377">
        <f t="shared" si="15"/>
        <v>452</v>
      </c>
      <c r="H142" s="347">
        <f t="shared" si="15"/>
        <v>626469</v>
      </c>
      <c r="I142" s="347">
        <f t="shared" si="15"/>
        <v>226151</v>
      </c>
      <c r="J142" s="347">
        <f t="shared" si="15"/>
        <v>0</v>
      </c>
      <c r="K142" s="347">
        <f t="shared" si="15"/>
        <v>852620</v>
      </c>
    </row>
    <row r="143" spans="1:11" ht="18" customHeight="1">
      <c r="A143" s="45" t="s">
        <v>305</v>
      </c>
      <c r="B143" s="43" t="s">
        <v>247</v>
      </c>
      <c r="F143" s="377">
        <f t="shared" ref="F143:K143" si="16">F64</f>
        <v>78330</v>
      </c>
      <c r="G143" s="377">
        <f t="shared" si="16"/>
        <v>20796</v>
      </c>
      <c r="H143" s="347">
        <f t="shared" si="16"/>
        <v>8011682</v>
      </c>
      <c r="I143" s="347">
        <f t="shared" si="16"/>
        <v>4439194</v>
      </c>
      <c r="J143" s="347">
        <f t="shared" si="16"/>
        <v>4454349</v>
      </c>
      <c r="K143" s="347">
        <f t="shared" si="16"/>
        <v>7996527</v>
      </c>
    </row>
    <row r="144" spans="1:11" ht="18" customHeight="1">
      <c r="A144" s="45" t="s">
        <v>311</v>
      </c>
      <c r="B144" s="43" t="s">
        <v>127</v>
      </c>
      <c r="F144" s="377">
        <f t="shared" ref="F144:K144" si="17">F74</f>
        <v>0</v>
      </c>
      <c r="G144" s="377">
        <f t="shared" si="17"/>
        <v>0</v>
      </c>
      <c r="H144" s="347">
        <f t="shared" si="17"/>
        <v>0</v>
      </c>
      <c r="I144" s="347">
        <f t="shared" si="17"/>
        <v>0</v>
      </c>
      <c r="J144" s="347">
        <f t="shared" si="17"/>
        <v>0</v>
      </c>
      <c r="K144" s="347">
        <f t="shared" si="17"/>
        <v>0</v>
      </c>
    </row>
    <row r="145" spans="1:11" ht="18" customHeight="1">
      <c r="A145" s="45" t="s">
        <v>317</v>
      </c>
      <c r="B145" s="43" t="s">
        <v>248</v>
      </c>
      <c r="F145" s="377">
        <f t="shared" ref="F145:K145" si="18">F82</f>
        <v>0</v>
      </c>
      <c r="G145" s="377">
        <f t="shared" si="18"/>
        <v>0</v>
      </c>
      <c r="H145" s="347">
        <f t="shared" si="18"/>
        <v>17714</v>
      </c>
      <c r="I145" s="347">
        <f t="shared" si="18"/>
        <v>6387</v>
      </c>
      <c r="J145" s="347">
        <f t="shared" si="18"/>
        <v>0</v>
      </c>
      <c r="K145" s="347">
        <f t="shared" si="18"/>
        <v>24101</v>
      </c>
    </row>
    <row r="146" spans="1:11" ht="18" customHeight="1">
      <c r="A146" s="45" t="s">
        <v>331</v>
      </c>
      <c r="B146" s="43" t="s">
        <v>249</v>
      </c>
      <c r="F146" s="377">
        <f t="shared" ref="F146:K146" si="19">F98</f>
        <v>1409</v>
      </c>
      <c r="G146" s="377">
        <f t="shared" si="19"/>
        <v>168</v>
      </c>
      <c r="H146" s="347">
        <f t="shared" si="19"/>
        <v>359628</v>
      </c>
      <c r="I146" s="347">
        <f t="shared" si="19"/>
        <v>307479</v>
      </c>
      <c r="J146" s="347">
        <f t="shared" si="19"/>
        <v>26400</v>
      </c>
      <c r="K146" s="347">
        <f t="shared" si="19"/>
        <v>640707</v>
      </c>
    </row>
    <row r="147" spans="1:11" ht="18" customHeight="1">
      <c r="A147" s="45" t="s">
        <v>338</v>
      </c>
      <c r="B147" s="43" t="s">
        <v>129</v>
      </c>
      <c r="F147" s="350">
        <f t="shared" ref="F147:K147" si="20">F108</f>
        <v>165</v>
      </c>
      <c r="G147" s="350">
        <f t="shared" si="20"/>
        <v>0</v>
      </c>
      <c r="H147" s="347">
        <f t="shared" si="20"/>
        <v>7192</v>
      </c>
      <c r="I147" s="347">
        <f t="shared" si="20"/>
        <v>6148</v>
      </c>
      <c r="J147" s="347">
        <f t="shared" si="20"/>
        <v>0</v>
      </c>
      <c r="K147" s="347">
        <f t="shared" si="20"/>
        <v>13340</v>
      </c>
    </row>
    <row r="148" spans="1:11" ht="18" customHeight="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47">
        <f>F111</f>
        <v>7447389</v>
      </c>
    </row>
    <row r="149" spans="1:11" ht="18" customHeight="1">
      <c r="A149" s="45" t="s">
        <v>358</v>
      </c>
      <c r="B149" s="43" t="s">
        <v>250</v>
      </c>
      <c r="F149" s="350">
        <f t="shared" ref="F149:K149" si="21">F137</f>
        <v>0</v>
      </c>
      <c r="G149" s="350">
        <f t="shared" si="21"/>
        <v>0</v>
      </c>
      <c r="H149" s="347">
        <f t="shared" si="21"/>
        <v>0</v>
      </c>
      <c r="I149" s="347">
        <f t="shared" si="21"/>
        <v>0</v>
      </c>
      <c r="J149" s="347">
        <f t="shared" si="21"/>
        <v>0</v>
      </c>
      <c r="K149" s="347">
        <f t="shared" si="21"/>
        <v>0</v>
      </c>
    </row>
    <row r="150" spans="1:11" ht="18" customHeight="1">
      <c r="A150" s="45" t="s">
        <v>259</v>
      </c>
      <c r="B150" s="43" t="s">
        <v>251</v>
      </c>
      <c r="F150" s="378">
        <v>0</v>
      </c>
      <c r="G150" s="378">
        <v>0</v>
      </c>
      <c r="H150" s="347">
        <f>H18</f>
        <v>3551896.66978727</v>
      </c>
      <c r="I150" s="347">
        <f>I18</f>
        <v>0</v>
      </c>
      <c r="J150" s="347">
        <f>J18</f>
        <v>3037315.7570626098</v>
      </c>
      <c r="K150" s="347">
        <f>K18</f>
        <v>514580.91272466024</v>
      </c>
    </row>
    <row r="151" spans="1:11" ht="18" customHeight="1">
      <c r="B151" s="43"/>
      <c r="F151" s="358"/>
      <c r="G151" s="358"/>
      <c r="H151" s="358"/>
      <c r="I151" s="358"/>
      <c r="J151" s="358"/>
      <c r="K151" s="358"/>
    </row>
    <row r="152" spans="1:11" ht="18" customHeight="1">
      <c r="A152" s="48" t="s">
        <v>360</v>
      </c>
      <c r="B152" s="43" t="s">
        <v>245</v>
      </c>
      <c r="F152" s="381">
        <f t="shared" ref="F152:K152" si="22">SUM(F141:F150)</f>
        <v>99533</v>
      </c>
      <c r="G152" s="381">
        <f t="shared" si="22"/>
        <v>40207</v>
      </c>
      <c r="H152" s="347">
        <f t="shared" si="22"/>
        <v>13320610.669787269</v>
      </c>
      <c r="I152" s="347">
        <f t="shared" si="22"/>
        <v>5623204</v>
      </c>
      <c r="J152" s="347">
        <f t="shared" si="22"/>
        <v>7771201.7570626102</v>
      </c>
      <c r="K152" s="347">
        <f t="shared" si="22"/>
        <v>18620001.912724659</v>
      </c>
    </row>
    <row r="154" spans="1:11" ht="18" customHeight="1">
      <c r="A154" s="48" t="s">
        <v>361</v>
      </c>
      <c r="B154" s="43" t="s">
        <v>252</v>
      </c>
      <c r="F154" s="383">
        <f>K152/F121</f>
        <v>0.15700823480891651</v>
      </c>
    </row>
    <row r="155" spans="1:11" ht="18" customHeight="1">
      <c r="A155" s="48" t="s">
        <v>362</v>
      </c>
      <c r="B155" s="43" t="s">
        <v>253</v>
      </c>
      <c r="F155" s="383">
        <f>K152/F127</f>
        <v>2.7233922864418458</v>
      </c>
      <c r="G155" s="43"/>
    </row>
    <row r="156" spans="1:11" ht="18" customHeight="1">
      <c r="G156" s="43"/>
    </row>
  </sheetData>
  <mergeCells count="29">
    <mergeCell ref="B105:D105"/>
    <mergeCell ref="B106:D106"/>
    <mergeCell ref="B133:D133"/>
    <mergeCell ref="B134:D134"/>
    <mergeCell ref="B135:D135"/>
    <mergeCell ref="B104:D104"/>
    <mergeCell ref="B44:D44"/>
    <mergeCell ref="B45:D45"/>
    <mergeCell ref="B46:D46"/>
    <mergeCell ref="B47:D47"/>
    <mergeCell ref="B61:D61"/>
    <mergeCell ref="B62:D62"/>
    <mergeCell ref="B90:C90"/>
    <mergeCell ref="B94:D94"/>
    <mergeCell ref="B95:D95"/>
    <mergeCell ref="B96:D96"/>
    <mergeCell ref="B103:C103"/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</mergeCells>
  <hyperlinks>
    <hyperlink ref="C11" r:id="rId1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topLeftCell="A17" workbookViewId="0">
      <selection activeCell="B43" sqref="B43"/>
    </sheetView>
  </sheetViews>
  <sheetFormatPr defaultRowHeight="12.75"/>
  <cols>
    <col min="1" max="1" width="8.28515625" style="135" customWidth="1"/>
    <col min="2" max="2" width="55.42578125" style="49" bestFit="1" customWidth="1"/>
    <col min="3" max="3" width="9.5703125" style="49" customWidth="1"/>
    <col min="4" max="4" width="9.140625" style="49"/>
    <col min="5" max="5" width="12.42578125" style="49" customWidth="1"/>
    <col min="6" max="6" width="18.5703125" style="49" customWidth="1"/>
    <col min="7" max="7" width="23.5703125" style="49" customWidth="1"/>
    <col min="8" max="8" width="17.140625" style="49" customWidth="1"/>
    <col min="9" max="9" width="21.140625" style="49" customWidth="1"/>
    <col min="10" max="10" width="19.85546875" style="49" customWidth="1"/>
    <col min="11" max="11" width="17.5703125" style="49" customWidth="1"/>
    <col min="12" max="16384" width="9.140625" style="49"/>
  </cols>
  <sheetData>
    <row r="1" spans="1:11" ht="18" customHeight="1">
      <c r="C1" s="346"/>
      <c r="D1" s="42"/>
      <c r="E1" s="346"/>
      <c r="F1" s="346"/>
      <c r="G1" s="346"/>
      <c r="H1" s="346"/>
      <c r="I1" s="346"/>
      <c r="J1" s="346"/>
      <c r="K1" s="346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26" t="s">
        <v>778</v>
      </c>
      <c r="D5" s="851"/>
      <c r="E5" s="851"/>
      <c r="F5" s="851"/>
      <c r="G5" s="852"/>
    </row>
    <row r="6" spans="1:11" ht="18" customHeight="1">
      <c r="B6" s="45" t="s">
        <v>136</v>
      </c>
      <c r="C6" s="829">
        <v>40</v>
      </c>
      <c r="D6" s="854"/>
      <c r="E6" s="854"/>
      <c r="F6" s="854"/>
      <c r="G6" s="855"/>
    </row>
    <row r="7" spans="1:11" ht="18" customHeight="1">
      <c r="B7" s="45" t="s">
        <v>137</v>
      </c>
      <c r="C7" s="878">
        <v>1642</v>
      </c>
      <c r="D7" s="857"/>
      <c r="E7" s="857"/>
      <c r="F7" s="857"/>
      <c r="G7" s="858"/>
    </row>
    <row r="9" spans="1:11" ht="18" customHeight="1">
      <c r="B9" s="45" t="s">
        <v>138</v>
      </c>
      <c r="C9" s="826" t="s">
        <v>713</v>
      </c>
      <c r="D9" s="851"/>
      <c r="E9" s="851"/>
      <c r="F9" s="851"/>
      <c r="G9" s="852"/>
    </row>
    <row r="10" spans="1:11" ht="18" customHeight="1">
      <c r="B10" s="45" t="s">
        <v>140</v>
      </c>
      <c r="C10" s="835" t="s">
        <v>714</v>
      </c>
      <c r="D10" s="860"/>
      <c r="E10" s="860"/>
      <c r="F10" s="860"/>
      <c r="G10" s="861"/>
    </row>
    <row r="11" spans="1:11" ht="18" customHeight="1">
      <c r="B11" s="45" t="s">
        <v>142</v>
      </c>
      <c r="C11" s="838" t="s">
        <v>715</v>
      </c>
      <c r="D11" s="874"/>
      <c r="E11" s="874"/>
      <c r="F11" s="874"/>
      <c r="G11" s="874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346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6237425</v>
      </c>
      <c r="I18" s="167">
        <v>0</v>
      </c>
      <c r="J18" s="347">
        <v>5333778</v>
      </c>
      <c r="K18" s="348">
        <f>(H18+I18)-J18</f>
        <v>903647</v>
      </c>
    </row>
    <row r="19" spans="1:11" ht="45" customHeight="1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7">
        <f>94+77+4160</f>
        <v>4331</v>
      </c>
      <c r="G21" s="57">
        <v>5935</v>
      </c>
      <c r="H21" s="347">
        <f>125785</f>
        <v>125785</v>
      </c>
      <c r="I21" s="167">
        <f t="shared" ref="I21:I34" si="0">H21*F$114</f>
        <v>88137.549499999994</v>
      </c>
      <c r="J21" s="347"/>
      <c r="K21" s="348">
        <f t="shared" ref="K21:K34" si="1">(H21+I21)-J21</f>
        <v>213922.54949999999</v>
      </c>
    </row>
    <row r="22" spans="1:11" ht="18" customHeight="1">
      <c r="A22" s="45" t="s">
        <v>261</v>
      </c>
      <c r="B22" s="49" t="s">
        <v>157</v>
      </c>
      <c r="F22" s="57"/>
      <c r="G22" s="57"/>
      <c r="H22" s="347"/>
      <c r="I22" s="167">
        <f t="shared" si="0"/>
        <v>0</v>
      </c>
      <c r="J22" s="347"/>
      <c r="K22" s="348">
        <f t="shared" si="1"/>
        <v>0</v>
      </c>
    </row>
    <row r="23" spans="1:11" ht="18" customHeight="1">
      <c r="A23" s="45" t="s">
        <v>262</v>
      </c>
      <c r="B23" s="49" t="s">
        <v>158</v>
      </c>
      <c r="F23" s="57"/>
      <c r="G23" s="57"/>
      <c r="H23" s="347"/>
      <c r="I23" s="167">
        <f t="shared" si="0"/>
        <v>0</v>
      </c>
      <c r="J23" s="347"/>
      <c r="K23" s="348">
        <f t="shared" si="1"/>
        <v>0</v>
      </c>
    </row>
    <row r="24" spans="1:11" ht="18" customHeight="1">
      <c r="A24" s="45" t="s">
        <v>263</v>
      </c>
      <c r="B24" s="49" t="s">
        <v>159</v>
      </c>
      <c r="F24" s="57"/>
      <c r="G24" s="57"/>
      <c r="H24" s="347"/>
      <c r="I24" s="167">
        <f t="shared" si="0"/>
        <v>0</v>
      </c>
      <c r="J24" s="347"/>
      <c r="K24" s="348">
        <f t="shared" si="1"/>
        <v>0</v>
      </c>
    </row>
    <row r="25" spans="1:11" ht="18" customHeight="1">
      <c r="A25" s="45" t="s">
        <v>264</v>
      </c>
      <c r="B25" s="49" t="s">
        <v>160</v>
      </c>
      <c r="F25" s="57">
        <f>106+3494</f>
        <v>3600</v>
      </c>
      <c r="G25" s="57">
        <f>147+801</f>
        <v>948</v>
      </c>
      <c r="H25" s="347">
        <f>85390</f>
        <v>85390</v>
      </c>
      <c r="I25" s="167">
        <f t="shared" si="0"/>
        <v>59832.773000000001</v>
      </c>
      <c r="J25" s="347"/>
      <c r="K25" s="348">
        <f t="shared" si="1"/>
        <v>145222.77299999999</v>
      </c>
    </row>
    <row r="26" spans="1:11" ht="18" customHeight="1">
      <c r="A26" s="45" t="s">
        <v>265</v>
      </c>
      <c r="B26" s="49" t="s">
        <v>161</v>
      </c>
      <c r="F26" s="57"/>
      <c r="G26" s="57"/>
      <c r="H26" s="347"/>
      <c r="I26" s="167">
        <f t="shared" si="0"/>
        <v>0</v>
      </c>
      <c r="J26" s="347"/>
      <c r="K26" s="348">
        <f t="shared" si="1"/>
        <v>0</v>
      </c>
    </row>
    <row r="27" spans="1:11" ht="18" customHeight="1">
      <c r="A27" s="45" t="s">
        <v>266</v>
      </c>
      <c r="B27" s="49" t="s">
        <v>162</v>
      </c>
      <c r="F27" s="57"/>
      <c r="G27" s="57"/>
      <c r="H27" s="347"/>
      <c r="I27" s="167">
        <f t="shared" si="0"/>
        <v>0</v>
      </c>
      <c r="J27" s="347"/>
      <c r="K27" s="348">
        <f t="shared" si="1"/>
        <v>0</v>
      </c>
    </row>
    <row r="28" spans="1:11" ht="18" customHeight="1">
      <c r="A28" s="45" t="s">
        <v>267</v>
      </c>
      <c r="B28" s="49" t="s">
        <v>163</v>
      </c>
      <c r="F28" s="57"/>
      <c r="G28" s="57"/>
      <c r="H28" s="347"/>
      <c r="I28" s="167">
        <f t="shared" si="0"/>
        <v>0</v>
      </c>
      <c r="J28" s="347"/>
      <c r="K28" s="348">
        <f t="shared" si="1"/>
        <v>0</v>
      </c>
    </row>
    <row r="29" spans="1:11" ht="18" customHeight="1">
      <c r="A29" s="45" t="s">
        <v>268</v>
      </c>
      <c r="B29" s="49" t="s">
        <v>165</v>
      </c>
      <c r="F29" s="57">
        <f>86+2080</f>
        <v>2166</v>
      </c>
      <c r="G29" s="57">
        <v>96</v>
      </c>
      <c r="H29" s="347">
        <v>601542</v>
      </c>
      <c r="I29" s="167">
        <f t="shared" si="0"/>
        <v>421500.47940000001</v>
      </c>
      <c r="J29" s="347"/>
      <c r="K29" s="348">
        <f t="shared" si="1"/>
        <v>1023042.4794000001</v>
      </c>
    </row>
    <row r="30" spans="1:11" ht="18" customHeight="1">
      <c r="A30" s="45" t="s">
        <v>269</v>
      </c>
      <c r="B30" s="814"/>
      <c r="C30" s="815"/>
      <c r="D30" s="816"/>
      <c r="F30" s="57"/>
      <c r="G30" s="57"/>
      <c r="H30" s="347"/>
      <c r="I30" s="167">
        <f t="shared" si="0"/>
        <v>0</v>
      </c>
      <c r="J30" s="347"/>
      <c r="K30" s="348">
        <f t="shared" si="1"/>
        <v>0</v>
      </c>
    </row>
    <row r="31" spans="1:11" ht="18" customHeight="1">
      <c r="A31" s="45" t="s">
        <v>270</v>
      </c>
      <c r="B31" s="814"/>
      <c r="C31" s="815"/>
      <c r="D31" s="816"/>
      <c r="F31" s="57"/>
      <c r="G31" s="57"/>
      <c r="H31" s="347"/>
      <c r="I31" s="167">
        <f t="shared" si="0"/>
        <v>0</v>
      </c>
      <c r="J31" s="347"/>
      <c r="K31" s="348">
        <f t="shared" si="1"/>
        <v>0</v>
      </c>
    </row>
    <row r="32" spans="1:11" ht="18" customHeight="1">
      <c r="A32" s="45" t="s">
        <v>271</v>
      </c>
      <c r="B32" s="160"/>
      <c r="C32" s="161"/>
      <c r="D32" s="162"/>
      <c r="F32" s="57"/>
      <c r="G32" s="57" t="s">
        <v>272</v>
      </c>
      <c r="H32" s="347"/>
      <c r="I32" s="167">
        <f t="shared" si="0"/>
        <v>0</v>
      </c>
      <c r="J32" s="347"/>
      <c r="K32" s="348">
        <f t="shared" si="1"/>
        <v>0</v>
      </c>
    </row>
    <row r="33" spans="1:11" ht="18" customHeight="1">
      <c r="A33" s="45" t="s">
        <v>273</v>
      </c>
      <c r="B33" s="160"/>
      <c r="C33" s="161"/>
      <c r="D33" s="162"/>
      <c r="F33" s="57"/>
      <c r="G33" s="57" t="s">
        <v>272</v>
      </c>
      <c r="H33" s="347"/>
      <c r="I33" s="167">
        <f t="shared" si="0"/>
        <v>0</v>
      </c>
      <c r="J33" s="347"/>
      <c r="K33" s="348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7"/>
      <c r="G34" s="57" t="s">
        <v>272</v>
      </c>
      <c r="H34" s="347"/>
      <c r="I34" s="167">
        <f t="shared" si="0"/>
        <v>0</v>
      </c>
      <c r="J34" s="347"/>
      <c r="K34" s="348">
        <f t="shared" si="1"/>
        <v>0</v>
      </c>
    </row>
    <row r="35" spans="1:11" ht="18" customHeight="1">
      <c r="K35" s="349"/>
    </row>
    <row r="36" spans="1:11" ht="18" customHeight="1">
      <c r="A36" s="48" t="s">
        <v>275</v>
      </c>
      <c r="B36" s="43" t="s">
        <v>166</v>
      </c>
      <c r="E36" s="43" t="s">
        <v>276</v>
      </c>
      <c r="F36" s="350">
        <f t="shared" ref="F36:K36" si="2">SUM(F21:F34)</f>
        <v>10097</v>
      </c>
      <c r="G36" s="350">
        <f t="shared" si="2"/>
        <v>6979</v>
      </c>
      <c r="H36" s="350">
        <f t="shared" si="2"/>
        <v>812717</v>
      </c>
      <c r="I36" s="348">
        <f t="shared" si="2"/>
        <v>569470.80190000008</v>
      </c>
      <c r="J36" s="348">
        <f t="shared" si="2"/>
        <v>0</v>
      </c>
      <c r="K36" s="348">
        <f t="shared" si="2"/>
        <v>1382187.8019000001</v>
      </c>
    </row>
    <row r="37" spans="1:11" ht="18" customHeight="1" thickBot="1">
      <c r="B37" s="43"/>
      <c r="F37" s="351"/>
      <c r="G37" s="351"/>
      <c r="H37" s="352"/>
      <c r="I37" s="352"/>
      <c r="J37" s="352"/>
      <c r="K37" s="353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9" t="s">
        <v>170</v>
      </c>
      <c r="F40" s="57"/>
      <c r="G40" s="57"/>
      <c r="H40" s="347"/>
      <c r="I40" s="167">
        <f t="shared" ref="I40:I47" si="3">H40*F$114</f>
        <v>0</v>
      </c>
      <c r="J40" s="347"/>
      <c r="K40" s="348">
        <f t="shared" ref="K40:K47" si="4">(H40+I40)-J40</f>
        <v>0</v>
      </c>
    </row>
    <row r="41" spans="1:11" ht="18" customHeight="1">
      <c r="A41" s="45" t="s">
        <v>278</v>
      </c>
      <c r="B41" s="818" t="s">
        <v>172</v>
      </c>
      <c r="C41" s="818"/>
      <c r="F41" s="57">
        <v>4207</v>
      </c>
      <c r="G41" s="57">
        <v>31</v>
      </c>
      <c r="H41" s="347">
        <v>129239</v>
      </c>
      <c r="I41" s="167">
        <f t="shared" si="3"/>
        <v>90557.767299999992</v>
      </c>
      <c r="J41" s="347"/>
      <c r="K41" s="348">
        <f t="shared" si="4"/>
        <v>219796.76730000001</v>
      </c>
    </row>
    <row r="42" spans="1:11" ht="18" customHeight="1">
      <c r="A42" s="45" t="s">
        <v>279</v>
      </c>
      <c r="B42" s="49" t="s">
        <v>174</v>
      </c>
      <c r="F42" s="57">
        <v>4832</v>
      </c>
      <c r="G42" s="57">
        <v>16</v>
      </c>
      <c r="H42" s="347">
        <v>284176</v>
      </c>
      <c r="I42" s="167">
        <f t="shared" si="3"/>
        <v>199122.1232</v>
      </c>
      <c r="J42" s="347"/>
      <c r="K42" s="348">
        <f t="shared" si="4"/>
        <v>483298.12320000003</v>
      </c>
    </row>
    <row r="43" spans="1:11" ht="18" customHeight="1">
      <c r="A43" s="45" t="s">
        <v>280</v>
      </c>
      <c r="B43" s="49" t="s">
        <v>176</v>
      </c>
      <c r="F43" s="57"/>
      <c r="G43" s="57"/>
      <c r="H43" s="347"/>
      <c r="I43" s="167">
        <f t="shared" si="3"/>
        <v>0</v>
      </c>
      <c r="J43" s="347"/>
      <c r="K43" s="348">
        <f t="shared" si="4"/>
        <v>0</v>
      </c>
    </row>
    <row r="44" spans="1:11" ht="18" customHeight="1">
      <c r="A44" s="45" t="s">
        <v>281</v>
      </c>
      <c r="B44" s="814"/>
      <c r="C44" s="815"/>
      <c r="D44" s="816"/>
      <c r="F44" s="57"/>
      <c r="G44" s="57"/>
      <c r="H44" s="57"/>
      <c r="I44" s="167">
        <f t="shared" si="3"/>
        <v>0</v>
      </c>
      <c r="J44" s="57"/>
      <c r="K44" s="354">
        <f t="shared" si="4"/>
        <v>0</v>
      </c>
    </row>
    <row r="45" spans="1:11" ht="18" customHeight="1">
      <c r="A45" s="45" t="s">
        <v>283</v>
      </c>
      <c r="B45" s="814"/>
      <c r="C45" s="815"/>
      <c r="D45" s="816"/>
      <c r="F45" s="57"/>
      <c r="G45" s="57"/>
      <c r="H45" s="347"/>
      <c r="I45" s="167">
        <f t="shared" si="3"/>
        <v>0</v>
      </c>
      <c r="J45" s="347"/>
      <c r="K45" s="348">
        <f t="shared" si="4"/>
        <v>0</v>
      </c>
    </row>
    <row r="46" spans="1:11" ht="18" customHeight="1">
      <c r="A46" s="45" t="s">
        <v>284</v>
      </c>
      <c r="B46" s="814"/>
      <c r="C46" s="815"/>
      <c r="D46" s="816"/>
      <c r="F46" s="57"/>
      <c r="G46" s="57"/>
      <c r="H46" s="347"/>
      <c r="I46" s="167">
        <f t="shared" si="3"/>
        <v>0</v>
      </c>
      <c r="J46" s="347"/>
      <c r="K46" s="348">
        <f t="shared" si="4"/>
        <v>0</v>
      </c>
    </row>
    <row r="47" spans="1:11" ht="18" customHeight="1">
      <c r="A47" s="45" t="s">
        <v>285</v>
      </c>
      <c r="B47" s="814"/>
      <c r="C47" s="815"/>
      <c r="D47" s="816"/>
      <c r="F47" s="57"/>
      <c r="G47" s="57"/>
      <c r="H47" s="347"/>
      <c r="I47" s="167">
        <f t="shared" si="3"/>
        <v>0</v>
      </c>
      <c r="J47" s="347"/>
      <c r="K47" s="348">
        <f t="shared" si="4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355">
        <f t="shared" ref="F49:K49" si="5">SUM(F40:F47)</f>
        <v>9039</v>
      </c>
      <c r="G49" s="355">
        <f t="shared" si="5"/>
        <v>47</v>
      </c>
      <c r="H49" s="348">
        <f t="shared" si="5"/>
        <v>413415</v>
      </c>
      <c r="I49" s="348">
        <f t="shared" si="5"/>
        <v>289679.89049999998</v>
      </c>
      <c r="J49" s="348">
        <f t="shared" si="5"/>
        <v>0</v>
      </c>
      <c r="K49" s="348">
        <f t="shared" si="5"/>
        <v>703094.89049999998</v>
      </c>
    </row>
    <row r="50" spans="1:11" ht="18" customHeight="1" thickBot="1">
      <c r="G50" s="356"/>
      <c r="H50" s="356"/>
      <c r="I50" s="356"/>
      <c r="J50" s="356"/>
      <c r="K50" s="356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66"/>
    </row>
    <row r="53" spans="1:11" ht="18" customHeight="1">
      <c r="A53" s="45" t="s">
        <v>287</v>
      </c>
      <c r="B53" s="822" t="s">
        <v>716</v>
      </c>
      <c r="C53" s="867"/>
      <c r="D53" s="865"/>
      <c r="F53" s="57"/>
      <c r="G53" s="57"/>
      <c r="H53" s="347">
        <v>3232686</v>
      </c>
      <c r="I53" s="167">
        <f t="shared" ref="I53:I62" si="6">H53*F$114</f>
        <v>2265143.0801999997</v>
      </c>
      <c r="J53" s="347"/>
      <c r="K53" s="348">
        <f t="shared" ref="K53:K62" si="7">(H53+I53)-J53</f>
        <v>5497829.0801999997</v>
      </c>
    </row>
    <row r="54" spans="1:11" ht="18" customHeight="1">
      <c r="A54" s="45" t="s">
        <v>289</v>
      </c>
      <c r="B54" s="164" t="s">
        <v>779</v>
      </c>
      <c r="C54" s="262"/>
      <c r="D54" s="263"/>
      <c r="F54" s="57"/>
      <c r="G54" s="57"/>
      <c r="H54" s="347">
        <v>850589</v>
      </c>
      <c r="I54" s="167">
        <f t="shared" si="6"/>
        <v>596007.71230000001</v>
      </c>
      <c r="J54" s="347"/>
      <c r="K54" s="348">
        <f t="shared" si="7"/>
        <v>1446596.7123</v>
      </c>
    </row>
    <row r="55" spans="1:11" ht="18" customHeight="1">
      <c r="A55" s="45" t="s">
        <v>291</v>
      </c>
      <c r="B55" s="817" t="s">
        <v>721</v>
      </c>
      <c r="C55" s="864"/>
      <c r="D55" s="865"/>
      <c r="F55" s="57"/>
      <c r="G55" s="57"/>
      <c r="H55" s="347">
        <v>126301</v>
      </c>
      <c r="I55" s="167">
        <f t="shared" si="6"/>
        <v>88499.110700000005</v>
      </c>
      <c r="J55" s="347"/>
      <c r="K55" s="348">
        <f t="shared" si="7"/>
        <v>214800.11070000002</v>
      </c>
    </row>
    <row r="56" spans="1:11" ht="18" customHeight="1">
      <c r="A56" s="45" t="s">
        <v>293</v>
      </c>
      <c r="B56" s="817" t="s">
        <v>301</v>
      </c>
      <c r="C56" s="864"/>
      <c r="D56" s="865"/>
      <c r="F56" s="57"/>
      <c r="G56" s="57"/>
      <c r="H56" s="347">
        <v>1200690</v>
      </c>
      <c r="I56" s="167">
        <f t="shared" si="6"/>
        <v>841323.48300000001</v>
      </c>
      <c r="J56" s="347"/>
      <c r="K56" s="348">
        <f t="shared" si="7"/>
        <v>2042013.483</v>
      </c>
    </row>
    <row r="57" spans="1:11" ht="18" customHeight="1">
      <c r="A57" s="45" t="s">
        <v>295</v>
      </c>
      <c r="B57" s="817"/>
      <c r="C57" s="864"/>
      <c r="D57" s="865"/>
      <c r="F57" s="57"/>
      <c r="G57" s="57"/>
      <c r="H57" s="347"/>
      <c r="I57" s="167">
        <f t="shared" si="6"/>
        <v>0</v>
      </c>
      <c r="J57" s="347"/>
      <c r="K57" s="348">
        <f t="shared" si="7"/>
        <v>0</v>
      </c>
    </row>
    <row r="58" spans="1:11" ht="18" customHeight="1">
      <c r="A58" s="45" t="s">
        <v>298</v>
      </c>
      <c r="B58" s="164"/>
      <c r="C58" s="262"/>
      <c r="D58" s="263"/>
      <c r="F58" s="57"/>
      <c r="G58" s="57"/>
      <c r="H58" s="347"/>
      <c r="I58" s="167">
        <f t="shared" si="6"/>
        <v>0</v>
      </c>
      <c r="J58" s="347"/>
      <c r="K58" s="348">
        <f t="shared" si="7"/>
        <v>0</v>
      </c>
    </row>
    <row r="59" spans="1:11" ht="18" customHeight="1">
      <c r="A59" s="45" t="s">
        <v>300</v>
      </c>
      <c r="B59" s="817"/>
      <c r="C59" s="864"/>
      <c r="D59" s="865"/>
      <c r="F59" s="57"/>
      <c r="G59" s="57"/>
      <c r="H59" s="347"/>
      <c r="I59" s="167">
        <f t="shared" si="6"/>
        <v>0</v>
      </c>
      <c r="J59" s="347"/>
      <c r="K59" s="348">
        <f t="shared" si="7"/>
        <v>0</v>
      </c>
    </row>
    <row r="60" spans="1:11" ht="18" customHeight="1">
      <c r="A60" s="45" t="s">
        <v>302</v>
      </c>
      <c r="B60" s="164"/>
      <c r="C60" s="262"/>
      <c r="D60" s="263"/>
      <c r="F60" s="57"/>
      <c r="G60" s="57"/>
      <c r="H60" s="347"/>
      <c r="I60" s="167">
        <f t="shared" si="6"/>
        <v>0</v>
      </c>
      <c r="J60" s="347"/>
      <c r="K60" s="348">
        <f t="shared" si="7"/>
        <v>0</v>
      </c>
    </row>
    <row r="61" spans="1:11" ht="18" customHeight="1">
      <c r="A61" s="45" t="s">
        <v>303</v>
      </c>
      <c r="B61" s="164"/>
      <c r="C61" s="262"/>
      <c r="D61" s="263"/>
      <c r="F61" s="57"/>
      <c r="G61" s="57"/>
      <c r="H61" s="347"/>
      <c r="I61" s="167">
        <f t="shared" si="6"/>
        <v>0</v>
      </c>
      <c r="J61" s="347"/>
      <c r="K61" s="348">
        <f t="shared" si="7"/>
        <v>0</v>
      </c>
    </row>
    <row r="62" spans="1:11" ht="18" customHeight="1">
      <c r="A62" s="45" t="s">
        <v>304</v>
      </c>
      <c r="B62" s="817"/>
      <c r="C62" s="864"/>
      <c r="D62" s="865"/>
      <c r="F62" s="57"/>
      <c r="G62" s="57"/>
      <c r="H62" s="347"/>
      <c r="I62" s="167">
        <f t="shared" si="6"/>
        <v>0</v>
      </c>
      <c r="J62" s="347"/>
      <c r="K62" s="348">
        <f t="shared" si="7"/>
        <v>0</v>
      </c>
    </row>
    <row r="63" spans="1:11" ht="18" customHeight="1">
      <c r="A63" s="45"/>
      <c r="I63" s="357"/>
    </row>
    <row r="64" spans="1:11" ht="18" customHeight="1">
      <c r="A64" s="45" t="s">
        <v>305</v>
      </c>
      <c r="B64" s="43" t="s">
        <v>184</v>
      </c>
      <c r="E64" s="43" t="s">
        <v>276</v>
      </c>
      <c r="F64" s="350">
        <f t="shared" ref="F64:K64" si="8">SUM(F53:F62)</f>
        <v>0</v>
      </c>
      <c r="G64" s="350">
        <f t="shared" si="8"/>
        <v>0</v>
      </c>
      <c r="H64" s="348">
        <f t="shared" si="8"/>
        <v>5410266</v>
      </c>
      <c r="I64" s="348">
        <f t="shared" si="8"/>
        <v>3790973.3861999996</v>
      </c>
      <c r="J64" s="348">
        <f t="shared" si="8"/>
        <v>0</v>
      </c>
      <c r="K64" s="348">
        <f t="shared" si="8"/>
        <v>9201239.3861999996</v>
      </c>
    </row>
    <row r="65" spans="1:11" ht="18" customHeight="1">
      <c r="F65" s="358"/>
      <c r="G65" s="358"/>
      <c r="H65" s="394"/>
      <c r="I65" s="358"/>
      <c r="J65" s="358"/>
      <c r="K65" s="358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359"/>
      <c r="G67" s="359"/>
      <c r="H67" s="359"/>
      <c r="I67" s="360"/>
      <c r="J67" s="359"/>
      <c r="K67" s="361"/>
    </row>
    <row r="68" spans="1:11" ht="18" customHeight="1">
      <c r="A68" s="45" t="s">
        <v>306</v>
      </c>
      <c r="B68" s="49" t="s">
        <v>188</v>
      </c>
      <c r="F68" s="362"/>
      <c r="G68" s="362"/>
      <c r="H68" s="362"/>
      <c r="I68" s="167">
        <f t="shared" ref="I68:I72" si="9">H68*F$114</f>
        <v>0</v>
      </c>
      <c r="J68" s="362"/>
      <c r="K68" s="348">
        <f>(H68+I68)-J68</f>
        <v>0</v>
      </c>
    </row>
    <row r="69" spans="1:11" ht="18" customHeight="1">
      <c r="A69" s="45" t="s">
        <v>307</v>
      </c>
      <c r="B69" s="49" t="s">
        <v>190</v>
      </c>
      <c r="F69" s="362"/>
      <c r="G69" s="362"/>
      <c r="H69" s="362"/>
      <c r="I69" s="167">
        <f t="shared" si="9"/>
        <v>0</v>
      </c>
      <c r="J69" s="362"/>
      <c r="K69" s="348">
        <f>(H69+I69)-J69</f>
        <v>0</v>
      </c>
    </row>
    <row r="70" spans="1:11" ht="18" customHeight="1">
      <c r="A70" s="45" t="s">
        <v>308</v>
      </c>
      <c r="B70" s="164" t="s">
        <v>428</v>
      </c>
      <c r="C70" s="262"/>
      <c r="D70" s="263"/>
      <c r="E70" s="43"/>
      <c r="F70" s="364">
        <v>1574</v>
      </c>
      <c r="G70" s="364"/>
      <c r="H70" s="363">
        <v>43668</v>
      </c>
      <c r="I70" s="167">
        <f t="shared" si="9"/>
        <v>30598.167600000001</v>
      </c>
      <c r="J70" s="363"/>
      <c r="K70" s="348">
        <f>(H70+I70)-J70</f>
        <v>74266.167600000001</v>
      </c>
    </row>
    <row r="71" spans="1:11" ht="18" customHeight="1">
      <c r="A71" s="45" t="s">
        <v>309</v>
      </c>
      <c r="B71" s="164"/>
      <c r="C71" s="262"/>
      <c r="D71" s="263"/>
      <c r="E71" s="43"/>
      <c r="F71" s="364"/>
      <c r="G71" s="364"/>
      <c r="H71" s="363"/>
      <c r="I71" s="167">
        <f t="shared" si="9"/>
        <v>0</v>
      </c>
      <c r="J71" s="363"/>
      <c r="K71" s="348">
        <f>(H71+I71)-J71</f>
        <v>0</v>
      </c>
    </row>
    <row r="72" spans="1:11" ht="18" customHeight="1">
      <c r="A72" s="45" t="s">
        <v>310</v>
      </c>
      <c r="B72" s="163"/>
      <c r="C72" s="264"/>
      <c r="D72" s="365"/>
      <c r="E72" s="43"/>
      <c r="F72" s="57"/>
      <c r="G72" s="57"/>
      <c r="H72" s="347"/>
      <c r="I72" s="167">
        <f t="shared" si="9"/>
        <v>0</v>
      </c>
      <c r="J72" s="347"/>
      <c r="K72" s="348">
        <f>(H72+I72)-J72</f>
        <v>0</v>
      </c>
    </row>
    <row r="73" spans="1:11" ht="18" customHeight="1">
      <c r="A73" s="45"/>
      <c r="E73" s="43"/>
      <c r="F73" s="366"/>
      <c r="G73" s="366"/>
      <c r="H73" s="367"/>
      <c r="I73" s="360"/>
      <c r="J73" s="367"/>
      <c r="K73" s="361"/>
    </row>
    <row r="74" spans="1:11" ht="18" customHeight="1">
      <c r="A74" s="48" t="s">
        <v>311</v>
      </c>
      <c r="B74" s="43" t="s">
        <v>191</v>
      </c>
      <c r="E74" s="43" t="s">
        <v>276</v>
      </c>
      <c r="F74" s="368">
        <f t="shared" ref="F74:K74" si="10">SUM(F68:F72)</f>
        <v>1574</v>
      </c>
      <c r="G74" s="368">
        <f t="shared" si="10"/>
        <v>0</v>
      </c>
      <c r="H74" s="368">
        <f t="shared" si="10"/>
        <v>43668</v>
      </c>
      <c r="I74" s="370">
        <f t="shared" si="10"/>
        <v>30598.167600000001</v>
      </c>
      <c r="J74" s="368">
        <f t="shared" si="10"/>
        <v>0</v>
      </c>
      <c r="K74" s="354">
        <f t="shared" si="10"/>
        <v>74266.167600000001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7"/>
      <c r="G77" s="57"/>
      <c r="H77" s="347">
        <v>166374</v>
      </c>
      <c r="I77" s="167">
        <v>0</v>
      </c>
      <c r="J77" s="347"/>
      <c r="K77" s="348">
        <f>(H77+I77)-J77</f>
        <v>166374</v>
      </c>
    </row>
    <row r="78" spans="1:11" ht="18" customHeight="1">
      <c r="A78" s="45" t="s">
        <v>313</v>
      </c>
      <c r="B78" s="49" t="s">
        <v>197</v>
      </c>
      <c r="F78" s="57"/>
      <c r="G78" s="57"/>
      <c r="H78" s="347"/>
      <c r="I78" s="167">
        <v>0</v>
      </c>
      <c r="J78" s="347"/>
      <c r="K78" s="348">
        <f>(H78+I78)-J78</f>
        <v>0</v>
      </c>
    </row>
    <row r="79" spans="1:11" ht="18" customHeight="1">
      <c r="A79" s="45" t="s">
        <v>314</v>
      </c>
      <c r="B79" s="49" t="s">
        <v>199</v>
      </c>
      <c r="F79" s="57"/>
      <c r="G79" s="57"/>
      <c r="H79" s="347"/>
      <c r="I79" s="167">
        <v>0</v>
      </c>
      <c r="J79" s="347"/>
      <c r="K79" s="348">
        <f>(H79+I79)-J79</f>
        <v>0</v>
      </c>
    </row>
    <row r="80" spans="1:11" ht="18" customHeight="1">
      <c r="A80" s="45" t="s">
        <v>315</v>
      </c>
      <c r="B80" s="49" t="s">
        <v>316</v>
      </c>
      <c r="F80" s="57"/>
      <c r="G80" s="57"/>
      <c r="H80" s="347"/>
      <c r="I80" s="167">
        <v>0</v>
      </c>
      <c r="J80" s="347"/>
      <c r="K80" s="348">
        <f>(H80+I80)-J80</f>
        <v>0</v>
      </c>
    </row>
    <row r="81" spans="1:11" ht="18" customHeight="1">
      <c r="A81" s="45"/>
      <c r="K81" s="371"/>
    </row>
    <row r="82" spans="1:11" ht="18" customHeight="1">
      <c r="A82" s="45" t="s">
        <v>317</v>
      </c>
      <c r="B82" s="43" t="s">
        <v>318</v>
      </c>
      <c r="E82" s="43" t="s">
        <v>276</v>
      </c>
      <c r="F82" s="368">
        <f t="shared" ref="F82:K82" si="11">SUM(F77:F80)</f>
        <v>0</v>
      </c>
      <c r="G82" s="368">
        <f t="shared" si="11"/>
        <v>0</v>
      </c>
      <c r="H82" s="354">
        <f t="shared" si="11"/>
        <v>166374</v>
      </c>
      <c r="I82" s="354">
        <f t="shared" si="11"/>
        <v>0</v>
      </c>
      <c r="J82" s="354">
        <f t="shared" si="11"/>
        <v>0</v>
      </c>
      <c r="K82" s="354">
        <f t="shared" si="11"/>
        <v>166374</v>
      </c>
    </row>
    <row r="83" spans="1:11" ht="18" customHeight="1" thickBot="1">
      <c r="A83" s="45"/>
      <c r="F83" s="356"/>
      <c r="G83" s="356"/>
      <c r="H83" s="356"/>
      <c r="I83" s="356"/>
      <c r="J83" s="356"/>
      <c r="K83" s="356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7"/>
      <c r="G86" s="57"/>
      <c r="H86" s="347"/>
      <c r="I86" s="167">
        <f t="shared" ref="I86:I96" si="12">H86*F$114</f>
        <v>0</v>
      </c>
      <c r="J86" s="347"/>
      <c r="K86" s="348">
        <f t="shared" ref="K86:K96" si="13">(H86+I86)-J86</f>
        <v>0</v>
      </c>
    </row>
    <row r="87" spans="1:11" ht="18" customHeight="1">
      <c r="A87" s="45" t="s">
        <v>320</v>
      </c>
      <c r="B87" s="49" t="s">
        <v>206</v>
      </c>
      <c r="F87" s="57"/>
      <c r="G87" s="57"/>
      <c r="H87" s="347"/>
      <c r="I87" s="167">
        <f t="shared" si="12"/>
        <v>0</v>
      </c>
      <c r="J87" s="347"/>
      <c r="K87" s="348">
        <f t="shared" si="13"/>
        <v>0</v>
      </c>
    </row>
    <row r="88" spans="1:11" ht="18" customHeight="1">
      <c r="A88" s="45" t="s">
        <v>321</v>
      </c>
      <c r="B88" s="49" t="s">
        <v>208</v>
      </c>
      <c r="F88" s="57"/>
      <c r="G88" s="57"/>
      <c r="H88" s="347">
        <v>66414</v>
      </c>
      <c r="I88" s="167">
        <f t="shared" si="12"/>
        <v>46536.289799999999</v>
      </c>
      <c r="J88" s="347"/>
      <c r="K88" s="348">
        <f t="shared" si="13"/>
        <v>112950.2898</v>
      </c>
    </row>
    <row r="89" spans="1:11" ht="18" customHeight="1">
      <c r="A89" s="45" t="s">
        <v>322</v>
      </c>
      <c r="B89" s="49" t="s">
        <v>210</v>
      </c>
      <c r="F89" s="57"/>
      <c r="G89" s="57"/>
      <c r="H89" s="347"/>
      <c r="I89" s="167">
        <f t="shared" si="12"/>
        <v>0</v>
      </c>
      <c r="J89" s="347"/>
      <c r="K89" s="348">
        <f t="shared" si="13"/>
        <v>0</v>
      </c>
    </row>
    <row r="90" spans="1:11" ht="18" customHeight="1">
      <c r="A90" s="45" t="s">
        <v>323</v>
      </c>
      <c r="B90" s="818" t="s">
        <v>212</v>
      </c>
      <c r="C90" s="818"/>
      <c r="F90" s="57"/>
      <c r="G90" s="57"/>
      <c r="H90" s="347"/>
      <c r="I90" s="167">
        <f t="shared" si="12"/>
        <v>0</v>
      </c>
      <c r="J90" s="347"/>
      <c r="K90" s="348">
        <f t="shared" si="13"/>
        <v>0</v>
      </c>
    </row>
    <row r="91" spans="1:11" ht="18" customHeight="1">
      <c r="A91" s="45" t="s">
        <v>324</v>
      </c>
      <c r="B91" s="49" t="s">
        <v>214</v>
      </c>
      <c r="F91" s="57">
        <v>666</v>
      </c>
      <c r="G91" s="57">
        <v>371</v>
      </c>
      <c r="H91" s="347">
        <v>15545</v>
      </c>
      <c r="I91" s="167">
        <f t="shared" si="12"/>
        <v>10892.3815</v>
      </c>
      <c r="J91" s="347"/>
      <c r="K91" s="348">
        <f t="shared" si="13"/>
        <v>26437.3815</v>
      </c>
    </row>
    <row r="92" spans="1:11" ht="18" customHeight="1">
      <c r="A92" s="45" t="s">
        <v>325</v>
      </c>
      <c r="B92" s="49" t="s">
        <v>216</v>
      </c>
      <c r="F92" s="372"/>
      <c r="G92" s="372"/>
      <c r="H92" s="373"/>
      <c r="I92" s="167">
        <f t="shared" si="12"/>
        <v>0</v>
      </c>
      <c r="J92" s="373"/>
      <c r="K92" s="348">
        <f t="shared" si="13"/>
        <v>0</v>
      </c>
    </row>
    <row r="93" spans="1:11" ht="18" customHeight="1">
      <c r="A93" s="45" t="s">
        <v>326</v>
      </c>
      <c r="B93" s="49" t="s">
        <v>218</v>
      </c>
      <c r="F93" s="57"/>
      <c r="G93" s="57"/>
      <c r="H93" s="347"/>
      <c r="I93" s="167">
        <f t="shared" si="12"/>
        <v>0</v>
      </c>
      <c r="J93" s="347"/>
      <c r="K93" s="348">
        <f t="shared" si="13"/>
        <v>0</v>
      </c>
    </row>
    <row r="94" spans="1:11" ht="18" customHeight="1">
      <c r="A94" s="45" t="s">
        <v>327</v>
      </c>
      <c r="B94" s="817"/>
      <c r="C94" s="864"/>
      <c r="D94" s="865"/>
      <c r="F94" s="57"/>
      <c r="G94" s="57"/>
      <c r="H94" s="347"/>
      <c r="I94" s="167">
        <f t="shared" si="12"/>
        <v>0</v>
      </c>
      <c r="J94" s="347"/>
      <c r="K94" s="348">
        <f t="shared" si="13"/>
        <v>0</v>
      </c>
    </row>
    <row r="95" spans="1:11" ht="18" customHeight="1">
      <c r="A95" s="45" t="s">
        <v>329</v>
      </c>
      <c r="B95" s="817"/>
      <c r="C95" s="864"/>
      <c r="D95" s="865"/>
      <c r="F95" s="57"/>
      <c r="G95" s="57"/>
      <c r="H95" s="347"/>
      <c r="I95" s="167">
        <f t="shared" si="12"/>
        <v>0</v>
      </c>
      <c r="J95" s="347"/>
      <c r="K95" s="348">
        <f t="shared" si="13"/>
        <v>0</v>
      </c>
    </row>
    <row r="96" spans="1:11" ht="18" customHeight="1">
      <c r="A96" s="45" t="s">
        <v>330</v>
      </c>
      <c r="B96" s="817"/>
      <c r="C96" s="864"/>
      <c r="D96" s="865"/>
      <c r="F96" s="57"/>
      <c r="G96" s="57"/>
      <c r="H96" s="347"/>
      <c r="I96" s="167">
        <f t="shared" si="12"/>
        <v>0</v>
      </c>
      <c r="J96" s="347"/>
      <c r="K96" s="348">
        <f t="shared" si="13"/>
        <v>0</v>
      </c>
    </row>
    <row r="97" spans="1:11" ht="18" customHeight="1">
      <c r="A97" s="45"/>
    </row>
    <row r="98" spans="1:11" ht="18" customHeight="1">
      <c r="A98" s="48" t="s">
        <v>331</v>
      </c>
      <c r="B98" s="43" t="s">
        <v>220</v>
      </c>
      <c r="E98" s="43" t="s">
        <v>276</v>
      </c>
      <c r="F98" s="350">
        <f t="shared" ref="F98:K98" si="14">SUM(F86:F96)</f>
        <v>666</v>
      </c>
      <c r="G98" s="350">
        <f t="shared" si="14"/>
        <v>371</v>
      </c>
      <c r="H98" s="350">
        <f t="shared" si="14"/>
        <v>81959</v>
      </c>
      <c r="I98" s="350">
        <f t="shared" si="14"/>
        <v>57428.671300000002</v>
      </c>
      <c r="J98" s="350">
        <f t="shared" si="14"/>
        <v>0</v>
      </c>
      <c r="K98" s="350">
        <f t="shared" si="14"/>
        <v>139387.67129999999</v>
      </c>
    </row>
    <row r="99" spans="1:11" ht="18" customHeight="1" thickBot="1">
      <c r="B99" s="43"/>
      <c r="F99" s="356"/>
      <c r="G99" s="356"/>
      <c r="H99" s="356"/>
      <c r="I99" s="356"/>
      <c r="J99" s="356"/>
      <c r="K99" s="356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7">
        <v>2180</v>
      </c>
      <c r="G102" s="57"/>
      <c r="H102" s="347">
        <v>80064</v>
      </c>
      <c r="I102" s="167">
        <f>H102*F$114</f>
        <v>56100.844799999999</v>
      </c>
      <c r="J102" s="347"/>
      <c r="K102" s="348">
        <f>(H102+I102)-J102</f>
        <v>136164.84479999999</v>
      </c>
    </row>
    <row r="103" spans="1:11" ht="18" customHeight="1">
      <c r="A103" s="45" t="s">
        <v>333</v>
      </c>
      <c r="B103" s="818" t="s">
        <v>226</v>
      </c>
      <c r="C103" s="818"/>
      <c r="F103" s="57"/>
      <c r="G103" s="57"/>
      <c r="H103" s="347"/>
      <c r="I103" s="167">
        <f>H103*F$114</f>
        <v>0</v>
      </c>
      <c r="J103" s="347"/>
      <c r="K103" s="348">
        <f>(H103+I103)-J103</f>
        <v>0</v>
      </c>
    </row>
    <row r="104" spans="1:11" ht="18" customHeight="1">
      <c r="A104" s="45" t="s">
        <v>334</v>
      </c>
      <c r="B104" s="817"/>
      <c r="C104" s="864"/>
      <c r="D104" s="865"/>
      <c r="F104" s="57"/>
      <c r="G104" s="57"/>
      <c r="H104" s="347"/>
      <c r="I104" s="167">
        <f>H104*F$114</f>
        <v>0</v>
      </c>
      <c r="J104" s="347"/>
      <c r="K104" s="348">
        <f>(H104+I104)-J104</f>
        <v>0</v>
      </c>
    </row>
    <row r="105" spans="1:11" ht="18" customHeight="1">
      <c r="A105" s="45" t="s">
        <v>336</v>
      </c>
      <c r="B105" s="817"/>
      <c r="C105" s="864"/>
      <c r="D105" s="865"/>
      <c r="F105" s="57"/>
      <c r="G105" s="57"/>
      <c r="H105" s="347"/>
      <c r="I105" s="167">
        <f>H105*F$114</f>
        <v>0</v>
      </c>
      <c r="J105" s="347"/>
      <c r="K105" s="348">
        <f>(H105+I105)-J105</f>
        <v>0</v>
      </c>
    </row>
    <row r="106" spans="1:11" ht="18" customHeight="1">
      <c r="A106" s="45" t="s">
        <v>337</v>
      </c>
      <c r="B106" s="817"/>
      <c r="C106" s="864"/>
      <c r="D106" s="865"/>
      <c r="F106" s="57"/>
      <c r="G106" s="57"/>
      <c r="H106" s="347"/>
      <c r="I106" s="167">
        <f>H106*F$114</f>
        <v>0</v>
      </c>
      <c r="J106" s="347"/>
      <c r="K106" s="348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350">
        <f t="shared" ref="F108:K108" si="15">SUM(F102:F106)</f>
        <v>2180</v>
      </c>
      <c r="G108" s="350">
        <f t="shared" si="15"/>
        <v>0</v>
      </c>
      <c r="H108" s="348">
        <f t="shared" si="15"/>
        <v>80064</v>
      </c>
      <c r="I108" s="348">
        <f t="shared" si="15"/>
        <v>56100.844799999999</v>
      </c>
      <c r="J108" s="348">
        <f t="shared" si="15"/>
        <v>0</v>
      </c>
      <c r="K108" s="348">
        <f t="shared" si="15"/>
        <v>136164.84479999999</v>
      </c>
    </row>
    <row r="109" spans="1:11" ht="18" customHeight="1" thickBot="1">
      <c r="A109" s="374"/>
      <c r="B109" s="92"/>
      <c r="C109" s="375"/>
      <c r="D109" s="375"/>
      <c r="E109" s="375"/>
      <c r="F109" s="356"/>
      <c r="G109" s="356"/>
      <c r="H109" s="356"/>
      <c r="I109" s="356"/>
      <c r="J109" s="356"/>
      <c r="K109" s="356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347">
        <v>3957922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376">
        <v>0.70069999999999999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347">
        <v>213559000</v>
      </c>
    </row>
    <row r="118" spans="1:6">
      <c r="A118" s="45" t="s">
        <v>343</v>
      </c>
      <c r="B118" s="49" t="s">
        <v>237</v>
      </c>
      <c r="F118" s="347">
        <v>7615000</v>
      </c>
    </row>
    <row r="119" spans="1:6">
      <c r="A119" s="45" t="s">
        <v>344</v>
      </c>
      <c r="B119" s="43" t="s">
        <v>238</v>
      </c>
      <c r="F119" s="354">
        <f>SUM(F117:F118)</f>
        <v>221174000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347">
        <v>206698000</v>
      </c>
    </row>
    <row r="122" spans="1:6">
      <c r="A122" s="45"/>
    </row>
    <row r="123" spans="1:6">
      <c r="A123" s="45" t="s">
        <v>347</v>
      </c>
      <c r="B123" s="43" t="s">
        <v>348</v>
      </c>
      <c r="F123" s="347">
        <f>F119-F121</f>
        <v>14476000</v>
      </c>
    </row>
    <row r="124" spans="1:6">
      <c r="A124" s="45"/>
    </row>
    <row r="125" spans="1:6">
      <c r="A125" s="45" t="s">
        <v>349</v>
      </c>
      <c r="B125" s="43" t="s">
        <v>350</v>
      </c>
      <c r="F125" s="347">
        <v>9138000</v>
      </c>
    </row>
    <row r="126" spans="1:6">
      <c r="A126" s="45"/>
    </row>
    <row r="127" spans="1:6">
      <c r="A127" s="45" t="s">
        <v>351</v>
      </c>
      <c r="B127" s="43" t="s">
        <v>352</v>
      </c>
      <c r="F127" s="347">
        <f>F123+F125</f>
        <v>23614000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9" t="s">
        <v>242</v>
      </c>
      <c r="F131" s="57"/>
      <c r="G131" s="57"/>
      <c r="H131" s="347"/>
      <c r="I131" s="167">
        <v>0</v>
      </c>
      <c r="J131" s="347"/>
      <c r="K131" s="348">
        <f>(H131+I131)-J131</f>
        <v>0</v>
      </c>
    </row>
    <row r="132" spans="1:11" ht="18" customHeight="1">
      <c r="A132" s="45" t="s">
        <v>354</v>
      </c>
      <c r="B132" s="49" t="s">
        <v>128</v>
      </c>
      <c r="F132" s="57"/>
      <c r="G132" s="57"/>
      <c r="H132" s="347"/>
      <c r="I132" s="167">
        <v>0</v>
      </c>
      <c r="J132" s="347"/>
      <c r="K132" s="348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7"/>
      <c r="G133" s="57"/>
      <c r="H133" s="347"/>
      <c r="I133" s="167">
        <v>0</v>
      </c>
      <c r="J133" s="347"/>
      <c r="K133" s="348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7"/>
      <c r="G134" s="57"/>
      <c r="H134" s="347"/>
      <c r="I134" s="167">
        <v>0</v>
      </c>
      <c r="J134" s="347"/>
      <c r="K134" s="348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7"/>
      <c r="G135" s="57"/>
      <c r="H135" s="347"/>
      <c r="I135" s="167">
        <v>0</v>
      </c>
      <c r="J135" s="347"/>
      <c r="K135" s="348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350">
        <f t="shared" ref="F137:K137" si="16">SUM(F131:F135)</f>
        <v>0</v>
      </c>
      <c r="G137" s="350">
        <f t="shared" si="16"/>
        <v>0</v>
      </c>
      <c r="H137" s="348">
        <f t="shared" si="16"/>
        <v>0</v>
      </c>
      <c r="I137" s="348">
        <f t="shared" si="16"/>
        <v>0</v>
      </c>
      <c r="J137" s="348">
        <f t="shared" si="16"/>
        <v>0</v>
      </c>
      <c r="K137" s="348">
        <f t="shared" si="16"/>
        <v>0</v>
      </c>
    </row>
    <row r="138" spans="1:11" ht="18" customHeight="1">
      <c r="A138" s="49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377">
        <f t="shared" ref="F141:K141" si="17">F36</f>
        <v>10097</v>
      </c>
      <c r="G141" s="377">
        <f t="shared" si="17"/>
        <v>6979</v>
      </c>
      <c r="H141" s="377">
        <f t="shared" si="17"/>
        <v>812717</v>
      </c>
      <c r="I141" s="377">
        <f t="shared" si="17"/>
        <v>569470.80190000008</v>
      </c>
      <c r="J141" s="377">
        <f t="shared" si="17"/>
        <v>0</v>
      </c>
      <c r="K141" s="377">
        <f t="shared" si="17"/>
        <v>1382187.8019000001</v>
      </c>
    </row>
    <row r="142" spans="1:11" ht="18" customHeight="1">
      <c r="A142" s="45" t="s">
        <v>286</v>
      </c>
      <c r="B142" s="43" t="s">
        <v>125</v>
      </c>
      <c r="F142" s="377">
        <f t="shared" ref="F142:K142" si="18">F49</f>
        <v>9039</v>
      </c>
      <c r="G142" s="377">
        <f t="shared" si="18"/>
        <v>47</v>
      </c>
      <c r="H142" s="377">
        <f t="shared" si="18"/>
        <v>413415</v>
      </c>
      <c r="I142" s="377">
        <f t="shared" si="18"/>
        <v>289679.89049999998</v>
      </c>
      <c r="J142" s="377">
        <f t="shared" si="18"/>
        <v>0</v>
      </c>
      <c r="K142" s="377">
        <f t="shared" si="18"/>
        <v>703094.89049999998</v>
      </c>
    </row>
    <row r="143" spans="1:11" ht="18" customHeight="1">
      <c r="A143" s="45" t="s">
        <v>305</v>
      </c>
      <c r="B143" s="43" t="s">
        <v>247</v>
      </c>
      <c r="F143" s="377">
        <f t="shared" ref="F143:K143" si="19">F64</f>
        <v>0</v>
      </c>
      <c r="G143" s="377">
        <f t="shared" si="19"/>
        <v>0</v>
      </c>
      <c r="H143" s="377">
        <f t="shared" si="19"/>
        <v>5410266</v>
      </c>
      <c r="I143" s="377">
        <f t="shared" si="19"/>
        <v>3790973.3861999996</v>
      </c>
      <c r="J143" s="377">
        <f t="shared" si="19"/>
        <v>0</v>
      </c>
      <c r="K143" s="377">
        <f t="shared" si="19"/>
        <v>9201239.3861999996</v>
      </c>
    </row>
    <row r="144" spans="1:11" ht="18" customHeight="1">
      <c r="A144" s="45" t="s">
        <v>311</v>
      </c>
      <c r="B144" s="43" t="s">
        <v>127</v>
      </c>
      <c r="F144" s="377">
        <f t="shared" ref="F144:K144" si="20">F74</f>
        <v>1574</v>
      </c>
      <c r="G144" s="377">
        <f t="shared" si="20"/>
        <v>0</v>
      </c>
      <c r="H144" s="377">
        <f t="shared" si="20"/>
        <v>43668</v>
      </c>
      <c r="I144" s="377">
        <f t="shared" si="20"/>
        <v>30598.167600000001</v>
      </c>
      <c r="J144" s="377">
        <f t="shared" si="20"/>
        <v>0</v>
      </c>
      <c r="K144" s="377">
        <f t="shared" si="20"/>
        <v>74266.167600000001</v>
      </c>
    </row>
    <row r="145" spans="1:11" ht="18" customHeight="1">
      <c r="A145" s="45" t="s">
        <v>317</v>
      </c>
      <c r="B145" s="43" t="s">
        <v>248</v>
      </c>
      <c r="F145" s="377">
        <f t="shared" ref="F145:K145" si="21">F82</f>
        <v>0</v>
      </c>
      <c r="G145" s="377">
        <f t="shared" si="21"/>
        <v>0</v>
      </c>
      <c r="H145" s="377">
        <f t="shared" si="21"/>
        <v>166374</v>
      </c>
      <c r="I145" s="377">
        <f t="shared" si="21"/>
        <v>0</v>
      </c>
      <c r="J145" s="377">
        <f t="shared" si="21"/>
        <v>0</v>
      </c>
      <c r="K145" s="377">
        <f t="shared" si="21"/>
        <v>166374</v>
      </c>
    </row>
    <row r="146" spans="1:11" ht="18" customHeight="1">
      <c r="A146" s="45" t="s">
        <v>331</v>
      </c>
      <c r="B146" s="43" t="s">
        <v>249</v>
      </c>
      <c r="F146" s="377">
        <f t="shared" ref="F146:K146" si="22">F98</f>
        <v>666</v>
      </c>
      <c r="G146" s="377">
        <f t="shared" si="22"/>
        <v>371</v>
      </c>
      <c r="H146" s="377">
        <f t="shared" si="22"/>
        <v>81959</v>
      </c>
      <c r="I146" s="377">
        <f t="shared" si="22"/>
        <v>57428.671300000002</v>
      </c>
      <c r="J146" s="377">
        <f t="shared" si="22"/>
        <v>0</v>
      </c>
      <c r="K146" s="377">
        <f t="shared" si="22"/>
        <v>139387.67129999999</v>
      </c>
    </row>
    <row r="147" spans="1:11" ht="18" customHeight="1">
      <c r="A147" s="45" t="s">
        <v>338</v>
      </c>
      <c r="B147" s="43" t="s">
        <v>129</v>
      </c>
      <c r="F147" s="350">
        <f t="shared" ref="F147:K147" si="23">F108</f>
        <v>2180</v>
      </c>
      <c r="G147" s="350">
        <f t="shared" si="23"/>
        <v>0</v>
      </c>
      <c r="H147" s="350">
        <f t="shared" si="23"/>
        <v>80064</v>
      </c>
      <c r="I147" s="350">
        <f t="shared" si="23"/>
        <v>56100.844799999999</v>
      </c>
      <c r="J147" s="350">
        <f t="shared" si="23"/>
        <v>0</v>
      </c>
      <c r="K147" s="350">
        <f t="shared" si="23"/>
        <v>136164.84479999999</v>
      </c>
    </row>
    <row r="148" spans="1:11" ht="18" customHeight="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3957922</v>
      </c>
    </row>
    <row r="149" spans="1:11" ht="18" customHeight="1">
      <c r="A149" s="45" t="s">
        <v>358</v>
      </c>
      <c r="B149" s="43" t="s">
        <v>250</v>
      </c>
      <c r="F149" s="350">
        <f t="shared" ref="F149:K149" si="24">F137</f>
        <v>0</v>
      </c>
      <c r="G149" s="350">
        <f t="shared" si="24"/>
        <v>0</v>
      </c>
      <c r="H149" s="350">
        <f t="shared" si="24"/>
        <v>0</v>
      </c>
      <c r="I149" s="350">
        <f t="shared" si="24"/>
        <v>0</v>
      </c>
      <c r="J149" s="350">
        <f t="shared" si="24"/>
        <v>0</v>
      </c>
      <c r="K149" s="350">
        <f t="shared" si="24"/>
        <v>0</v>
      </c>
    </row>
    <row r="150" spans="1:11" ht="18" customHeight="1">
      <c r="A150" s="45" t="s">
        <v>259</v>
      </c>
      <c r="B150" s="43" t="s">
        <v>153</v>
      </c>
      <c r="F150" s="378" t="s">
        <v>122</v>
      </c>
      <c r="G150" s="378" t="s">
        <v>122</v>
      </c>
      <c r="H150" s="350">
        <f>H18</f>
        <v>6237425</v>
      </c>
      <c r="I150" s="350">
        <f>I18</f>
        <v>0</v>
      </c>
      <c r="J150" s="350">
        <f>J18</f>
        <v>5333778</v>
      </c>
      <c r="K150" s="350">
        <f>K18</f>
        <v>903647</v>
      </c>
    </row>
    <row r="151" spans="1:11" ht="18" customHeight="1">
      <c r="B151" s="43"/>
      <c r="F151" s="358"/>
      <c r="G151" s="358"/>
      <c r="H151" s="358"/>
      <c r="I151" s="358"/>
      <c r="J151" s="358"/>
      <c r="K151" s="358"/>
    </row>
    <row r="152" spans="1:11" ht="18" customHeight="1">
      <c r="A152" s="48" t="s">
        <v>360</v>
      </c>
      <c r="B152" s="43" t="s">
        <v>245</v>
      </c>
      <c r="F152" s="381">
        <f t="shared" ref="F152:K152" si="25">SUM(F141:F150)</f>
        <v>23556</v>
      </c>
      <c r="G152" s="381">
        <f t="shared" si="25"/>
        <v>7397</v>
      </c>
      <c r="H152" s="381">
        <f t="shared" si="25"/>
        <v>13245888</v>
      </c>
      <c r="I152" s="381">
        <f t="shared" si="25"/>
        <v>4794251.7622999996</v>
      </c>
      <c r="J152" s="381">
        <f t="shared" si="25"/>
        <v>5333778</v>
      </c>
      <c r="K152" s="381">
        <f t="shared" si="25"/>
        <v>16664283.7623</v>
      </c>
    </row>
    <row r="153" spans="1:11" ht="18" customHeight="1">
      <c r="H153" s="382"/>
    </row>
    <row r="154" spans="1:11" ht="18" customHeight="1">
      <c r="A154" s="48" t="s">
        <v>361</v>
      </c>
      <c r="B154" s="43" t="s">
        <v>252</v>
      </c>
      <c r="F154" s="383">
        <f>K152/F121</f>
        <v>8.0621407862195085E-2</v>
      </c>
      <c r="H154" s="384"/>
    </row>
    <row r="155" spans="1:11" ht="18" customHeight="1">
      <c r="A155" s="48" t="s">
        <v>362</v>
      </c>
      <c r="B155" s="43" t="s">
        <v>253</v>
      </c>
      <c r="F155" s="383">
        <f>K152/F127</f>
        <v>0.70569508606335218</v>
      </c>
      <c r="G155" s="43"/>
    </row>
    <row r="156" spans="1:11" ht="18" customHeight="1">
      <c r="G156" s="43"/>
    </row>
    <row r="157" spans="1:11" ht="18" customHeight="1">
      <c r="H157" s="382"/>
    </row>
    <row r="158" spans="1:11" ht="18" customHeight="1">
      <c r="H158" s="382"/>
    </row>
  </sheetData>
  <mergeCells count="34"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</mergeCells>
  <hyperlinks>
    <hyperlink ref="C11" r:id="rId1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3" workbookViewId="0">
      <selection activeCell="B43" sqref="B43"/>
    </sheetView>
  </sheetViews>
  <sheetFormatPr defaultRowHeight="12.75"/>
  <cols>
    <col min="1" max="1" width="8.28515625" style="39" customWidth="1"/>
    <col min="2" max="2" width="55.42578125" style="40" bestFit="1" customWidth="1"/>
    <col min="3" max="3" width="9.5703125" style="40" customWidth="1"/>
    <col min="4" max="4" width="9.140625" style="40"/>
    <col min="5" max="5" width="12.42578125" style="40" customWidth="1"/>
    <col min="6" max="6" width="18.5703125" style="40" customWidth="1"/>
    <col min="7" max="7" width="23.5703125" style="40" customWidth="1"/>
    <col min="8" max="8" width="17.140625" style="40" customWidth="1"/>
    <col min="9" max="9" width="21.140625" style="40" customWidth="1"/>
    <col min="10" max="10" width="19.85546875" style="40" customWidth="1"/>
    <col min="11" max="11" width="17.5703125" style="40" customWidth="1"/>
    <col min="12" max="16384" width="9.14062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970" t="s">
        <v>624</v>
      </c>
      <c r="D5" s="971"/>
      <c r="E5" s="971"/>
      <c r="F5" s="971"/>
      <c r="G5" s="972"/>
    </row>
    <row r="6" spans="1:11" ht="18" customHeight="1">
      <c r="B6" s="45" t="s">
        <v>136</v>
      </c>
      <c r="C6" s="886">
        <v>43</v>
      </c>
      <c r="D6" s="830"/>
      <c r="E6" s="830"/>
      <c r="F6" s="830"/>
      <c r="G6" s="831"/>
    </row>
    <row r="7" spans="1:11" ht="18" customHeight="1">
      <c r="B7" s="45" t="s">
        <v>137</v>
      </c>
      <c r="C7" s="832">
        <v>2759</v>
      </c>
      <c r="D7" s="833"/>
      <c r="E7" s="833"/>
      <c r="F7" s="833"/>
      <c r="G7" s="834"/>
    </row>
    <row r="9" spans="1:11" ht="18" customHeight="1">
      <c r="B9" s="45" t="s">
        <v>138</v>
      </c>
      <c r="C9" s="843" t="s">
        <v>625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626</v>
      </c>
      <c r="D10" s="836"/>
      <c r="E10" s="836"/>
      <c r="F10" s="836"/>
      <c r="G10" s="837"/>
    </row>
    <row r="11" spans="1:11" ht="18" customHeight="1">
      <c r="B11" s="45" t="s">
        <v>142</v>
      </c>
      <c r="C11" s="838" t="s">
        <v>627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9623320</v>
      </c>
      <c r="I18" s="52">
        <v>0</v>
      </c>
      <c r="J18" s="51">
        <v>8229142</v>
      </c>
      <c r="K18" s="53">
        <f>(H18+I18)-J18</f>
        <v>1394178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2169.5</v>
      </c>
      <c r="G21" s="50">
        <v>6457</v>
      </c>
      <c r="H21" s="51">
        <v>177179</v>
      </c>
      <c r="I21" s="52">
        <v>87163</v>
      </c>
      <c r="J21" s="51">
        <v>945</v>
      </c>
      <c r="K21" s="53">
        <f t="shared" ref="K21:K34" si="0">(H21+I21)-J21</f>
        <v>263397</v>
      </c>
    </row>
    <row r="22" spans="1:11" ht="18" customHeight="1">
      <c r="A22" s="45" t="s">
        <v>261</v>
      </c>
      <c r="B22" s="40" t="s">
        <v>157</v>
      </c>
      <c r="F22" s="50">
        <v>156.5</v>
      </c>
      <c r="G22" s="50">
        <v>735</v>
      </c>
      <c r="H22" s="51">
        <v>8405</v>
      </c>
      <c r="I22" s="52">
        <f t="shared" ref="I22:I34" si="1">H22*F$114</f>
        <v>4157.7833305903159</v>
      </c>
      <c r="J22" s="51">
        <v>0</v>
      </c>
      <c r="K22" s="53">
        <f t="shared" si="0"/>
        <v>12562.783330590315</v>
      </c>
    </row>
    <row r="23" spans="1:11" ht="18" customHeight="1">
      <c r="A23" s="45" t="s">
        <v>262</v>
      </c>
      <c r="B23" s="40" t="s">
        <v>158</v>
      </c>
      <c r="F23" s="50">
        <v>60</v>
      </c>
      <c r="G23" s="50">
        <v>607</v>
      </c>
      <c r="H23" s="51">
        <v>27086</v>
      </c>
      <c r="I23" s="52">
        <v>1583</v>
      </c>
      <c r="J23" s="51">
        <v>23760</v>
      </c>
      <c r="K23" s="53">
        <f t="shared" si="0"/>
        <v>4909</v>
      </c>
    </row>
    <row r="24" spans="1:11" ht="18" customHeight="1">
      <c r="A24" s="45" t="s">
        <v>263</v>
      </c>
      <c r="B24" s="40" t="s">
        <v>159</v>
      </c>
      <c r="F24" s="50">
        <v>0</v>
      </c>
      <c r="G24" s="50">
        <v>0</v>
      </c>
      <c r="H24" s="51">
        <v>0</v>
      </c>
      <c r="I24" s="52">
        <v>0</v>
      </c>
      <c r="J24" s="51">
        <v>0</v>
      </c>
      <c r="K24" s="53">
        <f t="shared" si="0"/>
        <v>0</v>
      </c>
    </row>
    <row r="25" spans="1:11" ht="18" customHeight="1">
      <c r="A25" s="45" t="s">
        <v>264</v>
      </c>
      <c r="B25" s="40" t="s">
        <v>160</v>
      </c>
      <c r="F25" s="50">
        <v>134.80000000000001</v>
      </c>
      <c r="G25" s="50">
        <v>853</v>
      </c>
      <c r="H25" s="51">
        <v>174270</v>
      </c>
      <c r="I25" s="52">
        <v>19154</v>
      </c>
      <c r="J25" s="51">
        <v>0</v>
      </c>
      <c r="K25" s="53">
        <f t="shared" si="0"/>
        <v>193424</v>
      </c>
    </row>
    <row r="26" spans="1:11" ht="18" customHeight="1">
      <c r="A26" s="45" t="s">
        <v>265</v>
      </c>
      <c r="B26" s="40" t="s">
        <v>161</v>
      </c>
      <c r="F26" s="50">
        <v>49</v>
      </c>
      <c r="G26" s="50">
        <v>1062</v>
      </c>
      <c r="H26" s="51">
        <v>7873</v>
      </c>
      <c r="I26" s="52">
        <f t="shared" si="1"/>
        <v>3894.6137015749623</v>
      </c>
      <c r="J26" s="51">
        <v>0</v>
      </c>
      <c r="K26" s="53">
        <f t="shared" si="0"/>
        <v>11767.613701574963</v>
      </c>
    </row>
    <row r="27" spans="1:11" ht="18" customHeight="1">
      <c r="A27" s="45" t="s">
        <v>266</v>
      </c>
      <c r="B27" s="40" t="s">
        <v>162</v>
      </c>
      <c r="F27" s="50">
        <v>0</v>
      </c>
      <c r="G27" s="50">
        <v>0</v>
      </c>
      <c r="H27" s="51">
        <v>0</v>
      </c>
      <c r="I27" s="52">
        <f t="shared" si="1"/>
        <v>0</v>
      </c>
      <c r="J27" s="51">
        <v>0</v>
      </c>
      <c r="K27" s="53">
        <f t="shared" si="0"/>
        <v>0</v>
      </c>
    </row>
    <row r="28" spans="1:11" ht="18" customHeight="1">
      <c r="A28" s="45" t="s">
        <v>267</v>
      </c>
      <c r="B28" s="40" t="s">
        <v>163</v>
      </c>
      <c r="F28" s="50">
        <v>0</v>
      </c>
      <c r="G28" s="50">
        <v>0</v>
      </c>
      <c r="H28" s="51">
        <v>0</v>
      </c>
      <c r="I28" s="52">
        <f t="shared" si="1"/>
        <v>0</v>
      </c>
      <c r="J28" s="51">
        <v>0</v>
      </c>
      <c r="K28" s="53">
        <f t="shared" si="0"/>
        <v>0</v>
      </c>
    </row>
    <row r="29" spans="1:11" ht="18" customHeight="1">
      <c r="A29" s="45" t="s">
        <v>268</v>
      </c>
      <c r="B29" s="40" t="s">
        <v>165</v>
      </c>
      <c r="F29" s="50">
        <v>4161.5</v>
      </c>
      <c r="G29" s="50">
        <v>855</v>
      </c>
      <c r="H29" s="51">
        <v>674812</v>
      </c>
      <c r="I29" s="52">
        <f t="shared" si="1"/>
        <v>333815.83401336259</v>
      </c>
      <c r="J29" s="51">
        <v>0</v>
      </c>
      <c r="K29" s="53">
        <f t="shared" si="0"/>
        <v>1008627.8340133626</v>
      </c>
    </row>
    <row r="30" spans="1:11" ht="18" customHeight="1">
      <c r="A30" s="45" t="s">
        <v>269</v>
      </c>
      <c r="B30" s="814"/>
      <c r="C30" s="815"/>
      <c r="D30" s="816"/>
      <c r="F30" s="50"/>
      <c r="G30" s="50"/>
      <c r="H30" s="51"/>
      <c r="I30" s="52">
        <f t="shared" si="1"/>
        <v>0</v>
      </c>
      <c r="J30" s="51"/>
      <c r="K30" s="53">
        <f t="shared" si="0"/>
        <v>0</v>
      </c>
    </row>
    <row r="31" spans="1:11" ht="18" customHeight="1">
      <c r="A31" s="45" t="s">
        <v>270</v>
      </c>
      <c r="B31" s="814"/>
      <c r="C31" s="815"/>
      <c r="D31" s="816"/>
      <c r="F31" s="50"/>
      <c r="G31" s="50"/>
      <c r="H31" s="51"/>
      <c r="I31" s="52">
        <f t="shared" si="1"/>
        <v>0</v>
      </c>
      <c r="J31" s="51"/>
      <c r="K31" s="53">
        <f t="shared" si="0"/>
        <v>0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1"/>
        <v>0</v>
      </c>
      <c r="J32" s="51"/>
      <c r="K32" s="53">
        <f t="shared" si="0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1"/>
        <v>0</v>
      </c>
      <c r="J33" s="51"/>
      <c r="K33" s="53">
        <f t="shared" si="0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1"/>
        <v>0</v>
      </c>
      <c r="J34" s="51"/>
      <c r="K34" s="53">
        <f t="shared" si="0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6731.3</v>
      </c>
      <c r="G36" s="59">
        <f t="shared" si="2"/>
        <v>10569</v>
      </c>
      <c r="H36" s="59">
        <f t="shared" si="2"/>
        <v>1069625</v>
      </c>
      <c r="I36" s="53">
        <f t="shared" si="2"/>
        <v>449768.23104552785</v>
      </c>
      <c r="J36" s="53">
        <f t="shared" si="2"/>
        <v>24705</v>
      </c>
      <c r="K36" s="53">
        <f t="shared" si="2"/>
        <v>1494688.2310455278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/>
      <c r="G40" s="50">
        <v>9</v>
      </c>
      <c r="H40" s="51">
        <v>566843</v>
      </c>
      <c r="I40" s="87">
        <f t="shared" ref="I40:I42" si="3">H40*F$114</f>
        <v>280405.75567659806</v>
      </c>
      <c r="J40" s="51"/>
      <c r="K40" s="53">
        <f t="shared" ref="K40:K47" si="4">(H40+I40)-J40</f>
        <v>847248.75567659806</v>
      </c>
    </row>
    <row r="41" spans="1:11" ht="18" customHeight="1">
      <c r="A41" s="45" t="s">
        <v>278</v>
      </c>
      <c r="B41" s="818" t="s">
        <v>172</v>
      </c>
      <c r="C41" s="819"/>
      <c r="F41" s="50">
        <v>90881</v>
      </c>
      <c r="G41" s="50">
        <v>716</v>
      </c>
      <c r="H41" s="51">
        <v>4537234</v>
      </c>
      <c r="I41" s="87">
        <f t="shared" si="3"/>
        <v>2244477.7979997173</v>
      </c>
      <c r="J41" s="51"/>
      <c r="K41" s="53">
        <f t="shared" si="4"/>
        <v>6781711.7979997173</v>
      </c>
    </row>
    <row r="42" spans="1:11" ht="18" customHeight="1">
      <c r="A42" s="45" t="s">
        <v>279</v>
      </c>
      <c r="B42" s="49" t="s">
        <v>174</v>
      </c>
      <c r="F42" s="50">
        <v>691.5</v>
      </c>
      <c r="G42" s="50">
        <v>5</v>
      </c>
      <c r="H42" s="51">
        <v>34522</v>
      </c>
      <c r="I42" s="87">
        <f t="shared" si="3"/>
        <v>17077.334460278274</v>
      </c>
      <c r="J42" s="51"/>
      <c r="K42" s="53">
        <f t="shared" si="4"/>
        <v>51599.334460278274</v>
      </c>
    </row>
    <row r="43" spans="1:11" ht="18" customHeight="1">
      <c r="A43" s="45" t="s">
        <v>280</v>
      </c>
      <c r="B43" s="49" t="s">
        <v>176</v>
      </c>
      <c r="F43" s="50"/>
      <c r="G43" s="50"/>
      <c r="H43" s="51"/>
      <c r="I43" s="52">
        <v>0</v>
      </c>
      <c r="J43" s="51"/>
      <c r="K43" s="53">
        <f t="shared" si="4"/>
        <v>0</v>
      </c>
    </row>
    <row r="44" spans="1:11" ht="18" customHeight="1">
      <c r="A44" s="45" t="s">
        <v>281</v>
      </c>
      <c r="B44" s="814"/>
      <c r="C44" s="815"/>
      <c r="D44" s="816"/>
      <c r="F44" s="50"/>
      <c r="G44" s="50"/>
      <c r="H44" s="50"/>
      <c r="I44" s="52">
        <v>0</v>
      </c>
      <c r="J44" s="50"/>
      <c r="K44" s="63">
        <f t="shared" si="4"/>
        <v>0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v>0</v>
      </c>
      <c r="J45" s="51"/>
      <c r="K45" s="53">
        <f t="shared" si="4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v>0</v>
      </c>
      <c r="J46" s="51"/>
      <c r="K46" s="53">
        <f t="shared" si="4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4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5">SUM(F40:F47)</f>
        <v>91572.5</v>
      </c>
      <c r="G49" s="64">
        <f t="shared" si="5"/>
        <v>730</v>
      </c>
      <c r="H49" s="53">
        <f t="shared" si="5"/>
        <v>5138599</v>
      </c>
      <c r="I49" s="53">
        <f t="shared" si="5"/>
        <v>2541960.8881365936</v>
      </c>
      <c r="J49" s="53">
        <f t="shared" si="5"/>
        <v>0</v>
      </c>
      <c r="K49" s="53">
        <f t="shared" si="5"/>
        <v>7680559.8881365936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22" t="s">
        <v>628</v>
      </c>
      <c r="C53" s="867"/>
      <c r="D53" s="865"/>
      <c r="F53" s="50">
        <v>79934.3</v>
      </c>
      <c r="G53" s="50">
        <v>3919</v>
      </c>
      <c r="H53" s="51">
        <v>5517137.9099999955</v>
      </c>
      <c r="I53" s="87">
        <f t="shared" ref="I53:I54" si="6">H53*F$114</f>
        <v>2729216.4229346672</v>
      </c>
      <c r="J53" s="51">
        <v>6326775.1500000078</v>
      </c>
      <c r="K53" s="53">
        <f t="shared" ref="K53:K62" si="7">(H53+I53)-J53</f>
        <v>1919579.1829346549</v>
      </c>
    </row>
    <row r="54" spans="1:11" ht="18" customHeight="1">
      <c r="A54" s="45" t="s">
        <v>289</v>
      </c>
      <c r="B54" s="104" t="s">
        <v>424</v>
      </c>
      <c r="C54" s="105"/>
      <c r="D54" s="106"/>
      <c r="F54" s="50"/>
      <c r="G54" s="50"/>
      <c r="H54" s="51">
        <v>5797171</v>
      </c>
      <c r="I54" s="87">
        <f t="shared" si="6"/>
        <v>2867743.1229484347</v>
      </c>
      <c r="J54" s="51"/>
      <c r="K54" s="53">
        <f t="shared" si="7"/>
        <v>8664914.1229484342</v>
      </c>
    </row>
    <row r="55" spans="1:11" ht="18" customHeight="1">
      <c r="A55" s="45" t="s">
        <v>291</v>
      </c>
      <c r="B55" s="811"/>
      <c r="C55" s="812"/>
      <c r="D55" s="813"/>
      <c r="F55" s="50"/>
      <c r="G55" s="50"/>
      <c r="H55" s="51"/>
      <c r="I55" s="52">
        <v>0</v>
      </c>
      <c r="J55" s="51"/>
      <c r="K55" s="53">
        <f t="shared" si="7"/>
        <v>0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v>0</v>
      </c>
      <c r="J56" s="51"/>
      <c r="K56" s="53">
        <f t="shared" si="7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v>0</v>
      </c>
      <c r="J57" s="51"/>
      <c r="K57" s="53">
        <f t="shared" si="7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v>0</v>
      </c>
      <c r="J58" s="51"/>
      <c r="K58" s="53">
        <f t="shared" si="7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v>0</v>
      </c>
      <c r="J59" s="51"/>
      <c r="K59" s="53">
        <f t="shared" si="7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v>0</v>
      </c>
      <c r="J60" s="51"/>
      <c r="K60" s="53">
        <f t="shared" si="7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v>0</v>
      </c>
      <c r="J61" s="51"/>
      <c r="K61" s="53">
        <f t="shared" si="7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7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8">SUM(F53:F62)</f>
        <v>79934.3</v>
      </c>
      <c r="G64" s="59">
        <f t="shared" si="8"/>
        <v>3919</v>
      </c>
      <c r="H64" s="53">
        <f t="shared" si="8"/>
        <v>11314308.909999996</v>
      </c>
      <c r="I64" s="53">
        <f t="shared" si="8"/>
        <v>5596959.5458831023</v>
      </c>
      <c r="J64" s="53">
        <f t="shared" si="8"/>
        <v>6326775.1500000078</v>
      </c>
      <c r="K64" s="53">
        <f t="shared" si="8"/>
        <v>10584493.305883089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>
        <v>4109</v>
      </c>
      <c r="G68" s="78">
        <v>1093</v>
      </c>
      <c r="H68" s="50">
        <v>230975</v>
      </c>
      <c r="I68" s="87">
        <f t="shared" ref="I68" si="9">H68*F$114</f>
        <v>114258.6561312431</v>
      </c>
      <c r="J68" s="78"/>
      <c r="K68" s="53">
        <f>(H68+I68)-J68</f>
        <v>345233.6561312431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10">SUM(F68:F72)</f>
        <v>4109</v>
      </c>
      <c r="G74" s="86">
        <f t="shared" si="10"/>
        <v>1093</v>
      </c>
      <c r="H74" s="86">
        <f t="shared" si="10"/>
        <v>230975</v>
      </c>
      <c r="I74" s="87">
        <f t="shared" si="10"/>
        <v>114258.6561312431</v>
      </c>
      <c r="J74" s="86">
        <f t="shared" si="10"/>
        <v>0</v>
      </c>
      <c r="K74" s="63">
        <f t="shared" si="10"/>
        <v>345233.6561312431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>
        <v>0</v>
      </c>
      <c r="G77" s="50">
        <v>0</v>
      </c>
      <c r="H77" s="51">
        <v>9145</v>
      </c>
      <c r="I77" s="52">
        <v>0</v>
      </c>
      <c r="J77" s="51"/>
      <c r="K77" s="53">
        <f>(H77+I77)-J77</f>
        <v>9145</v>
      </c>
    </row>
    <row r="78" spans="1:11" ht="18" customHeight="1">
      <c r="A78" s="45" t="s">
        <v>313</v>
      </c>
      <c r="B78" s="49" t="s">
        <v>197</v>
      </c>
      <c r="F78" s="50">
        <v>0</v>
      </c>
      <c r="G78" s="50"/>
      <c r="H78" s="51">
        <v>0</v>
      </c>
      <c r="I78" s="52">
        <v>0</v>
      </c>
      <c r="J78" s="51"/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>
        <v>1586</v>
      </c>
      <c r="G79" s="50">
        <v>1220</v>
      </c>
      <c r="H79" s="51">
        <v>103389</v>
      </c>
      <c r="I79" s="52">
        <v>36151</v>
      </c>
      <c r="J79" s="51"/>
      <c r="K79" s="53">
        <f>(H79+I79)-J79</f>
        <v>139540</v>
      </c>
    </row>
    <row r="80" spans="1:11" ht="18" customHeight="1">
      <c r="A80" s="45" t="s">
        <v>315</v>
      </c>
      <c r="B80" s="49" t="s">
        <v>316</v>
      </c>
      <c r="F80" s="50"/>
      <c r="G80" s="50"/>
      <c r="H80" s="51"/>
      <c r="I80" s="52">
        <v>0</v>
      </c>
      <c r="J80" s="51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11">SUM(F77:F80)</f>
        <v>1586</v>
      </c>
      <c r="G82" s="86">
        <f t="shared" si="11"/>
        <v>1220</v>
      </c>
      <c r="H82" s="63">
        <f t="shared" si="11"/>
        <v>112534</v>
      </c>
      <c r="I82" s="63">
        <f t="shared" si="11"/>
        <v>36151</v>
      </c>
      <c r="J82" s="63">
        <f t="shared" si="11"/>
        <v>0</v>
      </c>
      <c r="K82" s="63">
        <f t="shared" si="11"/>
        <v>148685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>
        <v>0</v>
      </c>
      <c r="G86" s="50">
        <v>0</v>
      </c>
      <c r="H86" s="51">
        <v>0</v>
      </c>
      <c r="I86" s="52">
        <f t="shared" ref="I86:I96" si="12">H86*F$114</f>
        <v>0</v>
      </c>
      <c r="J86" s="51"/>
      <c r="K86" s="53">
        <f t="shared" ref="K86:K96" si="13">(H86+I86)-J86</f>
        <v>0</v>
      </c>
    </row>
    <row r="87" spans="1:11" ht="18" customHeight="1">
      <c r="A87" s="45" t="s">
        <v>320</v>
      </c>
      <c r="B87" s="49" t="s">
        <v>206</v>
      </c>
      <c r="F87" s="50">
        <v>0</v>
      </c>
      <c r="G87" s="50">
        <v>0</v>
      </c>
      <c r="H87" s="51">
        <v>3171</v>
      </c>
      <c r="I87" s="87">
        <f t="shared" si="12"/>
        <v>1568.629499262569</v>
      </c>
      <c r="J87" s="51"/>
      <c r="K87" s="53">
        <f t="shared" si="13"/>
        <v>4739.629499262569</v>
      </c>
    </row>
    <row r="88" spans="1:11" ht="18" customHeight="1">
      <c r="A88" s="45" t="s">
        <v>321</v>
      </c>
      <c r="B88" s="49" t="s">
        <v>208</v>
      </c>
      <c r="F88" s="50">
        <v>39</v>
      </c>
      <c r="G88" s="50">
        <v>650</v>
      </c>
      <c r="H88" s="51">
        <v>2845</v>
      </c>
      <c r="I88" s="87">
        <v>1228</v>
      </c>
      <c r="J88" s="51"/>
      <c r="K88" s="53">
        <f t="shared" si="13"/>
        <v>4073</v>
      </c>
    </row>
    <row r="89" spans="1:11" ht="18" customHeight="1">
      <c r="A89" s="45" t="s">
        <v>322</v>
      </c>
      <c r="B89" s="49" t="s">
        <v>210</v>
      </c>
      <c r="F89" s="50">
        <v>0</v>
      </c>
      <c r="G89" s="50"/>
      <c r="H89" s="51"/>
      <c r="I89" s="52">
        <f t="shared" si="12"/>
        <v>0</v>
      </c>
      <c r="J89" s="51"/>
      <c r="K89" s="53">
        <f t="shared" si="13"/>
        <v>0</v>
      </c>
    </row>
    <row r="90" spans="1:11" ht="18" customHeight="1">
      <c r="A90" s="45" t="s">
        <v>323</v>
      </c>
      <c r="B90" s="818" t="s">
        <v>212</v>
      </c>
      <c r="C90" s="819"/>
      <c r="F90" s="50">
        <v>0</v>
      </c>
      <c r="G90" s="50"/>
      <c r="H90" s="51"/>
      <c r="I90" s="52">
        <f t="shared" si="12"/>
        <v>0</v>
      </c>
      <c r="J90" s="51"/>
      <c r="K90" s="53">
        <f t="shared" si="13"/>
        <v>0</v>
      </c>
    </row>
    <row r="91" spans="1:11" ht="18" customHeight="1">
      <c r="A91" s="45" t="s">
        <v>324</v>
      </c>
      <c r="B91" s="49" t="s">
        <v>214</v>
      </c>
      <c r="F91" s="50"/>
      <c r="G91" s="50"/>
      <c r="H91" s="51"/>
      <c r="I91" s="52">
        <f t="shared" si="12"/>
        <v>0</v>
      </c>
      <c r="J91" s="51"/>
      <c r="K91" s="53">
        <f t="shared" si="13"/>
        <v>0</v>
      </c>
    </row>
    <row r="92" spans="1:11" ht="18" customHeight="1">
      <c r="A92" s="45" t="s">
        <v>325</v>
      </c>
      <c r="B92" s="49" t="s">
        <v>216</v>
      </c>
      <c r="F92" s="89"/>
      <c r="G92" s="89"/>
      <c r="H92" s="90"/>
      <c r="I92" s="52">
        <f t="shared" si="12"/>
        <v>0</v>
      </c>
      <c r="J92" s="90"/>
      <c r="K92" s="53">
        <f t="shared" si="13"/>
        <v>0</v>
      </c>
    </row>
    <row r="93" spans="1:11" ht="18" customHeight="1">
      <c r="A93" s="45" t="s">
        <v>326</v>
      </c>
      <c r="B93" s="49" t="s">
        <v>218</v>
      </c>
      <c r="F93" s="50"/>
      <c r="G93" s="50"/>
      <c r="H93" s="51"/>
      <c r="I93" s="52">
        <f t="shared" si="12"/>
        <v>0</v>
      </c>
      <c r="J93" s="51"/>
      <c r="K93" s="53">
        <f t="shared" si="13"/>
        <v>0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si="12"/>
        <v>0</v>
      </c>
      <c r="J94" s="51"/>
      <c r="K94" s="53">
        <f t="shared" si="13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12"/>
        <v>0</v>
      </c>
      <c r="J95" s="51"/>
      <c r="K95" s="53">
        <f t="shared" si="13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12"/>
        <v>0</v>
      </c>
      <c r="J96" s="51"/>
      <c r="K96" s="53">
        <f t="shared" si="13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4">SUM(F86:F96)</f>
        <v>39</v>
      </c>
      <c r="G98" s="59">
        <f t="shared" si="14"/>
        <v>650</v>
      </c>
      <c r="H98" s="59">
        <f t="shared" si="14"/>
        <v>6016</v>
      </c>
      <c r="I98" s="59">
        <f t="shared" si="14"/>
        <v>2796.629499262569</v>
      </c>
      <c r="J98" s="59">
        <f t="shared" si="14"/>
        <v>0</v>
      </c>
      <c r="K98" s="59">
        <f t="shared" si="14"/>
        <v>8812.6294992625699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115</v>
      </c>
      <c r="G102" s="50">
        <v>0</v>
      </c>
      <c r="H102" s="51">
        <v>7941</v>
      </c>
      <c r="I102" s="87">
        <f>H102*F$114</f>
        <v>3928.2519248325639</v>
      </c>
      <c r="J102" s="51"/>
      <c r="K102" s="53">
        <f>(H102+I102)-J102</f>
        <v>11869.251924832564</v>
      </c>
    </row>
    <row r="103" spans="1:11" ht="18" customHeight="1">
      <c r="A103" s="45" t="s">
        <v>333</v>
      </c>
      <c r="B103" s="818" t="s">
        <v>226</v>
      </c>
      <c r="C103" s="818"/>
      <c r="F103" s="50">
        <v>0</v>
      </c>
      <c r="G103" s="50">
        <v>47</v>
      </c>
      <c r="H103" s="51">
        <v>2089</v>
      </c>
      <c r="I103" s="87">
        <f>H103*F$114</f>
        <v>1033.3860056636729</v>
      </c>
      <c r="J103" s="51"/>
      <c r="K103" s="53">
        <f>(H103+I103)-J103</f>
        <v>3122.3860056636731</v>
      </c>
    </row>
    <row r="104" spans="1:11" ht="18" customHeight="1">
      <c r="A104" s="45" t="s">
        <v>334</v>
      </c>
      <c r="B104" s="817" t="s">
        <v>228</v>
      </c>
      <c r="C104" s="812"/>
      <c r="D104" s="813"/>
      <c r="F104" s="50">
        <v>85</v>
      </c>
      <c r="G104" s="50">
        <v>0</v>
      </c>
      <c r="H104" s="51">
        <v>5614</v>
      </c>
      <c r="I104" s="87">
        <v>2667</v>
      </c>
      <c r="J104" s="51"/>
      <c r="K104" s="53">
        <f>(H104+I104)-J104</f>
        <v>8281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5">SUM(F102:F106)</f>
        <v>200</v>
      </c>
      <c r="G108" s="59">
        <f t="shared" si="15"/>
        <v>47</v>
      </c>
      <c r="H108" s="53">
        <f t="shared" si="15"/>
        <v>15644</v>
      </c>
      <c r="I108" s="53">
        <f t="shared" si="15"/>
        <v>7628.6379304962365</v>
      </c>
      <c r="J108" s="53">
        <f t="shared" si="15"/>
        <v>0</v>
      </c>
      <c r="K108" s="53">
        <f t="shared" si="15"/>
        <v>23272.637930496239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265">
        <v>25709288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266">
        <v>0.4946797537882589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349768000</v>
      </c>
    </row>
    <row r="118" spans="1:6">
      <c r="A118" s="45" t="s">
        <v>343</v>
      </c>
      <c r="B118" s="40" t="s">
        <v>237</v>
      </c>
      <c r="F118" s="51">
        <v>8542000</v>
      </c>
    </row>
    <row r="119" spans="1:6">
      <c r="A119" s="45" t="s">
        <v>344</v>
      </c>
      <c r="B119" s="43" t="s">
        <v>238</v>
      </c>
      <c r="F119" s="63">
        <f>SUM(F117:F118)</f>
        <v>358310000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364852000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v>-6542000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-240000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v>-6782000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>
        <v>4500</v>
      </c>
      <c r="I132" s="52">
        <v>0</v>
      </c>
      <c r="J132" s="51"/>
      <c r="K132" s="53">
        <f>(H132+I132)-J132</f>
        <v>4500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6">SUM(F131:F135)</f>
        <v>0</v>
      </c>
      <c r="G137" s="59">
        <f t="shared" si="16"/>
        <v>0</v>
      </c>
      <c r="H137" s="53">
        <f t="shared" si="16"/>
        <v>4500</v>
      </c>
      <c r="I137" s="53">
        <f t="shared" si="16"/>
        <v>0</v>
      </c>
      <c r="J137" s="53">
        <f t="shared" si="16"/>
        <v>0</v>
      </c>
      <c r="K137" s="53">
        <f t="shared" si="16"/>
        <v>4500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7">F36</f>
        <v>6731.3</v>
      </c>
      <c r="G141" s="95">
        <f t="shared" si="17"/>
        <v>10569</v>
      </c>
      <c r="H141" s="95">
        <f t="shared" si="17"/>
        <v>1069625</v>
      </c>
      <c r="I141" s="95">
        <f t="shared" si="17"/>
        <v>449768.23104552785</v>
      </c>
      <c r="J141" s="95">
        <f t="shared" si="17"/>
        <v>24705</v>
      </c>
      <c r="K141" s="95">
        <f t="shared" si="17"/>
        <v>1494688.2310455278</v>
      </c>
    </row>
    <row r="142" spans="1:11" ht="18" customHeight="1">
      <c r="A142" s="45" t="s">
        <v>286</v>
      </c>
      <c r="B142" s="43" t="s">
        <v>125</v>
      </c>
      <c r="F142" s="95">
        <f t="shared" ref="F142:K142" si="18">F49</f>
        <v>91572.5</v>
      </c>
      <c r="G142" s="95">
        <f t="shared" si="18"/>
        <v>730</v>
      </c>
      <c r="H142" s="95">
        <f t="shared" si="18"/>
        <v>5138599</v>
      </c>
      <c r="I142" s="95">
        <f t="shared" si="18"/>
        <v>2541960.8881365936</v>
      </c>
      <c r="J142" s="95">
        <f t="shared" si="18"/>
        <v>0</v>
      </c>
      <c r="K142" s="95">
        <f t="shared" si="18"/>
        <v>7680559.8881365936</v>
      </c>
    </row>
    <row r="143" spans="1:11" ht="18" customHeight="1">
      <c r="A143" s="45" t="s">
        <v>305</v>
      </c>
      <c r="B143" s="43" t="s">
        <v>247</v>
      </c>
      <c r="F143" s="95">
        <f t="shared" ref="F143:K143" si="19">F64</f>
        <v>79934.3</v>
      </c>
      <c r="G143" s="95">
        <f t="shared" si="19"/>
        <v>3919</v>
      </c>
      <c r="H143" s="95">
        <f t="shared" si="19"/>
        <v>11314308.909999996</v>
      </c>
      <c r="I143" s="95">
        <f t="shared" si="19"/>
        <v>5596959.5458831023</v>
      </c>
      <c r="J143" s="95">
        <f t="shared" si="19"/>
        <v>6326775.1500000078</v>
      </c>
      <c r="K143" s="95">
        <f t="shared" si="19"/>
        <v>10584493.305883089</v>
      </c>
    </row>
    <row r="144" spans="1:11" ht="18" customHeight="1">
      <c r="A144" s="45" t="s">
        <v>311</v>
      </c>
      <c r="B144" s="43" t="s">
        <v>127</v>
      </c>
      <c r="F144" s="95">
        <f t="shared" ref="F144:K144" si="20">F74</f>
        <v>4109</v>
      </c>
      <c r="G144" s="95">
        <f t="shared" si="20"/>
        <v>1093</v>
      </c>
      <c r="H144" s="95">
        <f t="shared" si="20"/>
        <v>230975</v>
      </c>
      <c r="I144" s="95">
        <f t="shared" si="20"/>
        <v>114258.6561312431</v>
      </c>
      <c r="J144" s="95">
        <f t="shared" si="20"/>
        <v>0</v>
      </c>
      <c r="K144" s="95">
        <f t="shared" si="20"/>
        <v>345233.6561312431</v>
      </c>
    </row>
    <row r="145" spans="1:11" ht="18" customHeight="1">
      <c r="A145" s="45" t="s">
        <v>317</v>
      </c>
      <c r="B145" s="43" t="s">
        <v>248</v>
      </c>
      <c r="F145" s="95">
        <f t="shared" ref="F145:K145" si="21">F82</f>
        <v>1586</v>
      </c>
      <c r="G145" s="95">
        <f t="shared" si="21"/>
        <v>1220</v>
      </c>
      <c r="H145" s="95">
        <f t="shared" si="21"/>
        <v>112534</v>
      </c>
      <c r="I145" s="95">
        <f t="shared" si="21"/>
        <v>36151</v>
      </c>
      <c r="J145" s="95">
        <f t="shared" si="21"/>
        <v>0</v>
      </c>
      <c r="K145" s="95">
        <f t="shared" si="21"/>
        <v>148685</v>
      </c>
    </row>
    <row r="146" spans="1:11" ht="18" customHeight="1">
      <c r="A146" s="45" t="s">
        <v>331</v>
      </c>
      <c r="B146" s="43" t="s">
        <v>249</v>
      </c>
      <c r="F146" s="95">
        <f t="shared" ref="F146:K146" si="22">F98</f>
        <v>39</v>
      </c>
      <c r="G146" s="95">
        <f t="shared" si="22"/>
        <v>650</v>
      </c>
      <c r="H146" s="95">
        <f t="shared" si="22"/>
        <v>6016</v>
      </c>
      <c r="I146" s="95">
        <f t="shared" si="22"/>
        <v>2796.629499262569</v>
      </c>
      <c r="J146" s="95">
        <f t="shared" si="22"/>
        <v>0</v>
      </c>
      <c r="K146" s="95">
        <f t="shared" si="22"/>
        <v>8812.6294992625699</v>
      </c>
    </row>
    <row r="147" spans="1:11" ht="18" customHeight="1">
      <c r="A147" s="45" t="s">
        <v>338</v>
      </c>
      <c r="B147" s="43" t="s">
        <v>129</v>
      </c>
      <c r="F147" s="59">
        <f t="shared" ref="F147:K147" si="23">F108</f>
        <v>200</v>
      </c>
      <c r="G147" s="59">
        <f t="shared" si="23"/>
        <v>47</v>
      </c>
      <c r="H147" s="59">
        <f t="shared" si="23"/>
        <v>15644</v>
      </c>
      <c r="I147" s="59">
        <f t="shared" si="23"/>
        <v>7628.6379304962365</v>
      </c>
      <c r="J147" s="59">
        <f t="shared" si="23"/>
        <v>0</v>
      </c>
      <c r="K147" s="59">
        <f t="shared" si="23"/>
        <v>23272.637930496239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25709288</v>
      </c>
    </row>
    <row r="149" spans="1:11" ht="18" customHeight="1">
      <c r="A149" s="45" t="s">
        <v>358</v>
      </c>
      <c r="B149" s="43" t="s">
        <v>250</v>
      </c>
      <c r="F149" s="59">
        <f t="shared" ref="F149:K149" si="24">F137</f>
        <v>0</v>
      </c>
      <c r="G149" s="59">
        <f t="shared" si="24"/>
        <v>0</v>
      </c>
      <c r="H149" s="59">
        <f t="shared" si="24"/>
        <v>4500</v>
      </c>
      <c r="I149" s="59">
        <f t="shared" si="24"/>
        <v>0</v>
      </c>
      <c r="J149" s="59">
        <f t="shared" si="24"/>
        <v>0</v>
      </c>
      <c r="K149" s="59">
        <f t="shared" si="24"/>
        <v>4500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9623320</v>
      </c>
      <c r="I150" s="59">
        <f>I18</f>
        <v>0</v>
      </c>
      <c r="J150" s="59">
        <f>J18</f>
        <v>8229142</v>
      </c>
      <c r="K150" s="59">
        <f>K18</f>
        <v>1394178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5">SUM(F141:F150)</f>
        <v>184172.1</v>
      </c>
      <c r="G152" s="99">
        <f t="shared" si="25"/>
        <v>18228</v>
      </c>
      <c r="H152" s="99">
        <f t="shared" si="25"/>
        <v>27515521.909999996</v>
      </c>
      <c r="I152" s="99">
        <f t="shared" si="25"/>
        <v>8749523.5886262245</v>
      </c>
      <c r="J152" s="99">
        <f t="shared" si="25"/>
        <v>14580622.150000008</v>
      </c>
      <c r="K152" s="99">
        <f t="shared" si="25"/>
        <v>47393711.348626211</v>
      </c>
    </row>
    <row r="154" spans="1:11" ht="18" customHeight="1">
      <c r="A154" s="48" t="s">
        <v>361</v>
      </c>
      <c r="B154" s="43" t="s">
        <v>252</v>
      </c>
      <c r="F154" s="166">
        <f>K152/F121</f>
        <v>0.12989845567141256</v>
      </c>
    </row>
    <row r="155" spans="1:11" ht="18" customHeight="1">
      <c r="A155" s="48" t="s">
        <v>362</v>
      </c>
      <c r="B155" s="43" t="s">
        <v>253</v>
      </c>
      <c r="F155" s="166">
        <f>K152/F127</f>
        <v>-6.9881615082020367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"/>
  <sheetViews>
    <sheetView topLeftCell="A130" workbookViewId="0">
      <selection activeCell="B43" sqref="B43"/>
    </sheetView>
  </sheetViews>
  <sheetFormatPr defaultRowHeight="12.75"/>
  <cols>
    <col min="1" max="1" width="8.28515625" style="135" customWidth="1"/>
    <col min="2" max="2" width="55.42578125" style="49" bestFit="1" customWidth="1"/>
    <col min="3" max="3" width="9.5703125" style="49" customWidth="1"/>
    <col min="4" max="4" width="9.140625" style="49"/>
    <col min="5" max="5" width="12.42578125" style="49" customWidth="1"/>
    <col min="6" max="6" width="18.5703125" style="49" customWidth="1"/>
    <col min="7" max="7" width="23.5703125" style="49" customWidth="1"/>
    <col min="8" max="8" width="17.140625" style="49" customWidth="1"/>
    <col min="9" max="9" width="21.140625" style="49" customWidth="1"/>
    <col min="10" max="10" width="19.85546875" style="49" customWidth="1"/>
    <col min="11" max="11" width="17.5703125" style="49" customWidth="1"/>
    <col min="12" max="16384" width="9.14062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75">
      <c r="D2" s="824" t="s">
        <v>133</v>
      </c>
      <c r="E2" s="825"/>
      <c r="F2" s="825"/>
      <c r="G2" s="825"/>
      <c r="H2" s="825"/>
      <c r="I2" s="384"/>
      <c r="J2" s="384"/>
      <c r="K2" s="384"/>
    </row>
    <row r="3" spans="1:11" ht="15">
      <c r="B3" s="43" t="s">
        <v>134</v>
      </c>
      <c r="F3" s="44"/>
      <c r="H3" s="384"/>
      <c r="I3" s="384"/>
      <c r="J3" s="384"/>
      <c r="K3" s="384"/>
    </row>
    <row r="5" spans="1:11">
      <c r="B5" s="45" t="s">
        <v>135</v>
      </c>
      <c r="C5" s="826" t="s">
        <v>629</v>
      </c>
      <c r="D5" s="851"/>
      <c r="E5" s="851"/>
      <c r="F5" s="851"/>
      <c r="G5" s="852"/>
      <c r="H5" s="384"/>
      <c r="I5" s="384"/>
      <c r="J5" s="384"/>
      <c r="K5" s="384"/>
    </row>
    <row r="6" spans="1:11">
      <c r="B6" s="45" t="s">
        <v>136</v>
      </c>
      <c r="C6" s="829">
        <v>44</v>
      </c>
      <c r="D6" s="854"/>
      <c r="E6" s="854"/>
      <c r="F6" s="854"/>
      <c r="G6" s="855"/>
      <c r="H6" s="384"/>
      <c r="I6" s="384"/>
      <c r="J6" s="384"/>
      <c r="K6" s="384"/>
    </row>
    <row r="7" spans="1:11">
      <c r="B7" s="45" t="s">
        <v>137</v>
      </c>
      <c r="C7" s="878">
        <v>2603</v>
      </c>
      <c r="D7" s="857"/>
      <c r="E7" s="857"/>
      <c r="F7" s="857"/>
      <c r="G7" s="858"/>
      <c r="H7" s="384"/>
      <c r="I7" s="384"/>
      <c r="J7" s="384"/>
      <c r="K7" s="384"/>
    </row>
    <row r="9" spans="1:11">
      <c r="B9" s="45" t="s">
        <v>138</v>
      </c>
      <c r="C9" s="826" t="s">
        <v>630</v>
      </c>
      <c r="D9" s="851"/>
      <c r="E9" s="851"/>
      <c r="F9" s="851"/>
      <c r="G9" s="852"/>
      <c r="H9" s="384"/>
      <c r="I9" s="384"/>
      <c r="J9" s="384"/>
      <c r="K9" s="384"/>
    </row>
    <row r="10" spans="1:11">
      <c r="B10" s="45" t="s">
        <v>140</v>
      </c>
      <c r="C10" s="835" t="s">
        <v>631</v>
      </c>
      <c r="D10" s="860"/>
      <c r="E10" s="860"/>
      <c r="F10" s="860"/>
      <c r="G10" s="861"/>
      <c r="H10" s="384"/>
      <c r="I10" s="384"/>
      <c r="J10" s="384"/>
      <c r="K10" s="384"/>
    </row>
    <row r="11" spans="1:11">
      <c r="B11" s="45" t="s">
        <v>142</v>
      </c>
      <c r="C11" s="838" t="s">
        <v>632</v>
      </c>
      <c r="D11" s="874"/>
      <c r="E11" s="874"/>
      <c r="F11" s="874"/>
      <c r="G11" s="874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5.5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12199428</v>
      </c>
      <c r="I18" s="167">
        <v>0</v>
      </c>
      <c r="J18" s="347">
        <v>10432036</v>
      </c>
      <c r="K18" s="348">
        <v>1767392</v>
      </c>
    </row>
    <row r="19" spans="1:11" ht="25.5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506</v>
      </c>
      <c r="G21" s="57">
        <v>18307</v>
      </c>
      <c r="H21" s="347">
        <v>54114.57</v>
      </c>
      <c r="I21" s="167">
        <v>31218.7</v>
      </c>
      <c r="J21" s="347">
        <v>0</v>
      </c>
      <c r="K21" s="348">
        <v>85333.27</v>
      </c>
    </row>
    <row r="22" spans="1:11">
      <c r="A22" s="45" t="s">
        <v>261</v>
      </c>
      <c r="B22" s="49" t="s">
        <v>157</v>
      </c>
      <c r="F22" s="57">
        <v>74</v>
      </c>
      <c r="G22" s="57">
        <v>272</v>
      </c>
      <c r="H22" s="347">
        <v>3342</v>
      </c>
      <c r="I22" s="167">
        <v>1928</v>
      </c>
      <c r="J22" s="347">
        <v>0</v>
      </c>
      <c r="K22" s="348">
        <v>5270</v>
      </c>
    </row>
    <row r="23" spans="1:11">
      <c r="A23" s="45" t="s">
        <v>262</v>
      </c>
      <c r="B23" s="49" t="s">
        <v>158</v>
      </c>
      <c r="F23" s="57">
        <v>106</v>
      </c>
      <c r="G23" s="57">
        <v>773</v>
      </c>
      <c r="H23" s="347">
        <v>44226</v>
      </c>
      <c r="I23" s="167">
        <v>25513.98</v>
      </c>
      <c r="J23" s="347">
        <v>45</v>
      </c>
      <c r="K23" s="348">
        <v>69694.98</v>
      </c>
    </row>
    <row r="24" spans="1:11">
      <c r="A24" s="45" t="s">
        <v>263</v>
      </c>
      <c r="B24" s="49" t="s">
        <v>159</v>
      </c>
      <c r="F24" s="57">
        <v>68.25</v>
      </c>
      <c r="G24" s="57">
        <v>117</v>
      </c>
      <c r="H24" s="347">
        <v>1674</v>
      </c>
      <c r="I24" s="167">
        <v>965.73</v>
      </c>
      <c r="J24" s="347">
        <v>0</v>
      </c>
      <c r="K24" s="348">
        <v>2639.73</v>
      </c>
    </row>
    <row r="25" spans="1:11">
      <c r="A25" s="45" t="s">
        <v>264</v>
      </c>
      <c r="B25" s="49" t="s">
        <v>160</v>
      </c>
      <c r="F25" s="57">
        <v>64.25</v>
      </c>
      <c r="G25" s="57">
        <v>1078</v>
      </c>
      <c r="H25" s="347">
        <v>3937</v>
      </c>
      <c r="I25" s="167">
        <v>2271.2600000000002</v>
      </c>
      <c r="J25" s="347">
        <v>1045</v>
      </c>
      <c r="K25" s="348">
        <v>5163.26</v>
      </c>
    </row>
    <row r="26" spans="1:11">
      <c r="A26" s="45" t="s">
        <v>265</v>
      </c>
      <c r="B26" s="49" t="s">
        <v>161</v>
      </c>
      <c r="F26" s="57">
        <v>0</v>
      </c>
      <c r="G26" s="57">
        <v>0</v>
      </c>
      <c r="H26" s="347">
        <v>0</v>
      </c>
      <c r="I26" s="167">
        <v>0</v>
      </c>
      <c r="J26" s="347">
        <v>0</v>
      </c>
      <c r="K26" s="348">
        <v>0</v>
      </c>
    </row>
    <row r="27" spans="1:11">
      <c r="A27" s="45" t="s">
        <v>266</v>
      </c>
      <c r="B27" s="49" t="s">
        <v>162</v>
      </c>
      <c r="F27" s="57">
        <v>0</v>
      </c>
      <c r="G27" s="57">
        <v>0</v>
      </c>
      <c r="H27" s="347">
        <v>0</v>
      </c>
      <c r="I27" s="167">
        <v>0</v>
      </c>
      <c r="J27" s="347">
        <v>0</v>
      </c>
      <c r="K27" s="348">
        <v>0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2080</v>
      </c>
      <c r="G29" s="57">
        <v>605</v>
      </c>
      <c r="H29" s="347">
        <v>276679</v>
      </c>
      <c r="I29" s="167">
        <v>159616.12</v>
      </c>
      <c r="J29" s="347">
        <v>0</v>
      </c>
      <c r="K29" s="348">
        <v>436295.12</v>
      </c>
    </row>
    <row r="30" spans="1:11">
      <c r="A30" s="45" t="s">
        <v>269</v>
      </c>
      <c r="B30" s="814"/>
      <c r="C30" s="815"/>
      <c r="D30" s="816"/>
      <c r="F30" s="57"/>
      <c r="G30" s="57"/>
      <c r="H30" s="347"/>
      <c r="I30" s="167"/>
      <c r="J30" s="347"/>
      <c r="K30" s="348"/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437"/>
      <c r="C32" s="438"/>
      <c r="D32" s="439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437"/>
      <c r="C33" s="438"/>
      <c r="D33" s="439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2898.5</v>
      </c>
      <c r="G36" s="350">
        <f t="shared" si="0"/>
        <v>21152</v>
      </c>
      <c r="H36" s="348">
        <f t="shared" si="0"/>
        <v>383972.57</v>
      </c>
      <c r="I36" s="348">
        <f t="shared" si="0"/>
        <v>221513.78999999998</v>
      </c>
      <c r="J36" s="348">
        <f t="shared" si="0"/>
        <v>1090</v>
      </c>
      <c r="K36" s="348">
        <f t="shared" si="0"/>
        <v>604396.36</v>
      </c>
    </row>
    <row r="37" spans="1:11" ht="13.5" thickBot="1">
      <c r="B37" s="43"/>
      <c r="F37" s="351"/>
      <c r="G37" s="351"/>
      <c r="H37" s="352"/>
      <c r="I37" s="352"/>
      <c r="J37" s="352"/>
      <c r="K37" s="353"/>
    </row>
    <row r="38" spans="1:11" ht="25.5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137958</v>
      </c>
      <c r="G40" s="57">
        <v>0</v>
      </c>
      <c r="H40" s="347">
        <v>5819221</v>
      </c>
      <c r="I40" s="167">
        <v>3357108.59</v>
      </c>
      <c r="J40" s="347">
        <v>0</v>
      </c>
      <c r="K40" s="348">
        <v>9176329.5899999999</v>
      </c>
    </row>
    <row r="41" spans="1:11">
      <c r="A41" s="45" t="s">
        <v>278</v>
      </c>
      <c r="B41" s="818" t="s">
        <v>172</v>
      </c>
      <c r="C41" s="818"/>
      <c r="F41" s="57">
        <v>33855</v>
      </c>
      <c r="G41" s="57">
        <v>0</v>
      </c>
      <c r="H41" s="347">
        <v>526269</v>
      </c>
      <c r="I41" s="167">
        <v>303604.59000000003</v>
      </c>
      <c r="J41" s="347">
        <v>0</v>
      </c>
      <c r="K41" s="348">
        <v>829873.59</v>
      </c>
    </row>
    <row r="42" spans="1:11">
      <c r="A42" s="45" t="s">
        <v>279</v>
      </c>
      <c r="B42" s="49" t="s">
        <v>174</v>
      </c>
      <c r="F42" s="57">
        <v>3608</v>
      </c>
      <c r="G42" s="57">
        <v>0</v>
      </c>
      <c r="H42" s="347">
        <v>161149</v>
      </c>
      <c r="I42" s="167">
        <v>92966.86</v>
      </c>
      <c r="J42" s="347">
        <v>64775</v>
      </c>
      <c r="K42" s="348">
        <v>189340.86</v>
      </c>
    </row>
    <row r="43" spans="1:11">
      <c r="A43" s="45" t="s">
        <v>280</v>
      </c>
      <c r="B43" s="49" t="s">
        <v>176</v>
      </c>
      <c r="F43" s="57">
        <v>0</v>
      </c>
      <c r="G43" s="57">
        <v>0</v>
      </c>
      <c r="H43" s="347">
        <v>0</v>
      </c>
      <c r="I43" s="167">
        <v>0</v>
      </c>
      <c r="J43" s="347">
        <v>0</v>
      </c>
      <c r="K43" s="348">
        <v>0</v>
      </c>
    </row>
    <row r="44" spans="1:11">
      <c r="A44" s="45" t="s">
        <v>281</v>
      </c>
      <c r="B44" s="814"/>
      <c r="C44" s="815"/>
      <c r="D44" s="816"/>
      <c r="F44" s="57"/>
      <c r="G44" s="57"/>
      <c r="H44" s="347"/>
      <c r="I44" s="167"/>
      <c r="J44" s="347"/>
      <c r="K44" s="354"/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1">SUM(F40:F47)</f>
        <v>175421</v>
      </c>
      <c r="G49" s="355">
        <f t="shared" si="1"/>
        <v>0</v>
      </c>
      <c r="H49" s="348">
        <f t="shared" si="1"/>
        <v>6506639</v>
      </c>
      <c r="I49" s="348">
        <f t="shared" si="1"/>
        <v>3753680.0399999996</v>
      </c>
      <c r="J49" s="348">
        <f t="shared" si="1"/>
        <v>64775</v>
      </c>
      <c r="K49" s="348">
        <f t="shared" si="1"/>
        <v>10195544.039999999</v>
      </c>
    </row>
    <row r="50" spans="1:11" ht="13.5" thickBot="1">
      <c r="G50" s="356"/>
      <c r="H50" s="352"/>
      <c r="I50" s="352"/>
      <c r="J50" s="352"/>
      <c r="K50" s="352"/>
    </row>
    <row r="51" spans="1:11" ht="25.5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22" t="s">
        <v>633</v>
      </c>
      <c r="C53" s="867" t="s">
        <v>633</v>
      </c>
      <c r="D53" s="865" t="s">
        <v>633</v>
      </c>
      <c r="F53" s="57">
        <v>0</v>
      </c>
      <c r="G53" s="57">
        <v>0</v>
      </c>
      <c r="H53" s="347">
        <v>94333.62</v>
      </c>
      <c r="I53" s="167">
        <v>0</v>
      </c>
      <c r="J53" s="347">
        <v>0</v>
      </c>
      <c r="K53" s="348">
        <v>94333.62</v>
      </c>
    </row>
    <row r="54" spans="1:11">
      <c r="A54" s="45" t="s">
        <v>289</v>
      </c>
      <c r="B54" s="440" t="s">
        <v>634</v>
      </c>
      <c r="C54" s="443"/>
      <c r="D54" s="444"/>
      <c r="F54" s="57">
        <v>2080</v>
      </c>
      <c r="G54" s="57">
        <v>2645</v>
      </c>
      <c r="H54" s="347">
        <v>67279</v>
      </c>
      <c r="I54" s="167">
        <v>38813.26</v>
      </c>
      <c r="J54" s="347">
        <v>3881</v>
      </c>
      <c r="K54" s="348">
        <v>102211.26</v>
      </c>
    </row>
    <row r="55" spans="1:11">
      <c r="A55" s="45" t="s">
        <v>291</v>
      </c>
      <c r="B55" s="817" t="s">
        <v>635</v>
      </c>
      <c r="C55" s="864" t="s">
        <v>635</v>
      </c>
      <c r="D55" s="865" t="s">
        <v>635</v>
      </c>
      <c r="F55" s="57">
        <v>1824</v>
      </c>
      <c r="G55" s="57">
        <v>0</v>
      </c>
      <c r="H55" s="347">
        <v>138110</v>
      </c>
      <c r="I55" s="167">
        <v>79675.66</v>
      </c>
      <c r="J55" s="347">
        <v>5349</v>
      </c>
      <c r="K55" s="348">
        <v>212436.66</v>
      </c>
    </row>
    <row r="56" spans="1:11">
      <c r="A56" s="45" t="s">
        <v>293</v>
      </c>
      <c r="B56" s="817" t="s">
        <v>636</v>
      </c>
      <c r="C56" s="864" t="s">
        <v>636</v>
      </c>
      <c r="D56" s="865" t="s">
        <v>636</v>
      </c>
      <c r="F56" s="57">
        <v>4588</v>
      </c>
      <c r="G56" s="57">
        <v>0</v>
      </c>
      <c r="H56" s="347">
        <v>639927</v>
      </c>
      <c r="I56" s="167">
        <v>369173.89</v>
      </c>
      <c r="J56" s="347">
        <v>513480</v>
      </c>
      <c r="K56" s="348">
        <v>495620.89</v>
      </c>
    </row>
    <row r="57" spans="1:11">
      <c r="A57" s="45" t="s">
        <v>295</v>
      </c>
      <c r="B57" s="817"/>
      <c r="C57" s="864"/>
      <c r="D57" s="865"/>
      <c r="F57" s="70"/>
      <c r="G57" s="57"/>
      <c r="H57" s="347"/>
      <c r="I57" s="167"/>
      <c r="J57" s="347"/>
      <c r="K57" s="348"/>
    </row>
    <row r="58" spans="1:11">
      <c r="A58" s="45" t="s">
        <v>298</v>
      </c>
      <c r="B58" s="440"/>
      <c r="C58" s="443"/>
      <c r="D58" s="444"/>
      <c r="F58" s="70"/>
      <c r="G58" s="70"/>
      <c r="H58" s="347"/>
      <c r="I58" s="167"/>
      <c r="J58" s="347"/>
      <c r="K58" s="348"/>
    </row>
    <row r="59" spans="1:11">
      <c r="A59" s="45" t="s">
        <v>300</v>
      </c>
      <c r="B59" s="817"/>
      <c r="C59" s="864"/>
      <c r="D59" s="865"/>
      <c r="F59" s="70"/>
      <c r="G59" s="70"/>
      <c r="H59" s="347"/>
      <c r="I59" s="167"/>
      <c r="J59" s="347"/>
      <c r="K59" s="348"/>
    </row>
    <row r="60" spans="1:11">
      <c r="A60" s="45" t="s">
        <v>302</v>
      </c>
      <c r="B60" s="440"/>
      <c r="C60" s="443"/>
      <c r="D60" s="444"/>
      <c r="F60" s="57"/>
      <c r="G60" s="57"/>
      <c r="H60" s="347"/>
      <c r="I60" s="167"/>
      <c r="J60" s="347"/>
      <c r="K60" s="348"/>
    </row>
    <row r="61" spans="1:11">
      <c r="A61" s="45" t="s">
        <v>303</v>
      </c>
      <c r="B61" s="440"/>
      <c r="C61" s="443"/>
      <c r="D61" s="444"/>
      <c r="F61" s="57"/>
      <c r="G61" s="57"/>
      <c r="H61" s="347"/>
      <c r="I61" s="167"/>
      <c r="J61" s="347"/>
      <c r="K61" s="348"/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/>
      <c r="J62" s="347"/>
      <c r="K62" s="348"/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SUM(F53:F62)</f>
        <v>8492</v>
      </c>
      <c r="G64" s="350">
        <f t="shared" si="2"/>
        <v>2645</v>
      </c>
      <c r="H64" s="348">
        <f t="shared" si="2"/>
        <v>939649.62</v>
      </c>
      <c r="I64" s="348">
        <f t="shared" si="2"/>
        <v>487662.81000000006</v>
      </c>
      <c r="J64" s="348">
        <f t="shared" si="2"/>
        <v>522710</v>
      </c>
      <c r="K64" s="348">
        <f t="shared" si="2"/>
        <v>904602.43</v>
      </c>
    </row>
    <row r="65" spans="1:11">
      <c r="F65" s="358"/>
      <c r="G65" s="358"/>
      <c r="H65" s="394"/>
      <c r="I65" s="394"/>
      <c r="J65" s="394"/>
      <c r="K65" s="394"/>
    </row>
    <row r="66" spans="1:11" ht="25.5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0</v>
      </c>
      <c r="G68" s="362">
        <v>0</v>
      </c>
      <c r="H68" s="347">
        <v>0</v>
      </c>
      <c r="I68" s="167">
        <v>0</v>
      </c>
      <c r="J68" s="347">
        <v>0</v>
      </c>
      <c r="K68" s="348">
        <v>0</v>
      </c>
    </row>
    <row r="69" spans="1:11">
      <c r="A69" s="45" t="s">
        <v>307</v>
      </c>
      <c r="B69" s="49" t="s">
        <v>190</v>
      </c>
      <c r="F69" s="362">
        <v>0</v>
      </c>
      <c r="G69" s="362">
        <v>0</v>
      </c>
      <c r="H69" s="347">
        <v>275128</v>
      </c>
      <c r="I69" s="167">
        <v>158721.34</v>
      </c>
      <c r="J69" s="347">
        <v>0</v>
      </c>
      <c r="K69" s="348">
        <v>433849.34</v>
      </c>
    </row>
    <row r="70" spans="1:11">
      <c r="A70" s="45" t="s">
        <v>308</v>
      </c>
      <c r="B70" s="440"/>
      <c r="C70" s="443"/>
      <c r="D70" s="444"/>
      <c r="E70" s="43"/>
      <c r="F70" s="364"/>
      <c r="G70" s="364"/>
      <c r="H70" s="363"/>
      <c r="I70" s="167"/>
      <c r="J70" s="363"/>
      <c r="K70" s="348"/>
    </row>
    <row r="71" spans="1:11">
      <c r="A71" s="45" t="s">
        <v>309</v>
      </c>
      <c r="B71" s="440"/>
      <c r="C71" s="443"/>
      <c r="D71" s="444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442"/>
      <c r="C72" s="445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3">SUM(F68:F72)</f>
        <v>0</v>
      </c>
      <c r="G74" s="368">
        <f t="shared" si="3"/>
        <v>0</v>
      </c>
      <c r="H74" s="354">
        <f t="shared" si="3"/>
        <v>275128</v>
      </c>
      <c r="I74" s="370">
        <f t="shared" si="3"/>
        <v>158721.34</v>
      </c>
      <c r="J74" s="354">
        <f t="shared" si="3"/>
        <v>0</v>
      </c>
      <c r="K74" s="354">
        <f t="shared" si="3"/>
        <v>433849.34</v>
      </c>
    </row>
    <row r="75" spans="1:11" ht="25.5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0</v>
      </c>
      <c r="G77" s="57">
        <v>0</v>
      </c>
      <c r="H77" s="347">
        <v>11000</v>
      </c>
      <c r="I77" s="167">
        <v>0</v>
      </c>
      <c r="J77" s="347">
        <v>0</v>
      </c>
      <c r="K77" s="348">
        <v>11000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57">
        <v>152</v>
      </c>
      <c r="G79" s="57">
        <v>671</v>
      </c>
      <c r="H79" s="347">
        <v>13514</v>
      </c>
      <c r="I79" s="167">
        <v>0</v>
      </c>
      <c r="J79" s="347">
        <v>0</v>
      </c>
      <c r="K79" s="348">
        <v>13514</v>
      </c>
    </row>
    <row r="80" spans="1:11">
      <c r="A80" s="45" t="s">
        <v>315</v>
      </c>
      <c r="B80" s="49" t="s">
        <v>316</v>
      </c>
      <c r="F80" s="57">
        <v>0</v>
      </c>
      <c r="G80" s="57">
        <v>0</v>
      </c>
      <c r="H80" s="347">
        <v>0</v>
      </c>
      <c r="I80" s="167">
        <v>0</v>
      </c>
      <c r="J80" s="347">
        <v>0</v>
      </c>
      <c r="K80" s="348">
        <v>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4">SUM(F77:F80)</f>
        <v>152</v>
      </c>
      <c r="G82" s="455">
        <f t="shared" si="4"/>
        <v>671</v>
      </c>
      <c r="H82" s="354">
        <f t="shared" si="4"/>
        <v>24514</v>
      </c>
      <c r="I82" s="354">
        <f t="shared" si="4"/>
        <v>0</v>
      </c>
      <c r="J82" s="354">
        <f t="shared" si="4"/>
        <v>0</v>
      </c>
      <c r="K82" s="354">
        <f t="shared" si="4"/>
        <v>24514</v>
      </c>
    </row>
    <row r="83" spans="1:11" ht="13.5" thickBot="1">
      <c r="A83" s="45"/>
      <c r="F83" s="356"/>
      <c r="G83" s="356"/>
      <c r="H83" s="352"/>
      <c r="I83" s="352"/>
      <c r="J83" s="352"/>
      <c r="K83" s="352"/>
    </row>
    <row r="84" spans="1:11" ht="25.5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0</v>
      </c>
      <c r="G87" s="57">
        <v>0</v>
      </c>
      <c r="H87" s="347">
        <v>0</v>
      </c>
      <c r="I87" s="167">
        <v>0</v>
      </c>
      <c r="J87" s="347">
        <v>0</v>
      </c>
      <c r="K87" s="348">
        <v>0</v>
      </c>
    </row>
    <row r="88" spans="1:11">
      <c r="A88" s="45" t="s">
        <v>321</v>
      </c>
      <c r="B88" s="49" t="s">
        <v>208</v>
      </c>
      <c r="F88" s="57">
        <v>0</v>
      </c>
      <c r="G88" s="57">
        <v>0</v>
      </c>
      <c r="H88" s="347">
        <v>25000</v>
      </c>
      <c r="I88" s="167">
        <v>0</v>
      </c>
      <c r="J88" s="347">
        <v>0</v>
      </c>
      <c r="K88" s="348">
        <v>25000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v>0</v>
      </c>
      <c r="J89" s="347">
        <v>0</v>
      </c>
      <c r="K89" s="348">
        <v>0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0</v>
      </c>
      <c r="G91" s="57">
        <v>0</v>
      </c>
      <c r="H91" s="347">
        <v>0</v>
      </c>
      <c r="I91" s="167">
        <v>0</v>
      </c>
      <c r="J91" s="347">
        <v>0</v>
      </c>
      <c r="K91" s="348">
        <v>0</v>
      </c>
    </row>
    <row r="92" spans="1:11">
      <c r="A92" s="45" t="s">
        <v>325</v>
      </c>
      <c r="B92" s="49" t="s">
        <v>216</v>
      </c>
      <c r="F92" s="372">
        <v>0</v>
      </c>
      <c r="G92" s="372">
        <v>0</v>
      </c>
      <c r="H92" s="373">
        <v>0</v>
      </c>
      <c r="I92" s="167">
        <v>0</v>
      </c>
      <c r="J92" s="373">
        <v>0</v>
      </c>
      <c r="K92" s="348">
        <v>0</v>
      </c>
    </row>
    <row r="93" spans="1:11">
      <c r="A93" s="45" t="s">
        <v>326</v>
      </c>
      <c r="B93" s="49" t="s">
        <v>218</v>
      </c>
      <c r="F93" s="57">
        <v>0</v>
      </c>
      <c r="G93" s="57">
        <v>0</v>
      </c>
      <c r="H93" s="347">
        <v>100000</v>
      </c>
      <c r="I93" s="167">
        <v>0</v>
      </c>
      <c r="J93" s="347">
        <v>0</v>
      </c>
      <c r="K93" s="348">
        <v>100000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0</v>
      </c>
      <c r="G98" s="350">
        <f t="shared" si="5"/>
        <v>0</v>
      </c>
      <c r="H98" s="348">
        <f t="shared" si="5"/>
        <v>125000</v>
      </c>
      <c r="I98" s="348">
        <f t="shared" si="5"/>
        <v>0</v>
      </c>
      <c r="J98" s="348">
        <f t="shared" si="5"/>
        <v>0</v>
      </c>
      <c r="K98" s="348">
        <f t="shared" si="5"/>
        <v>125000</v>
      </c>
    </row>
    <row r="99" spans="1:11" ht="13.5" thickBot="1">
      <c r="B99" s="43"/>
      <c r="F99" s="356"/>
      <c r="G99" s="356"/>
      <c r="H99" s="352"/>
      <c r="I99" s="352"/>
      <c r="J99" s="352"/>
      <c r="K99" s="352"/>
    </row>
    <row r="100" spans="1:11" ht="25.5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4264</v>
      </c>
      <c r="G102" s="57">
        <v>0</v>
      </c>
      <c r="H102" s="347">
        <v>134581</v>
      </c>
      <c r="I102" s="167">
        <v>77639.78</v>
      </c>
      <c r="J102" s="347">
        <v>0</v>
      </c>
      <c r="K102" s="348">
        <v>212220.78</v>
      </c>
    </row>
    <row r="103" spans="1:11">
      <c r="A103" s="45" t="s">
        <v>333</v>
      </c>
      <c r="B103" s="818" t="s">
        <v>226</v>
      </c>
      <c r="C103" s="818"/>
      <c r="F103" s="57">
        <v>0</v>
      </c>
      <c r="G103" s="57">
        <v>0</v>
      </c>
      <c r="H103" s="347">
        <v>7584</v>
      </c>
      <c r="I103" s="167">
        <v>0</v>
      </c>
      <c r="J103" s="347">
        <v>0</v>
      </c>
      <c r="K103" s="348">
        <v>7584</v>
      </c>
    </row>
    <row r="104" spans="1:11">
      <c r="A104" s="45" t="s">
        <v>334</v>
      </c>
      <c r="B104" s="817"/>
      <c r="C104" s="864"/>
      <c r="D104" s="865"/>
      <c r="F104" s="57"/>
      <c r="G104" s="57"/>
      <c r="H104" s="347"/>
      <c r="I104" s="167"/>
      <c r="J104" s="347"/>
      <c r="K104" s="348"/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/>
      <c r="J105" s="347"/>
      <c r="K105" s="348"/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4264</v>
      </c>
      <c r="G108" s="350">
        <f t="shared" si="6"/>
        <v>0</v>
      </c>
      <c r="H108" s="348">
        <f t="shared" si="6"/>
        <v>142165</v>
      </c>
      <c r="I108" s="348">
        <f t="shared" si="6"/>
        <v>77639.78</v>
      </c>
      <c r="J108" s="348">
        <f t="shared" si="6"/>
        <v>0</v>
      </c>
      <c r="K108" s="348">
        <f t="shared" si="6"/>
        <v>219804.78</v>
      </c>
    </row>
    <row r="109" spans="1:11" ht="13.5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4616593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57.69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374789000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19208000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f>SUM(F117:F118)</f>
        <v>393997000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379063000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14934000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18296000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33230000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5.5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  <c r="H138" s="384"/>
      <c r="I138" s="384"/>
      <c r="J138" s="384"/>
      <c r="K138" s="384"/>
    </row>
    <row r="139" spans="1:11" ht="25.5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8">F36</f>
        <v>2898.5</v>
      </c>
      <c r="G141" s="377">
        <f t="shared" si="8"/>
        <v>21152</v>
      </c>
      <c r="H141" s="380">
        <f t="shared" si="8"/>
        <v>383972.57</v>
      </c>
      <c r="I141" s="380">
        <f t="shared" si="8"/>
        <v>221513.78999999998</v>
      </c>
      <c r="J141" s="380">
        <f t="shared" si="8"/>
        <v>1090</v>
      </c>
      <c r="K141" s="380">
        <f t="shared" si="8"/>
        <v>604396.36</v>
      </c>
    </row>
    <row r="142" spans="1:11">
      <c r="A142" s="45" t="s">
        <v>286</v>
      </c>
      <c r="B142" s="43" t="s">
        <v>125</v>
      </c>
      <c r="F142" s="456">
        <f t="shared" ref="F142:K142" si="9">F49</f>
        <v>175421</v>
      </c>
      <c r="G142" s="456">
        <f t="shared" si="9"/>
        <v>0</v>
      </c>
      <c r="H142" s="380">
        <f t="shared" si="9"/>
        <v>6506639</v>
      </c>
      <c r="I142" s="380">
        <f t="shared" si="9"/>
        <v>3753680.0399999996</v>
      </c>
      <c r="J142" s="380">
        <f t="shared" si="9"/>
        <v>64775</v>
      </c>
      <c r="K142" s="380">
        <f t="shared" si="9"/>
        <v>10195544.039999999</v>
      </c>
    </row>
    <row r="143" spans="1:11">
      <c r="A143" s="45" t="s">
        <v>305</v>
      </c>
      <c r="B143" s="43" t="s">
        <v>247</v>
      </c>
      <c r="F143" s="377">
        <f t="shared" ref="F143:K143" si="10">F64</f>
        <v>8492</v>
      </c>
      <c r="G143" s="377">
        <f t="shared" si="10"/>
        <v>2645</v>
      </c>
      <c r="H143" s="380">
        <f t="shared" si="10"/>
        <v>939649.62</v>
      </c>
      <c r="I143" s="380">
        <f t="shared" si="10"/>
        <v>487662.81000000006</v>
      </c>
      <c r="J143" s="380">
        <f t="shared" si="10"/>
        <v>522710</v>
      </c>
      <c r="K143" s="380">
        <f t="shared" si="10"/>
        <v>904602.43</v>
      </c>
    </row>
    <row r="144" spans="1:11">
      <c r="A144" s="45" t="s">
        <v>311</v>
      </c>
      <c r="B144" s="43" t="s">
        <v>127</v>
      </c>
      <c r="F144" s="377">
        <f t="shared" ref="F144:K144" si="11">F74</f>
        <v>0</v>
      </c>
      <c r="G144" s="377">
        <f t="shared" si="11"/>
        <v>0</v>
      </c>
      <c r="H144" s="380">
        <f t="shared" si="11"/>
        <v>275128</v>
      </c>
      <c r="I144" s="380">
        <f t="shared" si="11"/>
        <v>158721.34</v>
      </c>
      <c r="J144" s="380">
        <f t="shared" si="11"/>
        <v>0</v>
      </c>
      <c r="K144" s="380">
        <f t="shared" si="11"/>
        <v>433849.34</v>
      </c>
    </row>
    <row r="145" spans="1:11">
      <c r="A145" s="45" t="s">
        <v>317</v>
      </c>
      <c r="B145" s="43" t="s">
        <v>248</v>
      </c>
      <c r="F145" s="377">
        <f t="shared" ref="F145:K145" si="12">F82</f>
        <v>152</v>
      </c>
      <c r="G145" s="377">
        <f t="shared" si="12"/>
        <v>671</v>
      </c>
      <c r="H145" s="380">
        <f t="shared" si="12"/>
        <v>24514</v>
      </c>
      <c r="I145" s="380">
        <f t="shared" si="12"/>
        <v>0</v>
      </c>
      <c r="J145" s="380">
        <f t="shared" si="12"/>
        <v>0</v>
      </c>
      <c r="K145" s="380">
        <f t="shared" si="12"/>
        <v>24514</v>
      </c>
    </row>
    <row r="146" spans="1:11">
      <c r="A146" s="45" t="s">
        <v>331</v>
      </c>
      <c r="B146" s="43" t="s">
        <v>249</v>
      </c>
      <c r="F146" s="377">
        <f t="shared" ref="F146:K146" si="13">F98</f>
        <v>0</v>
      </c>
      <c r="G146" s="377">
        <f t="shared" si="13"/>
        <v>0</v>
      </c>
      <c r="H146" s="380">
        <f t="shared" si="13"/>
        <v>125000</v>
      </c>
      <c r="I146" s="380">
        <f t="shared" si="13"/>
        <v>0</v>
      </c>
      <c r="J146" s="380">
        <f t="shared" si="13"/>
        <v>0</v>
      </c>
      <c r="K146" s="380">
        <f t="shared" si="13"/>
        <v>125000</v>
      </c>
    </row>
    <row r="147" spans="1:11">
      <c r="A147" s="45" t="s">
        <v>338</v>
      </c>
      <c r="B147" s="43" t="s">
        <v>129</v>
      </c>
      <c r="F147" s="350">
        <f t="shared" ref="F147:K147" si="14">F108</f>
        <v>4264</v>
      </c>
      <c r="G147" s="350">
        <f t="shared" si="14"/>
        <v>0</v>
      </c>
      <c r="H147" s="348">
        <f t="shared" si="14"/>
        <v>142165</v>
      </c>
      <c r="I147" s="348">
        <f t="shared" si="14"/>
        <v>77639.78</v>
      </c>
      <c r="J147" s="348">
        <f t="shared" si="14"/>
        <v>0</v>
      </c>
      <c r="K147" s="348">
        <f t="shared" si="14"/>
        <v>219804.78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4616593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12199428</v>
      </c>
      <c r="I150" s="348">
        <f>I18</f>
        <v>0</v>
      </c>
      <c r="J150" s="348">
        <f>J18</f>
        <v>10432036</v>
      </c>
      <c r="K150" s="348">
        <f>K18</f>
        <v>1767392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191227.5</v>
      </c>
      <c r="G152" s="381">
        <f t="shared" si="16"/>
        <v>24468</v>
      </c>
      <c r="H152" s="457">
        <f t="shared" si="16"/>
        <v>20596496.190000001</v>
      </c>
      <c r="I152" s="457">
        <f t="shared" si="16"/>
        <v>4699217.76</v>
      </c>
      <c r="J152" s="457">
        <f t="shared" si="16"/>
        <v>11020611</v>
      </c>
      <c r="K152" s="457">
        <f t="shared" si="16"/>
        <v>18891695.949999996</v>
      </c>
    </row>
    <row r="154" spans="1:11">
      <c r="A154" s="48" t="s">
        <v>361</v>
      </c>
      <c r="B154" s="43" t="s">
        <v>252</v>
      </c>
      <c r="F154" s="459">
        <f>K152/F121</f>
        <v>4.9837879059681359E-2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0.56851326963587112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  <row r="162" spans="6:6">
      <c r="F162" s="49">
        <f>+F161+550</f>
        <v>550</v>
      </c>
    </row>
  </sheetData>
  <mergeCells count="34">
    <mergeCell ref="B134:D134"/>
    <mergeCell ref="B135:D135"/>
    <mergeCell ref="B103:C103"/>
    <mergeCell ref="B104:D104"/>
    <mergeCell ref="B105:D105"/>
    <mergeCell ref="B106:D106"/>
    <mergeCell ref="B133:D133"/>
    <mergeCell ref="B62:D62"/>
    <mergeCell ref="B90:C90"/>
    <mergeCell ref="B94:D94"/>
    <mergeCell ref="B95:D95"/>
    <mergeCell ref="B96:D96"/>
    <mergeCell ref="B53:D53"/>
    <mergeCell ref="B55:D55"/>
    <mergeCell ref="B56:D56"/>
    <mergeCell ref="B57:D57"/>
    <mergeCell ref="B59:D59"/>
    <mergeCell ref="B44:D44"/>
    <mergeCell ref="B45:D45"/>
    <mergeCell ref="B46:D46"/>
    <mergeCell ref="B47:D47"/>
    <mergeCell ref="B52:C52"/>
    <mergeCell ref="B13:H13"/>
    <mergeCell ref="B30:D30"/>
    <mergeCell ref="B31:D31"/>
    <mergeCell ref="B34:D34"/>
    <mergeCell ref="B41:C41"/>
    <mergeCell ref="C11:G11"/>
    <mergeCell ref="D2:H2"/>
    <mergeCell ref="C5:G5"/>
    <mergeCell ref="C6:G6"/>
    <mergeCell ref="C7:G7"/>
    <mergeCell ref="C9:G9"/>
    <mergeCell ref="C10:G10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RowHeight="12.75"/>
  <cols>
    <col min="1" max="1" width="8.28515625" style="135" customWidth="1"/>
    <col min="2" max="2" width="55.42578125" style="49" bestFit="1" customWidth="1"/>
    <col min="3" max="3" width="9.5703125" style="49" customWidth="1"/>
    <col min="4" max="4" width="9.140625" style="49"/>
    <col min="5" max="5" width="12.42578125" style="49" customWidth="1"/>
    <col min="6" max="6" width="18.5703125" style="49" customWidth="1"/>
    <col min="7" max="7" width="23.5703125" style="49" customWidth="1"/>
    <col min="8" max="8" width="17.140625" style="49" customWidth="1"/>
    <col min="9" max="9" width="21.140625" style="49" customWidth="1"/>
    <col min="10" max="10" width="19.85546875" style="49" customWidth="1"/>
    <col min="11" max="11" width="17.5703125" style="49" customWidth="1"/>
    <col min="12" max="16384" width="9.14062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75">
      <c r="D2" s="824" t="s">
        <v>133</v>
      </c>
      <c r="E2" s="825"/>
      <c r="F2" s="825"/>
      <c r="G2" s="825"/>
      <c r="H2" s="825"/>
      <c r="I2" s="384"/>
      <c r="J2" s="384"/>
      <c r="K2" s="384"/>
    </row>
    <row r="3" spans="1:11" ht="15">
      <c r="B3" s="43" t="s">
        <v>134</v>
      </c>
      <c r="F3" s="44"/>
      <c r="H3" s="384"/>
      <c r="I3" s="384"/>
      <c r="J3" s="384"/>
      <c r="K3" s="384"/>
    </row>
    <row r="5" spans="1:11">
      <c r="B5" s="45" t="s">
        <v>135</v>
      </c>
      <c r="C5" s="826"/>
      <c r="D5" s="851"/>
      <c r="E5" s="851"/>
      <c r="F5" s="851"/>
      <c r="G5" s="852"/>
      <c r="H5" s="384"/>
      <c r="I5" s="384"/>
      <c r="J5" s="384"/>
      <c r="K5" s="384"/>
    </row>
    <row r="6" spans="1:11">
      <c r="B6" s="45" t="s">
        <v>136</v>
      </c>
      <c r="C6" s="829"/>
      <c r="D6" s="854"/>
      <c r="E6" s="854"/>
      <c r="F6" s="854"/>
      <c r="G6" s="855"/>
      <c r="H6" s="384"/>
      <c r="I6" s="384"/>
      <c r="J6" s="384"/>
      <c r="K6" s="384"/>
    </row>
    <row r="7" spans="1:11">
      <c r="B7" s="45" t="s">
        <v>137</v>
      </c>
      <c r="C7" s="878"/>
      <c r="D7" s="857"/>
      <c r="E7" s="857"/>
      <c r="F7" s="857"/>
      <c r="G7" s="858"/>
      <c r="H7" s="384"/>
      <c r="I7" s="384"/>
      <c r="J7" s="384"/>
      <c r="K7" s="384"/>
    </row>
    <row r="9" spans="1:11">
      <c r="B9" s="45" t="s">
        <v>138</v>
      </c>
      <c r="C9" s="826"/>
      <c r="D9" s="851"/>
      <c r="E9" s="851"/>
      <c r="F9" s="851"/>
      <c r="G9" s="852"/>
      <c r="H9" s="384"/>
      <c r="I9" s="384"/>
      <c r="J9" s="384"/>
      <c r="K9" s="384"/>
    </row>
    <row r="10" spans="1:11">
      <c r="B10" s="45" t="s">
        <v>140</v>
      </c>
      <c r="C10" s="835"/>
      <c r="D10" s="860"/>
      <c r="E10" s="860"/>
      <c r="F10" s="860"/>
      <c r="G10" s="861"/>
      <c r="H10" s="384"/>
      <c r="I10" s="384"/>
      <c r="J10" s="384"/>
      <c r="K10" s="384"/>
    </row>
    <row r="11" spans="1:11">
      <c r="B11" s="45" t="s">
        <v>142</v>
      </c>
      <c r="C11" s="838"/>
      <c r="D11" s="874"/>
      <c r="E11" s="874"/>
      <c r="F11" s="874"/>
      <c r="G11" s="874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5.5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/>
      <c r="G18" s="57" t="s">
        <v>122</v>
      </c>
      <c r="H18" s="347">
        <v>454983</v>
      </c>
      <c r="I18" s="167">
        <v>0</v>
      </c>
      <c r="J18" s="347">
        <v>389067</v>
      </c>
      <c r="K18" s="348">
        <v>65916</v>
      </c>
    </row>
    <row r="19" spans="1:11" ht="25.5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/>
      <c r="G21" s="57"/>
      <c r="H21" s="347"/>
      <c r="I21" s="167">
        <v>0</v>
      </c>
      <c r="J21" s="347"/>
      <c r="K21" s="348">
        <v>0</v>
      </c>
    </row>
    <row r="22" spans="1:11">
      <c r="A22" s="45" t="s">
        <v>261</v>
      </c>
      <c r="B22" s="49" t="s">
        <v>157</v>
      </c>
      <c r="F22" s="57"/>
      <c r="G22" s="57"/>
      <c r="H22" s="347"/>
      <c r="I22" s="167">
        <v>0</v>
      </c>
      <c r="J22" s="347"/>
      <c r="K22" s="348">
        <v>0</v>
      </c>
    </row>
    <row r="23" spans="1:11">
      <c r="A23" s="45" t="s">
        <v>262</v>
      </c>
      <c r="B23" s="49" t="s">
        <v>158</v>
      </c>
      <c r="F23" s="57"/>
      <c r="G23" s="57"/>
      <c r="H23" s="347"/>
      <c r="I23" s="167">
        <v>0</v>
      </c>
      <c r="J23" s="347"/>
      <c r="K23" s="348">
        <v>0</v>
      </c>
    </row>
    <row r="24" spans="1:11">
      <c r="A24" s="45" t="s">
        <v>263</v>
      </c>
      <c r="B24" s="49" t="s">
        <v>159</v>
      </c>
      <c r="F24" s="57"/>
      <c r="G24" s="57"/>
      <c r="H24" s="347"/>
      <c r="I24" s="167">
        <v>0</v>
      </c>
      <c r="J24" s="347"/>
      <c r="K24" s="348">
        <v>3947</v>
      </c>
    </row>
    <row r="25" spans="1:11">
      <c r="A25" s="45" t="s">
        <v>264</v>
      </c>
      <c r="B25" s="49" t="s">
        <v>160</v>
      </c>
      <c r="F25" s="57">
        <v>58</v>
      </c>
      <c r="G25" s="57">
        <v>171</v>
      </c>
      <c r="H25" s="347">
        <v>7743</v>
      </c>
      <c r="I25" s="167">
        <v>2988.7980000000002</v>
      </c>
      <c r="J25" s="347"/>
      <c r="K25" s="348">
        <v>10731.798000000001</v>
      </c>
    </row>
    <row r="26" spans="1:11">
      <c r="A26" s="45" t="s">
        <v>265</v>
      </c>
      <c r="B26" s="49" t="s">
        <v>161</v>
      </c>
      <c r="F26" s="57">
        <v>19</v>
      </c>
      <c r="G26" s="57">
        <v>345</v>
      </c>
      <c r="H26" s="347">
        <v>4289</v>
      </c>
      <c r="I26" s="167">
        <v>1655.5540000000001</v>
      </c>
      <c r="J26" s="347"/>
      <c r="K26" s="348">
        <v>5944.5540000000001</v>
      </c>
    </row>
    <row r="27" spans="1:11">
      <c r="A27" s="45" t="s">
        <v>266</v>
      </c>
      <c r="B27" s="49" t="s">
        <v>162</v>
      </c>
      <c r="F27" s="57"/>
      <c r="G27" s="57"/>
      <c r="H27" s="347"/>
      <c r="I27" s="167">
        <v>0</v>
      </c>
      <c r="J27" s="347"/>
      <c r="K27" s="348">
        <v>0</v>
      </c>
    </row>
    <row r="28" spans="1:11">
      <c r="A28" s="45" t="s">
        <v>267</v>
      </c>
      <c r="B28" s="49" t="s">
        <v>163</v>
      </c>
      <c r="F28" s="57"/>
      <c r="G28" s="57"/>
      <c r="H28" s="347"/>
      <c r="I28" s="167">
        <v>0</v>
      </c>
      <c r="J28" s="347"/>
      <c r="K28" s="348">
        <v>0</v>
      </c>
    </row>
    <row r="29" spans="1:11">
      <c r="A29" s="45" t="s">
        <v>268</v>
      </c>
      <c r="B29" s="49" t="s">
        <v>165</v>
      </c>
      <c r="F29" s="57">
        <v>84</v>
      </c>
      <c r="G29" s="57">
        <v>282</v>
      </c>
      <c r="H29" s="347">
        <v>1782</v>
      </c>
      <c r="I29" s="167">
        <v>687.85199999999998</v>
      </c>
      <c r="J29" s="347"/>
      <c r="K29" s="348">
        <v>2469.8519999999999</v>
      </c>
    </row>
    <row r="30" spans="1:11">
      <c r="A30" s="45" t="s">
        <v>269</v>
      </c>
      <c r="B30" s="814"/>
      <c r="C30" s="815"/>
      <c r="D30" s="816"/>
      <c r="F30" s="57"/>
      <c r="G30" s="57">
        <v>772</v>
      </c>
      <c r="H30" s="347">
        <v>2015</v>
      </c>
      <c r="I30" s="167">
        <v>777.79</v>
      </c>
      <c r="J30" s="347"/>
      <c r="K30" s="348">
        <v>2792.79</v>
      </c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>
        <v>0</v>
      </c>
      <c r="J31" s="347"/>
      <c r="K31" s="348">
        <v>0</v>
      </c>
    </row>
    <row r="32" spans="1:11">
      <c r="A32" s="45" t="s">
        <v>271</v>
      </c>
      <c r="B32" s="483"/>
      <c r="C32" s="484"/>
      <c r="D32" s="485"/>
      <c r="F32" s="57"/>
      <c r="G32" s="57" t="s">
        <v>272</v>
      </c>
      <c r="H32" s="347"/>
      <c r="I32" s="167">
        <v>0</v>
      </c>
      <c r="J32" s="347"/>
      <c r="K32" s="348">
        <v>0</v>
      </c>
    </row>
    <row r="33" spans="1:11">
      <c r="A33" s="45" t="s">
        <v>273</v>
      </c>
      <c r="B33" s="483"/>
      <c r="C33" s="484"/>
      <c r="D33" s="485"/>
      <c r="F33" s="57"/>
      <c r="G33" s="57" t="s">
        <v>272</v>
      </c>
      <c r="H33" s="347"/>
      <c r="I33" s="167">
        <v>0</v>
      </c>
      <c r="J33" s="347"/>
      <c r="K33" s="348">
        <v>0</v>
      </c>
    </row>
    <row r="34" spans="1:11">
      <c r="A34" s="45" t="s">
        <v>274</v>
      </c>
      <c r="B34" s="814"/>
      <c r="C34" s="815"/>
      <c r="D34" s="816"/>
      <c r="F34" s="57"/>
      <c r="G34" s="57" t="s">
        <v>272</v>
      </c>
      <c r="H34" s="347"/>
      <c r="I34" s="167">
        <v>0</v>
      </c>
      <c r="J34" s="347"/>
      <c r="K34" s="348">
        <v>0</v>
      </c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v>161</v>
      </c>
      <c r="G36" s="350">
        <v>1570</v>
      </c>
      <c r="H36" s="348">
        <v>15829</v>
      </c>
      <c r="I36" s="348">
        <v>6109.9940000000006</v>
      </c>
      <c r="J36" s="348">
        <v>0</v>
      </c>
      <c r="K36" s="348">
        <v>25885.993999999999</v>
      </c>
    </row>
    <row r="37" spans="1:11" ht="13.5" thickBot="1">
      <c r="B37" s="43"/>
      <c r="F37" s="351"/>
      <c r="G37" s="351"/>
      <c r="H37" s="352"/>
      <c r="I37" s="352"/>
      <c r="J37" s="352"/>
      <c r="K37" s="353"/>
    </row>
    <row r="38" spans="1:11" ht="25.5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/>
      <c r="G40" s="57"/>
      <c r="H40" s="347"/>
      <c r="I40" s="167">
        <v>0</v>
      </c>
      <c r="J40" s="347"/>
      <c r="K40" s="348">
        <v>0</v>
      </c>
    </row>
    <row r="41" spans="1:11">
      <c r="A41" s="45" t="s">
        <v>278</v>
      </c>
      <c r="B41" s="818" t="s">
        <v>172</v>
      </c>
      <c r="C41" s="818"/>
      <c r="F41" s="57"/>
      <c r="G41" s="57"/>
      <c r="H41" s="347"/>
      <c r="I41" s="167">
        <v>0</v>
      </c>
      <c r="J41" s="347"/>
      <c r="K41" s="348">
        <v>0</v>
      </c>
    </row>
    <row r="42" spans="1:11">
      <c r="A42" s="45" t="s">
        <v>279</v>
      </c>
      <c r="B42" s="49" t="s">
        <v>174</v>
      </c>
      <c r="F42" s="57"/>
      <c r="G42" s="57"/>
      <c r="H42" s="347"/>
      <c r="I42" s="167">
        <v>0</v>
      </c>
      <c r="J42" s="347"/>
      <c r="K42" s="348">
        <v>0</v>
      </c>
    </row>
    <row r="43" spans="1:11">
      <c r="A43" s="45" t="s">
        <v>280</v>
      </c>
      <c r="B43" s="49" t="s">
        <v>176</v>
      </c>
      <c r="F43" s="57"/>
      <c r="G43" s="57"/>
      <c r="H43" s="347"/>
      <c r="I43" s="167">
        <v>0</v>
      </c>
      <c r="J43" s="347"/>
      <c r="K43" s="348">
        <v>0</v>
      </c>
    </row>
    <row r="44" spans="1:11">
      <c r="A44" s="45" t="s">
        <v>281</v>
      </c>
      <c r="B44" s="814"/>
      <c r="C44" s="815"/>
      <c r="D44" s="816"/>
      <c r="F44" s="57">
        <v>8</v>
      </c>
      <c r="G44" s="57">
        <v>1</v>
      </c>
      <c r="H44" s="347">
        <v>304</v>
      </c>
      <c r="I44" s="167">
        <v>0</v>
      </c>
      <c r="J44" s="347"/>
      <c r="K44" s="354">
        <v>304</v>
      </c>
    </row>
    <row r="45" spans="1:11">
      <c r="A45" s="45" t="s">
        <v>283</v>
      </c>
      <c r="B45" s="814"/>
      <c r="C45" s="815"/>
      <c r="D45" s="816"/>
      <c r="F45" s="57">
        <v>766</v>
      </c>
      <c r="G45" s="57"/>
      <c r="H45" s="347">
        <v>19993</v>
      </c>
      <c r="I45" s="167">
        <v>0</v>
      </c>
      <c r="J45" s="347"/>
      <c r="K45" s="348">
        <v>19993</v>
      </c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>
        <v>0</v>
      </c>
      <c r="J46" s="347"/>
      <c r="K46" s="348">
        <v>0</v>
      </c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>
        <v>0</v>
      </c>
      <c r="J47" s="347"/>
      <c r="K47" s="348">
        <v>0</v>
      </c>
    </row>
    <row r="49" spans="1:11">
      <c r="A49" s="48" t="s">
        <v>286</v>
      </c>
      <c r="B49" s="43" t="s">
        <v>177</v>
      </c>
      <c r="E49" s="43" t="s">
        <v>276</v>
      </c>
      <c r="F49" s="355">
        <v>774</v>
      </c>
      <c r="G49" s="355">
        <v>1</v>
      </c>
      <c r="H49" s="348">
        <v>20297</v>
      </c>
      <c r="I49" s="348">
        <v>0</v>
      </c>
      <c r="J49" s="348">
        <v>0</v>
      </c>
      <c r="K49" s="348">
        <v>20297</v>
      </c>
    </row>
    <row r="50" spans="1:11" ht="13.5" thickBot="1">
      <c r="G50" s="356"/>
      <c r="H50" s="352"/>
      <c r="I50" s="352"/>
      <c r="J50" s="352"/>
      <c r="K50" s="352"/>
    </row>
    <row r="51" spans="1:11" ht="25.5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22"/>
      <c r="C53" s="867" t="s">
        <v>180</v>
      </c>
      <c r="D53" s="865" t="s">
        <v>180</v>
      </c>
      <c r="F53" s="57">
        <v>250</v>
      </c>
      <c r="G53" s="57">
        <v>247</v>
      </c>
      <c r="H53" s="347">
        <v>7500</v>
      </c>
      <c r="I53" s="167">
        <v>0</v>
      </c>
      <c r="J53" s="347"/>
      <c r="K53" s="348">
        <v>7500</v>
      </c>
    </row>
    <row r="54" spans="1:11">
      <c r="A54" s="45" t="s">
        <v>289</v>
      </c>
      <c r="B54" s="489"/>
      <c r="C54" s="490"/>
      <c r="D54" s="488"/>
      <c r="F54" s="57"/>
      <c r="G54" s="57"/>
      <c r="H54" s="347"/>
      <c r="I54" s="167">
        <v>0</v>
      </c>
      <c r="J54" s="347"/>
      <c r="K54" s="348">
        <v>0</v>
      </c>
    </row>
    <row r="55" spans="1:11">
      <c r="A55" s="45" t="s">
        <v>291</v>
      </c>
      <c r="B55" s="817"/>
      <c r="C55" s="864" t="s">
        <v>530</v>
      </c>
      <c r="D55" s="865" t="s">
        <v>530</v>
      </c>
      <c r="F55" s="57"/>
      <c r="G55" s="57"/>
      <c r="H55" s="347"/>
      <c r="I55" s="167">
        <v>0</v>
      </c>
      <c r="J55" s="347"/>
      <c r="K55" s="348">
        <v>0</v>
      </c>
    </row>
    <row r="56" spans="1:11">
      <c r="A56" s="45" t="s">
        <v>293</v>
      </c>
      <c r="B56" s="817"/>
      <c r="C56" s="864" t="s">
        <v>427</v>
      </c>
      <c r="D56" s="865" t="s">
        <v>427</v>
      </c>
      <c r="F56" s="57"/>
      <c r="G56" s="57"/>
      <c r="H56" s="347"/>
      <c r="I56" s="167">
        <v>0</v>
      </c>
      <c r="J56" s="347"/>
      <c r="K56" s="348">
        <v>0</v>
      </c>
    </row>
    <row r="57" spans="1:11">
      <c r="A57" s="45" t="s">
        <v>295</v>
      </c>
      <c r="B57" s="817"/>
      <c r="C57" s="864" t="s">
        <v>546</v>
      </c>
      <c r="D57" s="865" t="s">
        <v>546</v>
      </c>
      <c r="F57" s="70"/>
      <c r="G57" s="57"/>
      <c r="H57" s="347"/>
      <c r="I57" s="167">
        <v>0</v>
      </c>
      <c r="J57" s="347"/>
      <c r="K57" s="348">
        <v>0</v>
      </c>
    </row>
    <row r="58" spans="1:11">
      <c r="A58" s="45" t="s">
        <v>298</v>
      </c>
      <c r="B58" s="489"/>
      <c r="C58" s="490"/>
      <c r="D58" s="488"/>
      <c r="F58" s="70"/>
      <c r="G58" s="70"/>
      <c r="H58" s="347"/>
      <c r="I58" s="167">
        <v>0</v>
      </c>
      <c r="J58" s="347"/>
      <c r="K58" s="348">
        <v>0</v>
      </c>
    </row>
    <row r="59" spans="1:11">
      <c r="A59" s="45" t="s">
        <v>300</v>
      </c>
      <c r="B59" s="817"/>
      <c r="C59" s="864"/>
      <c r="D59" s="865"/>
      <c r="F59" s="70"/>
      <c r="G59" s="70"/>
      <c r="H59" s="347"/>
      <c r="I59" s="167">
        <v>0</v>
      </c>
      <c r="J59" s="347"/>
      <c r="K59" s="348">
        <v>0</v>
      </c>
    </row>
    <row r="60" spans="1:11">
      <c r="A60" s="45" t="s">
        <v>302</v>
      </c>
      <c r="B60" s="489"/>
      <c r="C60" s="490"/>
      <c r="D60" s="488"/>
      <c r="F60" s="57"/>
      <c r="G60" s="57"/>
      <c r="H60" s="347"/>
      <c r="I60" s="167">
        <v>0</v>
      </c>
      <c r="J60" s="347"/>
      <c r="K60" s="348">
        <v>0</v>
      </c>
    </row>
    <row r="61" spans="1:11">
      <c r="A61" s="45" t="s">
        <v>303</v>
      </c>
      <c r="B61" s="489"/>
      <c r="C61" s="490"/>
      <c r="D61" s="488"/>
      <c r="F61" s="57"/>
      <c r="G61" s="57"/>
      <c r="H61" s="347"/>
      <c r="I61" s="167">
        <v>0</v>
      </c>
      <c r="J61" s="347"/>
      <c r="K61" s="348">
        <v>0</v>
      </c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>
        <v>0</v>
      </c>
      <c r="J62" s="347"/>
      <c r="K62" s="348">
        <v>0</v>
      </c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v>250</v>
      </c>
      <c r="G64" s="350">
        <v>247</v>
      </c>
      <c r="H64" s="348">
        <v>7500</v>
      </c>
      <c r="I64" s="348">
        <v>0</v>
      </c>
      <c r="J64" s="348">
        <v>0</v>
      </c>
      <c r="K64" s="348">
        <v>7500</v>
      </c>
    </row>
    <row r="65" spans="1:11">
      <c r="F65" s="358"/>
      <c r="G65" s="358"/>
      <c r="H65" s="394"/>
      <c r="I65" s="394"/>
      <c r="J65" s="394"/>
      <c r="K65" s="394"/>
    </row>
    <row r="66" spans="1:11" ht="25.5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/>
      <c r="G68" s="362"/>
      <c r="H68" s="347"/>
      <c r="I68" s="167">
        <v>0</v>
      </c>
      <c r="J68" s="347"/>
      <c r="K68" s="348">
        <v>0</v>
      </c>
    </row>
    <row r="69" spans="1:11">
      <c r="A69" s="45" t="s">
        <v>307</v>
      </c>
      <c r="B69" s="49" t="s">
        <v>190</v>
      </c>
      <c r="F69" s="362"/>
      <c r="G69" s="362"/>
      <c r="H69" s="347"/>
      <c r="I69" s="167">
        <v>0</v>
      </c>
      <c r="J69" s="347"/>
      <c r="K69" s="348">
        <v>0</v>
      </c>
    </row>
    <row r="70" spans="1:11">
      <c r="A70" s="45" t="s">
        <v>308</v>
      </c>
      <c r="B70" s="489"/>
      <c r="C70" s="490"/>
      <c r="D70" s="488"/>
      <c r="E70" s="43"/>
      <c r="F70" s="364"/>
      <c r="G70" s="364"/>
      <c r="H70" s="363"/>
      <c r="I70" s="167">
        <v>0</v>
      </c>
      <c r="J70" s="363"/>
      <c r="K70" s="348">
        <v>0</v>
      </c>
    </row>
    <row r="71" spans="1:11">
      <c r="A71" s="45" t="s">
        <v>309</v>
      </c>
      <c r="B71" s="489"/>
      <c r="C71" s="490"/>
      <c r="D71" s="488"/>
      <c r="E71" s="43"/>
      <c r="F71" s="364"/>
      <c r="G71" s="364"/>
      <c r="H71" s="363"/>
      <c r="I71" s="167">
        <v>0</v>
      </c>
      <c r="J71" s="363"/>
      <c r="K71" s="348">
        <v>0</v>
      </c>
    </row>
    <row r="72" spans="1:11">
      <c r="A72" s="45" t="s">
        <v>310</v>
      </c>
      <c r="B72" s="486"/>
      <c r="C72" s="487"/>
      <c r="D72" s="365"/>
      <c r="E72" s="43"/>
      <c r="F72" s="57"/>
      <c r="G72" s="57"/>
      <c r="H72" s="347"/>
      <c r="I72" s="167">
        <v>0</v>
      </c>
      <c r="J72" s="347"/>
      <c r="K72" s="348">
        <v>0</v>
      </c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v>0</v>
      </c>
      <c r="G74" s="368">
        <v>0</v>
      </c>
      <c r="H74" s="354">
        <v>0</v>
      </c>
      <c r="I74" s="370">
        <v>0</v>
      </c>
      <c r="J74" s="354">
        <v>0</v>
      </c>
      <c r="K74" s="354">
        <v>0</v>
      </c>
    </row>
    <row r="75" spans="1:11" ht="25.5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/>
      <c r="G77" s="57"/>
      <c r="H77" s="347"/>
      <c r="I77" s="167">
        <v>0</v>
      </c>
      <c r="J77" s="347"/>
      <c r="K77" s="348">
        <v>0</v>
      </c>
    </row>
    <row r="78" spans="1:11">
      <c r="A78" s="45" t="s">
        <v>313</v>
      </c>
      <c r="B78" s="49" t="s">
        <v>197</v>
      </c>
      <c r="F78" s="57"/>
      <c r="G78" s="57"/>
      <c r="H78" s="347"/>
      <c r="I78" s="167">
        <v>0</v>
      </c>
      <c r="J78" s="347"/>
      <c r="K78" s="348">
        <v>0</v>
      </c>
    </row>
    <row r="79" spans="1:11">
      <c r="A79" s="45" t="s">
        <v>314</v>
      </c>
      <c r="B79" s="49" t="s">
        <v>199</v>
      </c>
      <c r="F79" s="57">
        <v>2</v>
      </c>
      <c r="G79" s="57"/>
      <c r="H79" s="347">
        <v>1413</v>
      </c>
      <c r="I79" s="167">
        <v>0</v>
      </c>
      <c r="J79" s="347"/>
      <c r="K79" s="348">
        <v>1413</v>
      </c>
    </row>
    <row r="80" spans="1:11">
      <c r="A80" s="45" t="s">
        <v>315</v>
      </c>
      <c r="B80" s="49" t="s">
        <v>316</v>
      </c>
      <c r="F80" s="57"/>
      <c r="G80" s="57"/>
      <c r="H80" s="347"/>
      <c r="I80" s="167">
        <v>0</v>
      </c>
      <c r="J80" s="347"/>
      <c r="K80" s="348">
        <v>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v>2</v>
      </c>
      <c r="G82" s="455">
        <v>0</v>
      </c>
      <c r="H82" s="354">
        <v>1413</v>
      </c>
      <c r="I82" s="354">
        <v>0</v>
      </c>
      <c r="J82" s="354">
        <v>0</v>
      </c>
      <c r="K82" s="354">
        <v>1413</v>
      </c>
    </row>
    <row r="83" spans="1:11" ht="13.5" thickBot="1">
      <c r="A83" s="45"/>
      <c r="F83" s="356"/>
      <c r="G83" s="356"/>
      <c r="H83" s="352"/>
      <c r="I83" s="352"/>
      <c r="J83" s="352"/>
      <c r="K83" s="352"/>
    </row>
    <row r="84" spans="1:11" ht="25.5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/>
      <c r="G86" s="57"/>
      <c r="H86" s="347"/>
      <c r="I86" s="167">
        <v>0</v>
      </c>
      <c r="J86" s="347"/>
      <c r="K86" s="348">
        <v>0</v>
      </c>
    </row>
    <row r="87" spans="1:11">
      <c r="A87" s="45" t="s">
        <v>320</v>
      </c>
      <c r="B87" s="49" t="s">
        <v>206</v>
      </c>
      <c r="F87" s="57"/>
      <c r="G87" s="57"/>
      <c r="H87" s="347"/>
      <c r="I87" s="167">
        <v>0</v>
      </c>
      <c r="J87" s="347"/>
      <c r="K87" s="348">
        <v>0</v>
      </c>
    </row>
    <row r="88" spans="1:11">
      <c r="A88" s="45" t="s">
        <v>321</v>
      </c>
      <c r="B88" s="49" t="s">
        <v>208</v>
      </c>
      <c r="F88" s="57"/>
      <c r="G88" s="57"/>
      <c r="H88" s="347"/>
      <c r="I88" s="167">
        <v>0</v>
      </c>
      <c r="J88" s="347"/>
      <c r="K88" s="348">
        <v>0</v>
      </c>
    </row>
    <row r="89" spans="1:11">
      <c r="A89" s="45" t="s">
        <v>322</v>
      </c>
      <c r="B89" s="49" t="s">
        <v>210</v>
      </c>
      <c r="F89" s="57"/>
      <c r="G89" s="57"/>
      <c r="H89" s="347"/>
      <c r="I89" s="167">
        <v>0</v>
      </c>
      <c r="J89" s="347"/>
      <c r="K89" s="348">
        <v>0</v>
      </c>
    </row>
    <row r="90" spans="1:11">
      <c r="A90" s="45" t="s">
        <v>323</v>
      </c>
      <c r="B90" s="818" t="s">
        <v>212</v>
      </c>
      <c r="C90" s="818"/>
      <c r="F90" s="57"/>
      <c r="G90" s="57"/>
      <c r="H90" s="347"/>
      <c r="I90" s="167">
        <v>0</v>
      </c>
      <c r="J90" s="347"/>
      <c r="K90" s="348">
        <v>0</v>
      </c>
    </row>
    <row r="91" spans="1:11">
      <c r="A91" s="45" t="s">
        <v>324</v>
      </c>
      <c r="B91" s="49" t="s">
        <v>214</v>
      </c>
      <c r="F91" s="57"/>
      <c r="G91" s="57"/>
      <c r="H91" s="347"/>
      <c r="I91" s="167">
        <v>0</v>
      </c>
      <c r="J91" s="347"/>
      <c r="K91" s="348">
        <v>0</v>
      </c>
    </row>
    <row r="92" spans="1:11">
      <c r="A92" s="45" t="s">
        <v>325</v>
      </c>
      <c r="B92" s="49" t="s">
        <v>216</v>
      </c>
      <c r="F92" s="372"/>
      <c r="G92" s="372"/>
      <c r="H92" s="373"/>
      <c r="I92" s="167">
        <v>0</v>
      </c>
      <c r="J92" s="373"/>
      <c r="K92" s="348">
        <v>0</v>
      </c>
    </row>
    <row r="93" spans="1:11">
      <c r="A93" s="45" t="s">
        <v>326</v>
      </c>
      <c r="B93" s="49" t="s">
        <v>218</v>
      </c>
      <c r="F93" s="57"/>
      <c r="G93" s="57"/>
      <c r="H93" s="347"/>
      <c r="I93" s="167">
        <v>0</v>
      </c>
      <c r="J93" s="347"/>
      <c r="K93" s="348">
        <v>0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>
        <v>0</v>
      </c>
      <c r="J94" s="347"/>
      <c r="K94" s="348">
        <v>0</v>
      </c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>
        <v>0</v>
      </c>
      <c r="J95" s="347"/>
      <c r="K95" s="348">
        <v>0</v>
      </c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>
        <v>0</v>
      </c>
      <c r="J96" s="347"/>
      <c r="K96" s="348">
        <v>0</v>
      </c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v>0</v>
      </c>
      <c r="G98" s="350">
        <v>0</v>
      </c>
      <c r="H98" s="348">
        <v>0</v>
      </c>
      <c r="I98" s="348">
        <v>0</v>
      </c>
      <c r="J98" s="348">
        <v>0</v>
      </c>
      <c r="K98" s="348">
        <v>0</v>
      </c>
    </row>
    <row r="99" spans="1:11" ht="13.5" thickBot="1">
      <c r="B99" s="43"/>
      <c r="F99" s="356"/>
      <c r="G99" s="356"/>
      <c r="H99" s="352"/>
      <c r="I99" s="352"/>
      <c r="J99" s="352"/>
      <c r="K99" s="352"/>
    </row>
    <row r="100" spans="1:11" ht="25.5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36</v>
      </c>
      <c r="G102" s="57"/>
      <c r="H102" s="347">
        <v>956</v>
      </c>
      <c r="I102" s="167">
        <v>369.01600000000002</v>
      </c>
      <c r="J102" s="347"/>
      <c r="K102" s="348">
        <v>1325.0160000000001</v>
      </c>
    </row>
    <row r="103" spans="1:11">
      <c r="A103" s="45" t="s">
        <v>333</v>
      </c>
      <c r="B103" s="818" t="s">
        <v>226</v>
      </c>
      <c r="C103" s="818"/>
      <c r="F103" s="57">
        <v>40</v>
      </c>
      <c r="G103" s="57"/>
      <c r="H103" s="347">
        <v>962</v>
      </c>
      <c r="I103" s="167">
        <v>371.33199999999999</v>
      </c>
      <c r="J103" s="347"/>
      <c r="K103" s="348">
        <v>1333.3319999999999</v>
      </c>
    </row>
    <row r="104" spans="1:11">
      <c r="A104" s="45" t="s">
        <v>334</v>
      </c>
      <c r="B104" s="817"/>
      <c r="C104" s="864"/>
      <c r="D104" s="865"/>
      <c r="F104" s="57"/>
      <c r="G104" s="57"/>
      <c r="H104" s="347"/>
      <c r="I104" s="167">
        <v>0</v>
      </c>
      <c r="J104" s="347"/>
      <c r="K104" s="348">
        <v>0</v>
      </c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>
        <v>0</v>
      </c>
      <c r="J105" s="347"/>
      <c r="K105" s="348">
        <v>0</v>
      </c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>
        <v>0</v>
      </c>
      <c r="J106" s="347"/>
      <c r="K106" s="348">
        <v>0</v>
      </c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v>76</v>
      </c>
      <c r="G108" s="350">
        <v>0</v>
      </c>
      <c r="H108" s="348">
        <v>1918</v>
      </c>
      <c r="I108" s="348">
        <v>740.34799999999996</v>
      </c>
      <c r="J108" s="348">
        <v>0</v>
      </c>
      <c r="K108" s="348">
        <v>2658.348</v>
      </c>
    </row>
    <row r="109" spans="1:11" ht="13.5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633321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0.38600000000000001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15703349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99602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v>15802951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15337808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465143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35298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429845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5.5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/>
      <c r="G131" s="57"/>
      <c r="H131" s="347"/>
      <c r="I131" s="167">
        <v>0</v>
      </c>
      <c r="J131" s="347"/>
      <c r="K131" s="348">
        <v>0</v>
      </c>
    </row>
    <row r="132" spans="1:11">
      <c r="A132" s="45" t="s">
        <v>354</v>
      </c>
      <c r="B132" s="49" t="s">
        <v>128</v>
      </c>
      <c r="F132" s="57"/>
      <c r="G132" s="57"/>
      <c r="H132" s="347"/>
      <c r="I132" s="167">
        <v>0</v>
      </c>
      <c r="J132" s="347"/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>
        <v>0</v>
      </c>
      <c r="J133" s="347"/>
      <c r="K133" s="348">
        <v>0</v>
      </c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>
        <v>0</v>
      </c>
      <c r="J134" s="347"/>
      <c r="K134" s="348">
        <v>0</v>
      </c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>
        <v>0</v>
      </c>
      <c r="J135" s="347"/>
      <c r="K135" s="348">
        <v>0</v>
      </c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v>0</v>
      </c>
      <c r="G137" s="350">
        <v>0</v>
      </c>
      <c r="H137" s="348">
        <v>0</v>
      </c>
      <c r="I137" s="348">
        <v>0</v>
      </c>
      <c r="J137" s="348">
        <v>0</v>
      </c>
      <c r="K137" s="348">
        <v>0</v>
      </c>
    </row>
    <row r="138" spans="1:11">
      <c r="A138" s="49"/>
      <c r="H138" s="384"/>
      <c r="I138" s="384"/>
      <c r="J138" s="384"/>
      <c r="K138" s="384"/>
    </row>
    <row r="139" spans="1:11" ht="25.5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v>161</v>
      </c>
      <c r="G141" s="377">
        <v>1570</v>
      </c>
      <c r="H141" s="380">
        <v>15829</v>
      </c>
      <c r="I141" s="380">
        <v>6109.9940000000006</v>
      </c>
      <c r="J141" s="380">
        <v>0</v>
      </c>
      <c r="K141" s="380">
        <v>25885.993999999999</v>
      </c>
    </row>
    <row r="142" spans="1:11">
      <c r="A142" s="45" t="s">
        <v>286</v>
      </c>
      <c r="B142" s="43" t="s">
        <v>125</v>
      </c>
      <c r="F142" s="456">
        <v>774</v>
      </c>
      <c r="G142" s="456">
        <v>1</v>
      </c>
      <c r="H142" s="380">
        <v>20297</v>
      </c>
      <c r="I142" s="380">
        <v>0</v>
      </c>
      <c r="J142" s="380">
        <v>0</v>
      </c>
      <c r="K142" s="380">
        <v>20297</v>
      </c>
    </row>
    <row r="143" spans="1:11">
      <c r="A143" s="45" t="s">
        <v>305</v>
      </c>
      <c r="B143" s="43" t="s">
        <v>247</v>
      </c>
      <c r="F143" s="377">
        <v>250</v>
      </c>
      <c r="G143" s="377">
        <v>247</v>
      </c>
      <c r="H143" s="380">
        <v>7500</v>
      </c>
      <c r="I143" s="380">
        <v>0</v>
      </c>
      <c r="J143" s="380">
        <v>0</v>
      </c>
      <c r="K143" s="380">
        <v>7500</v>
      </c>
    </row>
    <row r="144" spans="1:11">
      <c r="A144" s="45" t="s">
        <v>311</v>
      </c>
      <c r="B144" s="43" t="s">
        <v>127</v>
      </c>
      <c r="F144" s="377">
        <v>0</v>
      </c>
      <c r="G144" s="377">
        <v>0</v>
      </c>
      <c r="H144" s="380">
        <v>0</v>
      </c>
      <c r="I144" s="380">
        <v>0</v>
      </c>
      <c r="J144" s="380">
        <v>0</v>
      </c>
      <c r="K144" s="380">
        <v>0</v>
      </c>
    </row>
    <row r="145" spans="1:11">
      <c r="A145" s="45" t="s">
        <v>317</v>
      </c>
      <c r="B145" s="43" t="s">
        <v>248</v>
      </c>
      <c r="F145" s="377">
        <v>2</v>
      </c>
      <c r="G145" s="377">
        <v>0</v>
      </c>
      <c r="H145" s="380">
        <v>1413</v>
      </c>
      <c r="I145" s="380">
        <v>0</v>
      </c>
      <c r="J145" s="380">
        <v>0</v>
      </c>
      <c r="K145" s="380">
        <v>1413</v>
      </c>
    </row>
    <row r="146" spans="1:11">
      <c r="A146" s="45" t="s">
        <v>331</v>
      </c>
      <c r="B146" s="43" t="s">
        <v>249</v>
      </c>
      <c r="F146" s="377">
        <v>0</v>
      </c>
      <c r="G146" s="377">
        <v>0</v>
      </c>
      <c r="H146" s="380">
        <v>0</v>
      </c>
      <c r="I146" s="380">
        <v>0</v>
      </c>
      <c r="J146" s="380">
        <v>0</v>
      </c>
      <c r="K146" s="380">
        <v>0</v>
      </c>
    </row>
    <row r="147" spans="1:11">
      <c r="A147" s="45" t="s">
        <v>338</v>
      </c>
      <c r="B147" s="43" t="s">
        <v>129</v>
      </c>
      <c r="F147" s="350">
        <v>76</v>
      </c>
      <c r="G147" s="350">
        <v>0</v>
      </c>
      <c r="H147" s="348">
        <v>1918</v>
      </c>
      <c r="I147" s="348">
        <v>740.34799999999996</v>
      </c>
      <c r="J147" s="348">
        <v>0</v>
      </c>
      <c r="K147" s="348">
        <v>2658.348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v>633321</v>
      </c>
    </row>
    <row r="149" spans="1:11">
      <c r="A149" s="45" t="s">
        <v>358</v>
      </c>
      <c r="B149" s="43" t="s">
        <v>250</v>
      </c>
      <c r="F149" s="350">
        <v>0</v>
      </c>
      <c r="G149" s="350">
        <v>0</v>
      </c>
      <c r="H149" s="348">
        <v>0</v>
      </c>
      <c r="I149" s="348">
        <v>0</v>
      </c>
      <c r="J149" s="348">
        <v>0</v>
      </c>
      <c r="K149" s="348"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v>454983</v>
      </c>
      <c r="I150" s="348">
        <v>0</v>
      </c>
      <c r="J150" s="348">
        <v>389067</v>
      </c>
      <c r="K150" s="348">
        <v>65916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v>1263</v>
      </c>
      <c r="G152" s="381">
        <v>1818</v>
      </c>
      <c r="H152" s="457">
        <v>501940</v>
      </c>
      <c r="I152" s="457">
        <v>6850.3420000000006</v>
      </c>
      <c r="J152" s="457">
        <v>389067</v>
      </c>
      <c r="K152" s="457">
        <v>756991.34199999995</v>
      </c>
    </row>
    <row r="154" spans="1:11">
      <c r="A154" s="48" t="s">
        <v>361</v>
      </c>
      <c r="B154" s="43" t="s">
        <v>252</v>
      </c>
      <c r="F154" s="459">
        <v>4.9354597606124678E-2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v>1.761079789226349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topLeftCell="A73" workbookViewId="0">
      <selection activeCell="B43" sqref="B43"/>
    </sheetView>
  </sheetViews>
  <sheetFormatPr defaultColWidth="8.85546875" defaultRowHeight="12.75"/>
  <cols>
    <col min="1" max="1" width="8.28515625" style="135" customWidth="1"/>
    <col min="2" max="2" width="55.42578125" style="49" bestFit="1" customWidth="1"/>
    <col min="3" max="3" width="9.42578125" style="49" customWidth="1"/>
    <col min="4" max="4" width="8.85546875" style="49"/>
    <col min="5" max="5" width="12.42578125" style="49" customWidth="1"/>
    <col min="6" max="6" width="18.42578125" style="49" customWidth="1"/>
    <col min="7" max="7" width="23.42578125" style="49" customWidth="1"/>
    <col min="8" max="8" width="17.140625" style="49" customWidth="1"/>
    <col min="9" max="9" width="21.140625" style="49" customWidth="1"/>
    <col min="10" max="10" width="19.85546875" style="49" customWidth="1"/>
    <col min="11" max="11" width="17.42578125" style="49" customWidth="1"/>
    <col min="12" max="16384" width="8.85546875" style="49"/>
  </cols>
  <sheetData>
    <row r="1" spans="1:11" ht="18" customHeight="1">
      <c r="C1" s="571"/>
      <c r="D1" s="435"/>
      <c r="E1" s="571"/>
      <c r="F1" s="571"/>
      <c r="G1" s="571"/>
      <c r="H1" s="571"/>
      <c r="I1" s="571"/>
      <c r="J1" s="571"/>
      <c r="K1" s="571"/>
    </row>
    <row r="2" spans="1:11" ht="18" customHeight="1">
      <c r="D2" s="543" t="s">
        <v>133</v>
      </c>
      <c r="E2" s="544"/>
      <c r="F2" s="544"/>
      <c r="G2" s="544"/>
      <c r="H2" s="544"/>
    </row>
    <row r="3" spans="1:11" ht="18" customHeight="1">
      <c r="B3" s="43" t="s">
        <v>134</v>
      </c>
    </row>
    <row r="5" spans="1:11" ht="18" customHeight="1">
      <c r="B5" s="45" t="s">
        <v>135</v>
      </c>
      <c r="C5" s="975" t="s">
        <v>637</v>
      </c>
      <c r="D5" s="976"/>
      <c r="E5" s="976"/>
      <c r="F5" s="976"/>
      <c r="G5" s="977"/>
    </row>
    <row r="6" spans="1:11" ht="18" customHeight="1">
      <c r="B6" s="45" t="s">
        <v>136</v>
      </c>
      <c r="C6" s="978" t="s">
        <v>638</v>
      </c>
      <c r="D6" s="979"/>
      <c r="E6" s="979"/>
      <c r="F6" s="979"/>
      <c r="G6" s="980"/>
    </row>
    <row r="7" spans="1:11" ht="18" customHeight="1">
      <c r="B7" s="45" t="s">
        <v>137</v>
      </c>
      <c r="C7" s="981">
        <v>2038</v>
      </c>
      <c r="D7" s="982"/>
      <c r="E7" s="982"/>
      <c r="F7" s="982"/>
      <c r="G7" s="983"/>
    </row>
    <row r="9" spans="1:11" ht="18" customHeight="1">
      <c r="B9" s="45" t="s">
        <v>138</v>
      </c>
      <c r="C9" s="975" t="s">
        <v>639</v>
      </c>
      <c r="D9" s="976"/>
      <c r="E9" s="976"/>
      <c r="F9" s="976"/>
      <c r="G9" s="977"/>
    </row>
    <row r="10" spans="1:11" ht="18" customHeight="1">
      <c r="B10" s="45" t="s">
        <v>140</v>
      </c>
      <c r="C10" s="984" t="s">
        <v>640</v>
      </c>
      <c r="D10" s="985"/>
      <c r="E10" s="985"/>
      <c r="F10" s="985"/>
      <c r="G10" s="986"/>
    </row>
    <row r="11" spans="1:11" ht="18" customHeight="1">
      <c r="B11" s="45" t="s">
        <v>142</v>
      </c>
      <c r="C11" s="973" t="s">
        <v>641</v>
      </c>
      <c r="D11" s="974"/>
      <c r="E11" s="974"/>
      <c r="F11" s="974"/>
      <c r="G11" s="974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548"/>
      <c r="C13" s="549"/>
      <c r="D13" s="549"/>
      <c r="E13" s="549"/>
      <c r="F13" s="549"/>
      <c r="G13" s="549"/>
      <c r="H13" s="550"/>
      <c r="I13" s="571"/>
    </row>
    <row r="14" spans="1:11" ht="18" customHeight="1">
      <c r="B14" s="46"/>
    </row>
    <row r="15" spans="1:11" ht="18" customHeight="1">
      <c r="B15" s="46"/>
    </row>
    <row r="16" spans="1:11" ht="45" customHeight="1">
      <c r="A16" s="435" t="s">
        <v>144</v>
      </c>
      <c r="B16" s="571"/>
      <c r="C16" s="571"/>
      <c r="D16" s="571"/>
      <c r="E16" s="57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1047231</v>
      </c>
      <c r="I18" s="167">
        <v>0</v>
      </c>
      <c r="J18" s="347">
        <v>0</v>
      </c>
      <c r="K18" s="348">
        <v>1047231</v>
      </c>
    </row>
    <row r="19" spans="1:11" ht="45" customHeight="1">
      <c r="A19" s="435" t="s">
        <v>154</v>
      </c>
      <c r="B19" s="571"/>
      <c r="C19" s="571"/>
      <c r="D19" s="571"/>
      <c r="E19" s="57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7">
        <v>11285.5</v>
      </c>
      <c r="G21" s="57">
        <v>937005</v>
      </c>
      <c r="H21" s="347">
        <v>1011850.7795754571</v>
      </c>
      <c r="I21" s="167">
        <v>736212.76867746003</v>
      </c>
      <c r="J21" s="347">
        <v>328940</v>
      </c>
      <c r="K21" s="348">
        <v>1419123.5482529171</v>
      </c>
    </row>
    <row r="22" spans="1:11" ht="18" customHeight="1">
      <c r="A22" s="45" t="s">
        <v>261</v>
      </c>
      <c r="B22" s="49" t="s">
        <v>157</v>
      </c>
      <c r="F22" s="57">
        <v>239</v>
      </c>
      <c r="G22" s="57">
        <v>796</v>
      </c>
      <c r="H22" s="347">
        <v>12812.994932373846</v>
      </c>
      <c r="I22" s="167">
        <v>9322.6102747789173</v>
      </c>
      <c r="J22" s="347">
        <v>0</v>
      </c>
      <c r="K22" s="348">
        <v>22135.605207152763</v>
      </c>
    </row>
    <row r="23" spans="1:11" ht="18" customHeight="1">
      <c r="A23" s="45" t="s">
        <v>262</v>
      </c>
      <c r="B23" s="49" t="s">
        <v>158</v>
      </c>
      <c r="F23" s="57">
        <v>189</v>
      </c>
      <c r="G23" s="57">
        <v>326</v>
      </c>
      <c r="H23" s="347">
        <v>13889.656792867308</v>
      </c>
      <c r="I23" s="167">
        <v>10105.978954472866</v>
      </c>
      <c r="J23" s="347">
        <v>6551</v>
      </c>
      <c r="K23" s="348">
        <v>17444.635747340173</v>
      </c>
    </row>
    <row r="24" spans="1:11" ht="18" customHeight="1">
      <c r="A24" s="45" t="s">
        <v>263</v>
      </c>
      <c r="B24" s="49" t="s">
        <v>159</v>
      </c>
      <c r="F24" s="57"/>
      <c r="G24" s="57"/>
      <c r="H24" s="347"/>
      <c r="I24" s="167">
        <v>0</v>
      </c>
      <c r="J24" s="347"/>
      <c r="K24" s="348">
        <v>0</v>
      </c>
    </row>
    <row r="25" spans="1:11" ht="18" customHeight="1">
      <c r="A25" s="45" t="s">
        <v>264</v>
      </c>
      <c r="B25" s="49" t="s">
        <v>160</v>
      </c>
      <c r="F25" s="57">
        <v>3322</v>
      </c>
      <c r="G25" s="57">
        <v>5731</v>
      </c>
      <c r="H25" s="347">
        <v>245901.72601111338</v>
      </c>
      <c r="I25" s="167">
        <v>178915.70000585006</v>
      </c>
      <c r="J25" s="347">
        <v>115084</v>
      </c>
      <c r="K25" s="348">
        <v>309733.42601696344</v>
      </c>
    </row>
    <row r="26" spans="1:11" ht="18" customHeight="1">
      <c r="A26" s="45" t="s">
        <v>265</v>
      </c>
      <c r="B26" s="49" t="s">
        <v>161</v>
      </c>
      <c r="F26" s="57">
        <v>20</v>
      </c>
      <c r="G26" s="57">
        <v>35</v>
      </c>
      <c r="H26" s="347">
        <v>723.62574596231116</v>
      </c>
      <c r="I26" s="167">
        <v>526.50304241968229</v>
      </c>
      <c r="J26" s="347">
        <v>0</v>
      </c>
      <c r="K26" s="348">
        <v>1250.1287883819934</v>
      </c>
    </row>
    <row r="27" spans="1:11" ht="18" customHeight="1">
      <c r="A27" s="45" t="s">
        <v>266</v>
      </c>
      <c r="B27" s="49" t="s">
        <v>162</v>
      </c>
      <c r="F27" s="57"/>
      <c r="G27" s="57"/>
      <c r="H27" s="347"/>
      <c r="I27" s="167">
        <v>0</v>
      </c>
      <c r="J27" s="347"/>
      <c r="K27" s="348">
        <v>0</v>
      </c>
    </row>
    <row r="28" spans="1:11" ht="18" customHeight="1">
      <c r="A28" s="45" t="s">
        <v>267</v>
      </c>
      <c r="B28" s="49" t="s">
        <v>163</v>
      </c>
      <c r="F28" s="57"/>
      <c r="G28" s="57"/>
      <c r="H28" s="347"/>
      <c r="I28" s="167">
        <v>0</v>
      </c>
      <c r="J28" s="347"/>
      <c r="K28" s="348">
        <v>0</v>
      </c>
    </row>
    <row r="29" spans="1:11" ht="18" customHeight="1">
      <c r="A29" s="45" t="s">
        <v>268</v>
      </c>
      <c r="B29" s="49" t="s">
        <v>165</v>
      </c>
      <c r="F29" s="57">
        <v>0</v>
      </c>
      <c r="G29" s="57">
        <v>0</v>
      </c>
      <c r="H29" s="347">
        <v>359473</v>
      </c>
      <c r="I29" s="167">
        <v>126659.63951514015</v>
      </c>
      <c r="J29" s="347">
        <v>0</v>
      </c>
      <c r="K29" s="348">
        <v>486132.63951514015</v>
      </c>
    </row>
    <row r="30" spans="1:11" ht="18" customHeight="1">
      <c r="A30" s="45" t="s">
        <v>269</v>
      </c>
      <c r="B30" s="536"/>
      <c r="C30" s="537"/>
      <c r="D30" s="538"/>
      <c r="F30" s="57"/>
      <c r="G30" s="57"/>
      <c r="H30" s="347"/>
      <c r="I30" s="167">
        <v>0</v>
      </c>
      <c r="J30" s="347"/>
      <c r="K30" s="348">
        <v>0</v>
      </c>
    </row>
    <row r="31" spans="1:11" ht="18" customHeight="1">
      <c r="A31" s="45" t="s">
        <v>270</v>
      </c>
      <c r="B31" s="536"/>
      <c r="C31" s="537"/>
      <c r="D31" s="538"/>
      <c r="F31" s="57"/>
      <c r="G31" s="57"/>
      <c r="H31" s="347"/>
      <c r="I31" s="167">
        <v>0</v>
      </c>
      <c r="J31" s="347"/>
      <c r="K31" s="348">
        <v>0</v>
      </c>
    </row>
    <row r="32" spans="1:11" ht="18" customHeight="1">
      <c r="A32" s="45" t="s">
        <v>271</v>
      </c>
      <c r="B32" s="536"/>
      <c r="C32" s="537"/>
      <c r="D32" s="538"/>
      <c r="F32" s="57"/>
      <c r="G32" s="57" t="s">
        <v>272</v>
      </c>
      <c r="H32" s="347"/>
      <c r="I32" s="167">
        <v>0</v>
      </c>
      <c r="J32" s="347"/>
      <c r="K32" s="348">
        <v>0</v>
      </c>
    </row>
    <row r="33" spans="1:11" ht="18" customHeight="1">
      <c r="A33" s="45" t="s">
        <v>273</v>
      </c>
      <c r="B33" s="536"/>
      <c r="C33" s="537"/>
      <c r="D33" s="538"/>
      <c r="F33" s="57"/>
      <c r="G33" s="57" t="s">
        <v>272</v>
      </c>
      <c r="H33" s="347"/>
      <c r="I33" s="167">
        <v>0</v>
      </c>
      <c r="J33" s="347"/>
      <c r="K33" s="348">
        <v>0</v>
      </c>
    </row>
    <row r="34" spans="1:11" ht="18" customHeight="1">
      <c r="A34" s="45" t="s">
        <v>274</v>
      </c>
      <c r="B34" s="536"/>
      <c r="C34" s="537"/>
      <c r="D34" s="538"/>
      <c r="F34" s="57"/>
      <c r="G34" s="57" t="s">
        <v>272</v>
      </c>
      <c r="H34" s="347"/>
      <c r="I34" s="167">
        <v>0</v>
      </c>
      <c r="J34" s="347"/>
      <c r="K34" s="348">
        <v>0</v>
      </c>
    </row>
    <row r="35" spans="1:11" ht="18" customHeight="1">
      <c r="K35" s="349"/>
    </row>
    <row r="36" spans="1:11" ht="18" customHeight="1">
      <c r="A36" s="48" t="s">
        <v>275</v>
      </c>
      <c r="B36" s="43" t="s">
        <v>166</v>
      </c>
      <c r="E36" s="43" t="s">
        <v>276</v>
      </c>
      <c r="F36" s="350">
        <v>15055.5</v>
      </c>
      <c r="G36" s="350">
        <v>943893</v>
      </c>
      <c r="H36" s="350">
        <v>1644651.783057774</v>
      </c>
      <c r="I36" s="348">
        <v>1061743.2004701216</v>
      </c>
      <c r="J36" s="348">
        <v>450575</v>
      </c>
      <c r="K36" s="348">
        <v>2255819.983527896</v>
      </c>
    </row>
    <row r="37" spans="1:11" ht="18" customHeight="1" thickBot="1">
      <c r="B37" s="43"/>
      <c r="F37" s="351"/>
      <c r="G37" s="351"/>
      <c r="H37" s="352"/>
      <c r="I37" s="352"/>
      <c r="J37" s="352"/>
      <c r="K37" s="353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9" t="s">
        <v>170</v>
      </c>
      <c r="F40" s="57"/>
      <c r="G40" s="57"/>
      <c r="H40" s="347"/>
      <c r="I40" s="167">
        <v>0</v>
      </c>
      <c r="J40" s="347"/>
      <c r="K40" s="348">
        <v>0</v>
      </c>
    </row>
    <row r="41" spans="1:11" ht="18" customHeight="1">
      <c r="A41" s="45" t="s">
        <v>278</v>
      </c>
      <c r="B41" s="540" t="s">
        <v>172</v>
      </c>
      <c r="C41" s="540"/>
      <c r="F41" s="57">
        <v>1128</v>
      </c>
      <c r="G41" s="57">
        <v>1</v>
      </c>
      <c r="H41" s="347">
        <v>56773.481425530757</v>
      </c>
      <c r="I41" s="167">
        <v>0</v>
      </c>
      <c r="J41" s="347">
        <v>0</v>
      </c>
      <c r="K41" s="348">
        <v>56773.481425530757</v>
      </c>
    </row>
    <row r="42" spans="1:11" ht="18" customHeight="1">
      <c r="A42" s="45" t="s">
        <v>279</v>
      </c>
      <c r="B42" s="49" t="s">
        <v>174</v>
      </c>
      <c r="F42" s="57">
        <v>4106</v>
      </c>
      <c r="G42" s="57">
        <v>42</v>
      </c>
      <c r="H42" s="347">
        <v>165912.45629674807</v>
      </c>
      <c r="I42" s="167">
        <v>0</v>
      </c>
      <c r="J42" s="347">
        <v>0</v>
      </c>
      <c r="K42" s="348">
        <v>165912.45629674807</v>
      </c>
    </row>
    <row r="43" spans="1:11" ht="18" customHeight="1">
      <c r="A43" s="45" t="s">
        <v>280</v>
      </c>
      <c r="B43" s="49" t="s">
        <v>176</v>
      </c>
      <c r="F43" s="57">
        <v>104</v>
      </c>
      <c r="G43" s="57">
        <v>0</v>
      </c>
      <c r="H43" s="347">
        <v>366283.90074769646</v>
      </c>
      <c r="I43" s="167">
        <v>0</v>
      </c>
      <c r="J43" s="347">
        <v>0</v>
      </c>
      <c r="K43" s="348">
        <v>366283.90074769646</v>
      </c>
    </row>
    <row r="44" spans="1:11" ht="18" customHeight="1">
      <c r="A44" s="45" t="s">
        <v>281</v>
      </c>
      <c r="B44" s="539" t="s">
        <v>872</v>
      </c>
      <c r="C44" s="559"/>
      <c r="D44" s="560"/>
      <c r="F44" s="57">
        <v>300</v>
      </c>
      <c r="G44" s="57">
        <v>15000</v>
      </c>
      <c r="H44" s="591">
        <v>10059.647928677052</v>
      </c>
      <c r="I44" s="167">
        <v>0</v>
      </c>
      <c r="J44" s="57">
        <v>0</v>
      </c>
      <c r="K44" s="354">
        <v>10059.647928677052</v>
      </c>
    </row>
    <row r="45" spans="1:11" ht="18" customHeight="1">
      <c r="A45" s="45" t="s">
        <v>283</v>
      </c>
      <c r="B45" s="536"/>
      <c r="C45" s="537"/>
      <c r="D45" s="538"/>
      <c r="F45" s="57"/>
      <c r="G45" s="57"/>
      <c r="H45" s="347"/>
      <c r="I45" s="167">
        <v>0</v>
      </c>
      <c r="J45" s="347"/>
      <c r="K45" s="348">
        <v>0</v>
      </c>
    </row>
    <row r="46" spans="1:11" ht="18" customHeight="1">
      <c r="A46" s="45" t="s">
        <v>284</v>
      </c>
      <c r="B46" s="536"/>
      <c r="C46" s="537"/>
      <c r="D46" s="538"/>
      <c r="F46" s="57"/>
      <c r="G46" s="57"/>
      <c r="H46" s="347"/>
      <c r="I46" s="167">
        <v>0</v>
      </c>
      <c r="J46" s="347"/>
      <c r="K46" s="348">
        <v>0</v>
      </c>
    </row>
    <row r="47" spans="1:11" ht="18" customHeight="1">
      <c r="A47" s="45" t="s">
        <v>285</v>
      </c>
      <c r="B47" s="536"/>
      <c r="C47" s="537"/>
      <c r="D47" s="538"/>
      <c r="F47" s="57"/>
      <c r="G47" s="57"/>
      <c r="H47" s="347"/>
      <c r="I47" s="167">
        <v>0</v>
      </c>
      <c r="J47" s="347"/>
      <c r="K47" s="348"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355">
        <v>5638</v>
      </c>
      <c r="G49" s="355">
        <v>15043</v>
      </c>
      <c r="H49" s="348">
        <v>599029.48639865231</v>
      </c>
      <c r="I49" s="348">
        <v>0</v>
      </c>
      <c r="J49" s="348">
        <v>0</v>
      </c>
      <c r="K49" s="348">
        <v>599029.48639865231</v>
      </c>
    </row>
    <row r="50" spans="1:11" ht="18" customHeight="1" thickBot="1">
      <c r="G50" s="356"/>
      <c r="H50" s="356"/>
      <c r="I50" s="356"/>
      <c r="J50" s="356"/>
      <c r="K50" s="356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541" t="s">
        <v>179</v>
      </c>
      <c r="C52" s="561"/>
    </row>
    <row r="53" spans="1:11" ht="18" customHeight="1">
      <c r="A53" s="45" t="s">
        <v>287</v>
      </c>
      <c r="B53" s="542" t="s">
        <v>642</v>
      </c>
      <c r="C53" s="562"/>
      <c r="D53" s="560"/>
      <c r="F53" s="57"/>
      <c r="G53" s="57"/>
      <c r="H53" s="347">
        <v>977107</v>
      </c>
      <c r="I53" s="167">
        <v>0</v>
      </c>
      <c r="J53" s="347">
        <v>0</v>
      </c>
      <c r="K53" s="348">
        <v>977107</v>
      </c>
    </row>
    <row r="54" spans="1:11" ht="18" customHeight="1">
      <c r="A54" s="45" t="s">
        <v>289</v>
      </c>
      <c r="B54" s="539" t="s">
        <v>643</v>
      </c>
      <c r="C54" s="559"/>
      <c r="D54" s="560"/>
      <c r="F54" s="57"/>
      <c r="G54" s="57"/>
      <c r="H54" s="347">
        <v>604220</v>
      </c>
      <c r="I54" s="167">
        <v>0</v>
      </c>
      <c r="J54" s="347">
        <v>0</v>
      </c>
      <c r="K54" s="348">
        <v>604220</v>
      </c>
    </row>
    <row r="55" spans="1:11" ht="18" customHeight="1">
      <c r="A55" s="45" t="s">
        <v>291</v>
      </c>
      <c r="B55" s="539" t="s">
        <v>644</v>
      </c>
      <c r="C55" s="559"/>
      <c r="D55" s="560"/>
      <c r="F55" s="57"/>
      <c r="G55" s="57"/>
      <c r="H55" s="347">
        <v>200000</v>
      </c>
      <c r="I55" s="167">
        <v>0</v>
      </c>
      <c r="J55" s="347">
        <v>0</v>
      </c>
      <c r="K55" s="348">
        <v>200000</v>
      </c>
    </row>
    <row r="56" spans="1:11" ht="18" customHeight="1">
      <c r="A56" s="45" t="s">
        <v>293</v>
      </c>
      <c r="B56" s="539" t="s">
        <v>645</v>
      </c>
      <c r="C56" s="559"/>
      <c r="D56" s="560"/>
      <c r="F56" s="57"/>
      <c r="G56" s="57"/>
      <c r="H56" s="347">
        <v>570496</v>
      </c>
      <c r="I56" s="167">
        <v>0</v>
      </c>
      <c r="J56" s="347">
        <v>0</v>
      </c>
      <c r="K56" s="348">
        <v>570496</v>
      </c>
    </row>
    <row r="57" spans="1:11" ht="18" customHeight="1">
      <c r="A57" s="45" t="s">
        <v>295</v>
      </c>
      <c r="B57" s="539" t="s">
        <v>646</v>
      </c>
      <c r="C57" s="559"/>
      <c r="D57" s="560"/>
      <c r="F57" s="57"/>
      <c r="G57" s="57"/>
      <c r="H57" s="347">
        <v>1470027</v>
      </c>
      <c r="I57" s="167">
        <v>0</v>
      </c>
      <c r="J57" s="347">
        <v>0</v>
      </c>
      <c r="K57" s="348">
        <v>1470027</v>
      </c>
    </row>
    <row r="58" spans="1:11" ht="18" customHeight="1">
      <c r="A58" s="45" t="s">
        <v>298</v>
      </c>
      <c r="B58" s="539" t="s">
        <v>647</v>
      </c>
      <c r="C58" s="559"/>
      <c r="D58" s="560"/>
      <c r="F58" s="57"/>
      <c r="G58" s="57"/>
      <c r="H58" s="347">
        <v>846932</v>
      </c>
      <c r="I58" s="167">
        <v>0</v>
      </c>
      <c r="J58" s="347">
        <v>0</v>
      </c>
      <c r="K58" s="348">
        <v>846932</v>
      </c>
    </row>
    <row r="59" spans="1:11" ht="18" customHeight="1">
      <c r="A59" s="45" t="s">
        <v>300</v>
      </c>
      <c r="B59" s="539" t="s">
        <v>648</v>
      </c>
      <c r="C59" s="559"/>
      <c r="D59" s="560"/>
      <c r="F59" s="57"/>
      <c r="G59" s="57"/>
      <c r="H59" s="347">
        <v>151900</v>
      </c>
      <c r="I59" s="167">
        <v>0</v>
      </c>
      <c r="J59" s="347">
        <v>0</v>
      </c>
      <c r="K59" s="348">
        <v>151900</v>
      </c>
    </row>
    <row r="60" spans="1:11" ht="18" customHeight="1">
      <c r="A60" s="45" t="s">
        <v>302</v>
      </c>
      <c r="B60" s="539" t="s">
        <v>649</v>
      </c>
      <c r="C60" s="559"/>
      <c r="D60" s="560"/>
      <c r="F60" s="57"/>
      <c r="G60" s="57"/>
      <c r="H60" s="347">
        <v>743473</v>
      </c>
      <c r="I60" s="167">
        <v>0</v>
      </c>
      <c r="J60" s="347">
        <v>0</v>
      </c>
      <c r="K60" s="348">
        <v>743473</v>
      </c>
    </row>
    <row r="61" spans="1:11" ht="18" customHeight="1">
      <c r="A61" s="45" t="s">
        <v>303</v>
      </c>
      <c r="B61" s="539" t="s">
        <v>650</v>
      </c>
      <c r="C61" s="559"/>
      <c r="D61" s="560"/>
      <c r="F61" s="57"/>
      <c r="G61" s="57"/>
      <c r="H61" s="347">
        <v>3170196</v>
      </c>
      <c r="I61" s="167">
        <v>0</v>
      </c>
      <c r="J61" s="347">
        <v>0</v>
      </c>
      <c r="K61" s="348">
        <v>3170196</v>
      </c>
    </row>
    <row r="62" spans="1:11" ht="18" customHeight="1">
      <c r="A62" s="45" t="s">
        <v>304</v>
      </c>
      <c r="B62" s="539" t="s">
        <v>651</v>
      </c>
      <c r="C62" s="559"/>
      <c r="D62" s="560"/>
      <c r="F62" s="57">
        <v>0</v>
      </c>
      <c r="G62" s="57">
        <v>433</v>
      </c>
      <c r="H62" s="347">
        <v>21320</v>
      </c>
      <c r="I62" s="167">
        <v>0</v>
      </c>
      <c r="J62" s="347">
        <v>0</v>
      </c>
      <c r="K62" s="348">
        <v>21320</v>
      </c>
    </row>
    <row r="63" spans="1:11" ht="18" customHeight="1">
      <c r="A63" s="45" t="s">
        <v>524</v>
      </c>
      <c r="B63" s="539" t="s">
        <v>652</v>
      </c>
      <c r="C63" s="559"/>
      <c r="D63" s="560"/>
      <c r="F63" s="57">
        <v>2288</v>
      </c>
      <c r="G63" s="57">
        <v>2228</v>
      </c>
      <c r="H63" s="347">
        <v>362967</v>
      </c>
      <c r="I63" s="167">
        <v>0</v>
      </c>
      <c r="J63" s="347">
        <v>0</v>
      </c>
      <c r="K63" s="348">
        <v>362967</v>
      </c>
    </row>
    <row r="64" spans="1:11" ht="18" customHeight="1">
      <c r="A64" s="45" t="s">
        <v>305</v>
      </c>
      <c r="B64" s="43" t="s">
        <v>184</v>
      </c>
      <c r="E64" s="43" t="s">
        <v>276</v>
      </c>
      <c r="F64" s="350">
        <v>2288</v>
      </c>
      <c r="G64" s="350">
        <v>2661</v>
      </c>
      <c r="H64" s="348">
        <v>9118638</v>
      </c>
      <c r="I64" s="348">
        <v>0</v>
      </c>
      <c r="J64" s="348">
        <v>0</v>
      </c>
      <c r="K64" s="348">
        <v>9118638</v>
      </c>
    </row>
    <row r="65" spans="1:11" ht="18" customHeight="1">
      <c r="F65" s="358"/>
      <c r="G65" s="358"/>
      <c r="H65" s="358"/>
      <c r="I65" s="358"/>
      <c r="J65" s="358"/>
      <c r="K65" s="358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359"/>
      <c r="G67" s="359"/>
      <c r="H67" s="359"/>
      <c r="I67" s="360"/>
      <c r="J67" s="359"/>
      <c r="K67" s="361"/>
    </row>
    <row r="68" spans="1:11" ht="18" customHeight="1">
      <c r="A68" s="45" t="s">
        <v>306</v>
      </c>
      <c r="B68" s="49" t="s">
        <v>188</v>
      </c>
      <c r="F68" s="362"/>
      <c r="G68" s="362"/>
      <c r="H68" s="592">
        <v>133616</v>
      </c>
      <c r="I68" s="167">
        <v>0</v>
      </c>
      <c r="J68" s="592">
        <v>0</v>
      </c>
      <c r="K68" s="348">
        <v>133616</v>
      </c>
    </row>
    <row r="69" spans="1:11" ht="18" customHeight="1">
      <c r="A69" s="45" t="s">
        <v>307</v>
      </c>
      <c r="B69" s="49" t="s">
        <v>190</v>
      </c>
      <c r="F69" s="362"/>
      <c r="G69" s="362"/>
      <c r="H69" s="362"/>
      <c r="I69" s="167">
        <v>0</v>
      </c>
      <c r="J69" s="362"/>
      <c r="K69" s="348">
        <v>0</v>
      </c>
    </row>
    <row r="70" spans="1:11" ht="18" customHeight="1">
      <c r="A70" s="45" t="s">
        <v>308</v>
      </c>
      <c r="B70" s="539"/>
      <c r="C70" s="559"/>
      <c r="D70" s="560"/>
      <c r="E70" s="43"/>
      <c r="F70" s="364"/>
      <c r="G70" s="364"/>
      <c r="H70" s="363"/>
      <c r="I70" s="167">
        <v>0</v>
      </c>
      <c r="J70" s="363"/>
      <c r="K70" s="348">
        <v>0</v>
      </c>
    </row>
    <row r="71" spans="1:11" ht="18" customHeight="1">
      <c r="A71" s="45" t="s">
        <v>309</v>
      </c>
      <c r="B71" s="539"/>
      <c r="C71" s="559"/>
      <c r="D71" s="560"/>
      <c r="E71" s="43"/>
      <c r="F71" s="364"/>
      <c r="G71" s="364"/>
      <c r="H71" s="363"/>
      <c r="I71" s="167">
        <v>0</v>
      </c>
      <c r="J71" s="363"/>
      <c r="K71" s="348">
        <v>0</v>
      </c>
    </row>
    <row r="72" spans="1:11" ht="18" customHeight="1">
      <c r="A72" s="45" t="s">
        <v>310</v>
      </c>
      <c r="B72" s="542"/>
      <c r="C72" s="562"/>
      <c r="D72" s="365"/>
      <c r="E72" s="43"/>
      <c r="F72" s="57"/>
      <c r="G72" s="57"/>
      <c r="H72" s="347"/>
      <c r="I72" s="167">
        <v>0</v>
      </c>
      <c r="J72" s="347"/>
      <c r="K72" s="348">
        <v>0</v>
      </c>
    </row>
    <row r="73" spans="1:11" ht="18" customHeight="1">
      <c r="A73" s="45"/>
      <c r="E73" s="43"/>
      <c r="F73" s="366"/>
      <c r="G73" s="366"/>
      <c r="H73" s="367"/>
      <c r="I73" s="360"/>
      <c r="J73" s="367"/>
      <c r="K73" s="361"/>
    </row>
    <row r="74" spans="1:11" ht="18" customHeight="1">
      <c r="A74" s="48" t="s">
        <v>311</v>
      </c>
      <c r="B74" s="43" t="s">
        <v>191</v>
      </c>
      <c r="E74" s="43" t="s">
        <v>276</v>
      </c>
      <c r="F74" s="368">
        <v>0</v>
      </c>
      <c r="G74" s="368">
        <v>0</v>
      </c>
      <c r="H74" s="368">
        <v>133616</v>
      </c>
      <c r="I74" s="370">
        <v>0</v>
      </c>
      <c r="J74" s="368">
        <v>0</v>
      </c>
      <c r="K74" s="354">
        <v>133616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7">
        <v>100</v>
      </c>
      <c r="G77" s="57">
        <v>20442</v>
      </c>
      <c r="H77" s="347">
        <v>245933.76738079946</v>
      </c>
      <c r="I77" s="167">
        <v>0</v>
      </c>
      <c r="J77" s="347">
        <v>0</v>
      </c>
      <c r="K77" s="348">
        <v>245933.76738079946</v>
      </c>
    </row>
    <row r="78" spans="1:11" ht="18" customHeight="1">
      <c r="A78" s="45" t="s">
        <v>313</v>
      </c>
      <c r="B78" s="49" t="s">
        <v>197</v>
      </c>
      <c r="F78" s="57"/>
      <c r="G78" s="57"/>
      <c r="H78" s="347"/>
      <c r="I78" s="167">
        <v>0</v>
      </c>
      <c r="J78" s="347"/>
      <c r="K78" s="348">
        <v>0</v>
      </c>
    </row>
    <row r="79" spans="1:11" ht="18" customHeight="1">
      <c r="A79" s="45" t="s">
        <v>314</v>
      </c>
      <c r="B79" s="49" t="s">
        <v>199</v>
      </c>
      <c r="F79" s="57">
        <v>549</v>
      </c>
      <c r="G79" s="57">
        <v>11475</v>
      </c>
      <c r="H79" s="347">
        <v>252331.68467427837</v>
      </c>
      <c r="I79" s="167">
        <v>0</v>
      </c>
      <c r="J79" s="347">
        <v>0</v>
      </c>
      <c r="K79" s="348">
        <v>252331.68467427837</v>
      </c>
    </row>
    <row r="80" spans="1:11" ht="18" customHeight="1">
      <c r="A80" s="45" t="s">
        <v>315</v>
      </c>
      <c r="B80" s="49" t="s">
        <v>316</v>
      </c>
      <c r="F80" s="57">
        <v>0</v>
      </c>
      <c r="G80" s="57">
        <v>0</v>
      </c>
      <c r="H80" s="347">
        <v>250000</v>
      </c>
      <c r="I80" s="167">
        <v>49821.398127927649</v>
      </c>
      <c r="J80" s="347">
        <v>0</v>
      </c>
      <c r="K80" s="348">
        <v>299821.39812792768</v>
      </c>
    </row>
    <row r="81" spans="1:11" ht="18" customHeight="1">
      <c r="A81" s="45"/>
      <c r="K81" s="371"/>
    </row>
    <row r="82" spans="1:11" ht="18" customHeight="1">
      <c r="A82" s="45" t="s">
        <v>317</v>
      </c>
      <c r="B82" s="43" t="s">
        <v>318</v>
      </c>
      <c r="E82" s="43" t="s">
        <v>276</v>
      </c>
      <c r="F82" s="368">
        <v>649</v>
      </c>
      <c r="G82" s="368">
        <v>31917</v>
      </c>
      <c r="H82" s="354">
        <v>748265.45205507777</v>
      </c>
      <c r="I82" s="354">
        <v>49821.398127927649</v>
      </c>
      <c r="J82" s="354">
        <v>0</v>
      </c>
      <c r="K82" s="354">
        <v>798086.85018300544</v>
      </c>
    </row>
    <row r="83" spans="1:11" ht="18" customHeight="1" thickBot="1">
      <c r="A83" s="45"/>
      <c r="F83" s="356"/>
      <c r="G83" s="356"/>
      <c r="H83" s="356"/>
      <c r="I83" s="356"/>
      <c r="J83" s="356"/>
      <c r="K83" s="356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7">
        <v>5</v>
      </c>
      <c r="G86" s="57">
        <v>300000</v>
      </c>
      <c r="H86" s="347">
        <v>104346.42841168123</v>
      </c>
      <c r="I86" s="167">
        <v>75921.444656889173</v>
      </c>
      <c r="J86" s="347">
        <v>0</v>
      </c>
      <c r="K86" s="348">
        <v>180267.87306857039</v>
      </c>
    </row>
    <row r="87" spans="1:11" ht="18" customHeight="1">
      <c r="A87" s="45" t="s">
        <v>320</v>
      </c>
      <c r="B87" s="49" t="s">
        <v>206</v>
      </c>
      <c r="F87" s="57"/>
      <c r="G87" s="57"/>
      <c r="H87" s="347"/>
      <c r="I87" s="167">
        <v>0</v>
      </c>
      <c r="J87" s="347"/>
      <c r="K87" s="348">
        <v>0</v>
      </c>
    </row>
    <row r="88" spans="1:11" ht="18" customHeight="1">
      <c r="A88" s="45" t="s">
        <v>321</v>
      </c>
      <c r="B88" s="49" t="s">
        <v>208</v>
      </c>
      <c r="F88" s="57">
        <v>0</v>
      </c>
      <c r="G88" s="57">
        <v>0</v>
      </c>
      <c r="H88" s="347">
        <v>145639</v>
      </c>
      <c r="I88" s="167">
        <v>105965.51742778072</v>
      </c>
      <c r="J88" s="347">
        <v>0</v>
      </c>
      <c r="K88" s="348">
        <v>251604.51742778072</v>
      </c>
    </row>
    <row r="89" spans="1:11" ht="18" customHeight="1">
      <c r="A89" s="45" t="s">
        <v>322</v>
      </c>
      <c r="B89" s="49" t="s">
        <v>210</v>
      </c>
      <c r="F89" s="57"/>
      <c r="G89" s="57"/>
      <c r="H89" s="347"/>
      <c r="I89" s="167">
        <v>0</v>
      </c>
      <c r="J89" s="347"/>
      <c r="K89" s="348">
        <v>0</v>
      </c>
    </row>
    <row r="90" spans="1:11" ht="18" customHeight="1">
      <c r="A90" s="45" t="s">
        <v>323</v>
      </c>
      <c r="B90" s="540" t="s">
        <v>212</v>
      </c>
      <c r="C90" s="540"/>
      <c r="F90" s="57"/>
      <c r="G90" s="57"/>
      <c r="H90" s="347"/>
      <c r="I90" s="167">
        <v>0</v>
      </c>
      <c r="J90" s="347"/>
      <c r="K90" s="348">
        <v>0</v>
      </c>
    </row>
    <row r="91" spans="1:11" ht="18" customHeight="1">
      <c r="A91" s="45" t="s">
        <v>324</v>
      </c>
      <c r="B91" s="49" t="s">
        <v>214</v>
      </c>
      <c r="F91" s="57"/>
      <c r="G91" s="57"/>
      <c r="H91" s="347"/>
      <c r="I91" s="167">
        <v>0</v>
      </c>
      <c r="J91" s="347"/>
      <c r="K91" s="348">
        <v>0</v>
      </c>
    </row>
    <row r="92" spans="1:11" ht="18" customHeight="1">
      <c r="A92" s="45" t="s">
        <v>325</v>
      </c>
      <c r="B92" s="49" t="s">
        <v>216</v>
      </c>
      <c r="F92" s="372"/>
      <c r="G92" s="372"/>
      <c r="H92" s="373"/>
      <c r="I92" s="167">
        <v>0</v>
      </c>
      <c r="J92" s="373"/>
      <c r="K92" s="348">
        <v>0</v>
      </c>
    </row>
    <row r="93" spans="1:11" ht="18" customHeight="1">
      <c r="A93" s="45" t="s">
        <v>326</v>
      </c>
      <c r="B93" s="49" t="s">
        <v>218</v>
      </c>
      <c r="F93" s="57">
        <v>21</v>
      </c>
      <c r="G93" s="57">
        <v>645</v>
      </c>
      <c r="H93" s="347">
        <v>5383.4635025200732</v>
      </c>
      <c r="I93" s="167">
        <v>3916.9555929257431</v>
      </c>
      <c r="J93" s="347">
        <v>0</v>
      </c>
      <c r="K93" s="348">
        <v>9300.4190954458172</v>
      </c>
    </row>
    <row r="94" spans="1:11" ht="18" customHeight="1">
      <c r="A94" s="45" t="s">
        <v>327</v>
      </c>
      <c r="B94" s="539"/>
      <c r="C94" s="559"/>
      <c r="D94" s="560"/>
      <c r="F94" s="57"/>
      <c r="G94" s="57"/>
      <c r="H94" s="347"/>
      <c r="I94" s="167">
        <v>0</v>
      </c>
      <c r="J94" s="347"/>
      <c r="K94" s="348">
        <v>0</v>
      </c>
    </row>
    <row r="95" spans="1:11" ht="18" customHeight="1">
      <c r="A95" s="45" t="s">
        <v>329</v>
      </c>
      <c r="B95" s="539"/>
      <c r="C95" s="559"/>
      <c r="D95" s="560"/>
      <c r="F95" s="57"/>
      <c r="G95" s="57"/>
      <c r="H95" s="347"/>
      <c r="I95" s="167">
        <v>0</v>
      </c>
      <c r="J95" s="347"/>
      <c r="K95" s="348">
        <v>0</v>
      </c>
    </row>
    <row r="96" spans="1:11" ht="18" customHeight="1">
      <c r="A96" s="45" t="s">
        <v>330</v>
      </c>
      <c r="B96" s="539"/>
      <c r="C96" s="559"/>
      <c r="D96" s="560"/>
      <c r="F96" s="57"/>
      <c r="G96" s="57"/>
      <c r="H96" s="347"/>
      <c r="I96" s="167">
        <v>0</v>
      </c>
      <c r="J96" s="347"/>
      <c r="K96" s="348">
        <v>0</v>
      </c>
    </row>
    <row r="97" spans="1:11" ht="18" customHeight="1">
      <c r="A97" s="45"/>
    </row>
    <row r="98" spans="1:11" ht="18" customHeight="1">
      <c r="A98" s="48" t="s">
        <v>331</v>
      </c>
      <c r="B98" s="43" t="s">
        <v>220</v>
      </c>
      <c r="E98" s="43" t="s">
        <v>276</v>
      </c>
      <c r="F98" s="350">
        <v>26</v>
      </c>
      <c r="G98" s="350">
        <v>300645</v>
      </c>
      <c r="H98" s="350">
        <v>255368.89191420132</v>
      </c>
      <c r="I98" s="350">
        <v>185803.91767759566</v>
      </c>
      <c r="J98" s="350">
        <v>0</v>
      </c>
      <c r="K98" s="350">
        <v>441172.80959179695</v>
      </c>
    </row>
    <row r="99" spans="1:11" ht="18" customHeight="1" thickBot="1">
      <c r="B99" s="43"/>
      <c r="F99" s="356"/>
      <c r="G99" s="356"/>
      <c r="H99" s="356"/>
      <c r="I99" s="356"/>
      <c r="J99" s="356"/>
      <c r="K99" s="356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7">
        <v>485</v>
      </c>
      <c r="G102" s="57">
        <v>0</v>
      </c>
      <c r="H102" s="347">
        <v>58967.565101447588</v>
      </c>
      <c r="I102" s="167">
        <v>42904.225842193635</v>
      </c>
      <c r="J102" s="347">
        <v>0</v>
      </c>
      <c r="K102" s="348">
        <v>101871.79094364122</v>
      </c>
    </row>
    <row r="103" spans="1:11" ht="18" customHeight="1">
      <c r="A103" s="45" t="s">
        <v>333</v>
      </c>
      <c r="B103" s="540" t="s">
        <v>226</v>
      </c>
      <c r="C103" s="540"/>
      <c r="F103" s="57"/>
      <c r="G103" s="57"/>
      <c r="H103" s="347"/>
      <c r="I103" s="167">
        <v>0</v>
      </c>
      <c r="J103" s="347"/>
      <c r="K103" s="348">
        <v>0</v>
      </c>
    </row>
    <row r="104" spans="1:11" ht="18" customHeight="1">
      <c r="A104" s="45" t="s">
        <v>334</v>
      </c>
      <c r="B104" s="539"/>
      <c r="C104" s="559"/>
      <c r="D104" s="560"/>
      <c r="F104" s="57"/>
      <c r="G104" s="57"/>
      <c r="H104" s="347"/>
      <c r="I104" s="167">
        <v>0</v>
      </c>
      <c r="J104" s="347"/>
      <c r="K104" s="348">
        <v>0</v>
      </c>
    </row>
    <row r="105" spans="1:11" ht="18" customHeight="1">
      <c r="A105" s="45" t="s">
        <v>336</v>
      </c>
      <c r="B105" s="539"/>
      <c r="C105" s="559"/>
      <c r="D105" s="560"/>
      <c r="F105" s="57"/>
      <c r="G105" s="57"/>
      <c r="H105" s="347"/>
      <c r="I105" s="167">
        <v>0</v>
      </c>
      <c r="J105" s="347"/>
      <c r="K105" s="348">
        <v>0</v>
      </c>
    </row>
    <row r="106" spans="1:11" ht="18" customHeight="1">
      <c r="A106" s="45" t="s">
        <v>337</v>
      </c>
      <c r="B106" s="539"/>
      <c r="C106" s="559"/>
      <c r="D106" s="560"/>
      <c r="F106" s="57"/>
      <c r="G106" s="57"/>
      <c r="H106" s="347"/>
      <c r="I106" s="167">
        <v>0</v>
      </c>
      <c r="J106" s="347"/>
      <c r="K106" s="348"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350">
        <v>485</v>
      </c>
      <c r="G108" s="350">
        <v>0</v>
      </c>
      <c r="H108" s="348">
        <v>58967.565101447588</v>
      </c>
      <c r="I108" s="348">
        <v>42904.225842193635</v>
      </c>
      <c r="J108" s="348">
        <v>0</v>
      </c>
      <c r="K108" s="348">
        <v>101871.79094364122</v>
      </c>
    </row>
    <row r="109" spans="1:11" ht="18" customHeight="1" thickBot="1">
      <c r="A109" s="374"/>
      <c r="B109" s="92"/>
      <c r="C109" s="375"/>
      <c r="D109" s="375"/>
      <c r="E109" s="375"/>
      <c r="F109" s="356"/>
      <c r="G109" s="356"/>
      <c r="H109" s="356"/>
      <c r="I109" s="356"/>
      <c r="J109" s="356"/>
      <c r="K109" s="356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347">
        <v>6093350</v>
      </c>
    </row>
    <row r="112" spans="1:11" ht="18" customHeight="1">
      <c r="B112" s="43"/>
      <c r="E112" s="43"/>
    </row>
    <row r="113" spans="1:6" ht="18" customHeight="1">
      <c r="A113" s="48"/>
      <c r="B113" s="43" t="s">
        <v>233</v>
      </c>
    </row>
    <row r="114" spans="1:6" ht="18" customHeight="1">
      <c r="A114" s="45" t="s">
        <v>340</v>
      </c>
      <c r="B114" s="49" t="s">
        <v>341</v>
      </c>
      <c r="F114" s="376">
        <v>0.72759025692143398</v>
      </c>
    </row>
    <row r="115" spans="1:6" ht="18" customHeight="1">
      <c r="A115" s="45"/>
      <c r="B115" s="43"/>
    </row>
    <row r="116" spans="1:6" ht="18" customHeight="1">
      <c r="A116" s="45" t="s">
        <v>234</v>
      </c>
      <c r="B116" s="43" t="s">
        <v>235</v>
      </c>
    </row>
    <row r="117" spans="1:6" ht="18" customHeight="1">
      <c r="A117" s="45" t="s">
        <v>342</v>
      </c>
      <c r="B117" s="49" t="s">
        <v>236</v>
      </c>
      <c r="F117" s="347">
        <v>232449000</v>
      </c>
    </row>
    <row r="118" spans="1:6" ht="18" customHeight="1">
      <c r="A118" s="45" t="s">
        <v>343</v>
      </c>
      <c r="B118" s="49" t="s">
        <v>237</v>
      </c>
      <c r="F118" s="347">
        <v>3545000</v>
      </c>
    </row>
    <row r="119" spans="1:6" ht="18" customHeight="1">
      <c r="A119" s="45" t="s">
        <v>344</v>
      </c>
      <c r="B119" s="43" t="s">
        <v>238</v>
      </c>
      <c r="F119" s="354">
        <v>235994000</v>
      </c>
    </row>
    <row r="120" spans="1:6" ht="18" customHeight="1">
      <c r="A120" s="45"/>
      <c r="B120" s="43"/>
    </row>
    <row r="121" spans="1:6" ht="18" customHeight="1">
      <c r="A121" s="45" t="s">
        <v>345</v>
      </c>
      <c r="B121" s="43" t="s">
        <v>346</v>
      </c>
      <c r="F121" s="347">
        <v>223533000</v>
      </c>
    </row>
    <row r="122" spans="1:6" ht="18" customHeight="1">
      <c r="A122" s="45"/>
    </row>
    <row r="123" spans="1:6" ht="18" customHeight="1">
      <c r="A123" s="45" t="s">
        <v>347</v>
      </c>
      <c r="B123" s="43" t="s">
        <v>348</v>
      </c>
      <c r="F123" s="347">
        <v>12461000</v>
      </c>
    </row>
    <row r="124" spans="1:6" ht="18" customHeight="1">
      <c r="A124" s="45"/>
    </row>
    <row r="125" spans="1:6" ht="18" customHeight="1">
      <c r="A125" s="45" t="s">
        <v>349</v>
      </c>
      <c r="B125" s="43" t="s">
        <v>350</v>
      </c>
      <c r="F125" s="347">
        <v>6929000</v>
      </c>
    </row>
    <row r="126" spans="1:6" ht="18" customHeight="1">
      <c r="A126" s="45"/>
    </row>
    <row r="127" spans="1:6" ht="18" customHeight="1">
      <c r="A127" s="45" t="s">
        <v>351</v>
      </c>
      <c r="B127" s="43" t="s">
        <v>352</v>
      </c>
      <c r="F127" s="347">
        <v>19390000</v>
      </c>
    </row>
    <row r="128" spans="1:6" ht="18" customHeight="1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9" t="s">
        <v>242</v>
      </c>
      <c r="F131" s="57"/>
      <c r="G131" s="57"/>
      <c r="H131" s="347"/>
      <c r="I131" s="167">
        <v>0</v>
      </c>
      <c r="J131" s="347"/>
      <c r="K131" s="348">
        <v>0</v>
      </c>
    </row>
    <row r="132" spans="1:11" ht="18" customHeight="1">
      <c r="A132" s="45" t="s">
        <v>354</v>
      </c>
      <c r="B132" s="49" t="s">
        <v>128</v>
      </c>
      <c r="F132" s="57"/>
      <c r="G132" s="57"/>
      <c r="H132" s="347"/>
      <c r="I132" s="167">
        <v>0</v>
      </c>
      <c r="J132" s="347"/>
      <c r="K132" s="348">
        <v>0</v>
      </c>
    </row>
    <row r="133" spans="1:11" ht="18" customHeight="1">
      <c r="A133" s="45" t="s">
        <v>355</v>
      </c>
      <c r="B133" s="536"/>
      <c r="C133" s="537"/>
      <c r="D133" s="538"/>
      <c r="F133" s="57"/>
      <c r="G133" s="57"/>
      <c r="H133" s="347"/>
      <c r="I133" s="167">
        <v>0</v>
      </c>
      <c r="J133" s="347"/>
      <c r="K133" s="348">
        <v>0</v>
      </c>
    </row>
    <row r="134" spans="1:11" ht="18" customHeight="1">
      <c r="A134" s="45" t="s">
        <v>356</v>
      </c>
      <c r="B134" s="536"/>
      <c r="C134" s="537"/>
      <c r="D134" s="538"/>
      <c r="F134" s="57"/>
      <c r="G134" s="57"/>
      <c r="H134" s="347"/>
      <c r="I134" s="167">
        <v>0</v>
      </c>
      <c r="J134" s="347"/>
      <c r="K134" s="348">
        <v>0</v>
      </c>
    </row>
    <row r="135" spans="1:11" ht="18" customHeight="1">
      <c r="A135" s="45" t="s">
        <v>357</v>
      </c>
      <c r="B135" s="536"/>
      <c r="C135" s="537"/>
      <c r="D135" s="538"/>
      <c r="F135" s="57"/>
      <c r="G135" s="57"/>
      <c r="H135" s="347"/>
      <c r="I135" s="167">
        <v>0</v>
      </c>
      <c r="J135" s="347"/>
      <c r="K135" s="348"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350">
        <v>0</v>
      </c>
      <c r="G137" s="350">
        <v>0</v>
      </c>
      <c r="H137" s="348">
        <v>0</v>
      </c>
      <c r="I137" s="348">
        <v>0</v>
      </c>
      <c r="J137" s="348">
        <v>0</v>
      </c>
      <c r="K137" s="348">
        <v>0</v>
      </c>
    </row>
    <row r="138" spans="1:11" ht="18" customHeight="1">
      <c r="A138" s="49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377">
        <v>15055.5</v>
      </c>
      <c r="G141" s="377">
        <v>943893</v>
      </c>
      <c r="H141" s="377">
        <v>1644651.783057774</v>
      </c>
      <c r="I141" s="377">
        <v>1061743.2004701216</v>
      </c>
      <c r="J141" s="377">
        <v>450575</v>
      </c>
      <c r="K141" s="377">
        <v>2255819.983527896</v>
      </c>
    </row>
    <row r="142" spans="1:11" ht="18" customHeight="1">
      <c r="A142" s="45" t="s">
        <v>286</v>
      </c>
      <c r="B142" s="43" t="s">
        <v>125</v>
      </c>
      <c r="F142" s="377">
        <v>5638</v>
      </c>
      <c r="G142" s="377">
        <v>15043</v>
      </c>
      <c r="H142" s="377">
        <v>599029.48639865231</v>
      </c>
      <c r="I142" s="377">
        <v>0</v>
      </c>
      <c r="J142" s="377">
        <v>0</v>
      </c>
      <c r="K142" s="377">
        <v>599029.48639865231</v>
      </c>
    </row>
    <row r="143" spans="1:11" ht="18" customHeight="1">
      <c r="A143" s="45" t="s">
        <v>305</v>
      </c>
      <c r="B143" s="43" t="s">
        <v>247</v>
      </c>
      <c r="F143" s="377">
        <v>2288</v>
      </c>
      <c r="G143" s="377">
        <v>2661</v>
      </c>
      <c r="H143" s="377">
        <v>9118638</v>
      </c>
      <c r="I143" s="377">
        <v>0</v>
      </c>
      <c r="J143" s="377">
        <v>0</v>
      </c>
      <c r="K143" s="377">
        <v>9118638</v>
      </c>
    </row>
    <row r="144" spans="1:11" ht="18" customHeight="1">
      <c r="A144" s="45" t="s">
        <v>311</v>
      </c>
      <c r="B144" s="43" t="s">
        <v>127</v>
      </c>
      <c r="F144" s="377">
        <v>0</v>
      </c>
      <c r="G144" s="377">
        <v>0</v>
      </c>
      <c r="H144" s="377">
        <v>133616</v>
      </c>
      <c r="I144" s="377">
        <v>0</v>
      </c>
      <c r="J144" s="377">
        <v>0</v>
      </c>
      <c r="K144" s="377">
        <v>133616</v>
      </c>
    </row>
    <row r="145" spans="1:11" ht="18" customHeight="1">
      <c r="A145" s="45" t="s">
        <v>317</v>
      </c>
      <c r="B145" s="43" t="s">
        <v>248</v>
      </c>
      <c r="F145" s="377">
        <v>649</v>
      </c>
      <c r="G145" s="377">
        <v>31917</v>
      </c>
      <c r="H145" s="377">
        <v>748265.45205507777</v>
      </c>
      <c r="I145" s="377">
        <v>49821.398127927649</v>
      </c>
      <c r="J145" s="377">
        <v>0</v>
      </c>
      <c r="K145" s="377">
        <v>798086.85018300544</v>
      </c>
    </row>
    <row r="146" spans="1:11" ht="18" customHeight="1">
      <c r="A146" s="45" t="s">
        <v>331</v>
      </c>
      <c r="B146" s="43" t="s">
        <v>249</v>
      </c>
      <c r="F146" s="377">
        <v>26</v>
      </c>
      <c r="G146" s="377">
        <v>300645</v>
      </c>
      <c r="H146" s="377">
        <v>255368.89191420132</v>
      </c>
      <c r="I146" s="377">
        <v>185803.91767759566</v>
      </c>
      <c r="J146" s="377">
        <v>0</v>
      </c>
      <c r="K146" s="377">
        <v>441172.80959179695</v>
      </c>
    </row>
    <row r="147" spans="1:11" ht="18" customHeight="1">
      <c r="A147" s="45" t="s">
        <v>338</v>
      </c>
      <c r="B147" s="43" t="s">
        <v>129</v>
      </c>
      <c r="F147" s="350">
        <v>485</v>
      </c>
      <c r="G147" s="350">
        <v>0</v>
      </c>
      <c r="H147" s="350">
        <v>58967.565101447588</v>
      </c>
      <c r="I147" s="350">
        <v>42904.225842193635</v>
      </c>
      <c r="J147" s="350">
        <v>0</v>
      </c>
      <c r="K147" s="350">
        <v>101871.79094364122</v>
      </c>
    </row>
    <row r="148" spans="1:11" ht="18" customHeight="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v>6093350</v>
      </c>
    </row>
    <row r="149" spans="1:11" ht="18" customHeight="1">
      <c r="A149" s="45" t="s">
        <v>358</v>
      </c>
      <c r="B149" s="43" t="s">
        <v>250</v>
      </c>
      <c r="F149" s="350">
        <v>0</v>
      </c>
      <c r="G149" s="350">
        <v>0</v>
      </c>
      <c r="H149" s="350">
        <v>0</v>
      </c>
      <c r="I149" s="350">
        <v>0</v>
      </c>
      <c r="J149" s="350">
        <v>0</v>
      </c>
      <c r="K149" s="350">
        <v>0</v>
      </c>
    </row>
    <row r="150" spans="1:11" ht="18" customHeight="1">
      <c r="A150" s="45" t="s">
        <v>259</v>
      </c>
      <c r="B150" s="43" t="s">
        <v>251</v>
      </c>
      <c r="F150" s="378" t="s">
        <v>122</v>
      </c>
      <c r="G150" s="378" t="s">
        <v>122</v>
      </c>
      <c r="H150" s="350">
        <v>1047231</v>
      </c>
      <c r="I150" s="350">
        <v>0</v>
      </c>
      <c r="J150" s="350">
        <v>0</v>
      </c>
      <c r="K150" s="350">
        <v>1047231</v>
      </c>
    </row>
    <row r="151" spans="1:11" ht="18" customHeight="1">
      <c r="B151" s="43"/>
      <c r="F151" s="358"/>
      <c r="G151" s="358"/>
      <c r="H151" s="358"/>
      <c r="I151" s="358"/>
      <c r="J151" s="358"/>
      <c r="K151" s="358"/>
    </row>
    <row r="152" spans="1:11" ht="18" customHeight="1">
      <c r="A152" s="48" t="s">
        <v>360</v>
      </c>
      <c r="B152" s="43" t="s">
        <v>245</v>
      </c>
      <c r="F152" s="381">
        <v>24141.5</v>
      </c>
      <c r="G152" s="381">
        <v>1294159</v>
      </c>
      <c r="H152" s="381">
        <v>13605768.178527154</v>
      </c>
      <c r="I152" s="381">
        <v>1340272.7421178387</v>
      </c>
      <c r="J152" s="381">
        <v>450575</v>
      </c>
      <c r="K152" s="381">
        <v>20588815.920644991</v>
      </c>
    </row>
    <row r="154" spans="1:11" ht="18" customHeight="1">
      <c r="A154" s="48" t="s">
        <v>361</v>
      </c>
      <c r="B154" s="43" t="s">
        <v>252</v>
      </c>
      <c r="F154" s="383">
        <v>9.2106382147803645E-2</v>
      </c>
    </row>
    <row r="155" spans="1:11" ht="18" customHeight="1">
      <c r="A155" s="48" t="s">
        <v>362</v>
      </c>
      <c r="B155" s="43" t="s">
        <v>253</v>
      </c>
      <c r="F155" s="383">
        <v>1.061826504416967</v>
      </c>
      <c r="G155" s="43"/>
    </row>
    <row r="156" spans="1:11" ht="18" customHeight="1">
      <c r="G156" s="43"/>
    </row>
    <row r="157" spans="1:11" ht="18" customHeight="1"/>
    <row r="158" spans="1:11" ht="18" customHeight="1"/>
    <row r="159" spans="1:11" ht="18" customHeight="1"/>
  </sheetData>
  <mergeCells count="6">
    <mergeCell ref="C11:G11"/>
    <mergeCell ref="C5:G5"/>
    <mergeCell ref="C6:G6"/>
    <mergeCell ref="C7:G7"/>
    <mergeCell ref="C9:G9"/>
    <mergeCell ref="C10:G10"/>
  </mergeCells>
  <hyperlinks>
    <hyperlink ref="C11" r:id="rId1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RowHeight="12.75"/>
  <cols>
    <col min="1" max="1" width="8.28515625" style="39" customWidth="1"/>
    <col min="2" max="2" width="55.42578125" style="40" bestFit="1" customWidth="1"/>
    <col min="3" max="3" width="9.5703125" style="40" customWidth="1"/>
    <col min="4" max="4" width="9.140625" style="40"/>
    <col min="5" max="5" width="12.42578125" style="40" customWidth="1"/>
    <col min="6" max="6" width="18.5703125" style="40" customWidth="1"/>
    <col min="7" max="7" width="23.5703125" style="40" customWidth="1"/>
    <col min="8" max="8" width="17.140625" style="40" customWidth="1"/>
    <col min="9" max="9" width="21.140625" style="40" customWidth="1"/>
    <col min="10" max="10" width="19.85546875" style="40" customWidth="1"/>
    <col min="11" max="11" width="17.5703125" style="40" customWidth="1"/>
    <col min="12" max="16384" width="9.14062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653</v>
      </c>
      <c r="D5" s="827"/>
      <c r="E5" s="827"/>
      <c r="F5" s="827"/>
      <c r="G5" s="828"/>
    </row>
    <row r="6" spans="1:11" ht="18" customHeight="1">
      <c r="B6" s="45" t="s">
        <v>136</v>
      </c>
      <c r="C6" s="886" t="s">
        <v>654</v>
      </c>
      <c r="D6" s="830"/>
      <c r="E6" s="830"/>
      <c r="F6" s="830"/>
      <c r="G6" s="831"/>
    </row>
    <row r="7" spans="1:11" ht="18" customHeight="1">
      <c r="B7" s="45" t="s">
        <v>137</v>
      </c>
      <c r="C7" s="832">
        <v>1926</v>
      </c>
      <c r="D7" s="833"/>
      <c r="E7" s="833"/>
      <c r="F7" s="833"/>
      <c r="G7" s="834"/>
    </row>
    <row r="9" spans="1:11" ht="18" customHeight="1">
      <c r="B9" s="45" t="s">
        <v>138</v>
      </c>
      <c r="C9" s="843" t="s">
        <v>448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449</v>
      </c>
      <c r="D10" s="836"/>
      <c r="E10" s="836"/>
      <c r="F10" s="836"/>
      <c r="G10" s="837"/>
    </row>
    <row r="11" spans="1:11" ht="18" customHeight="1">
      <c r="B11" s="45" t="s">
        <v>142</v>
      </c>
      <c r="C11" s="843" t="s">
        <v>450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7382380</v>
      </c>
      <c r="I18" s="52">
        <v>0</v>
      </c>
      <c r="J18" s="51">
        <v>6312858</v>
      </c>
      <c r="K18" s="53">
        <f>(H18+I18)-J18</f>
        <v>1069522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5006</v>
      </c>
      <c r="G21" s="50">
        <v>105299</v>
      </c>
      <c r="H21" s="51">
        <v>244432</v>
      </c>
      <c r="I21" s="167">
        <v>120766</v>
      </c>
      <c r="J21" s="51">
        <v>392</v>
      </c>
      <c r="K21" s="53">
        <f t="shared" ref="K21:K34" si="0">(H21+I21)-J21</f>
        <v>364806</v>
      </c>
    </row>
    <row r="22" spans="1:11" ht="18" customHeight="1">
      <c r="A22" s="45" t="s">
        <v>261</v>
      </c>
      <c r="B22" s="40" t="s">
        <v>157</v>
      </c>
      <c r="F22" s="50">
        <v>594</v>
      </c>
      <c r="G22" s="50">
        <v>2869</v>
      </c>
      <c r="H22" s="51">
        <v>36267</v>
      </c>
      <c r="I22" s="167">
        <v>3731</v>
      </c>
      <c r="J22" s="51">
        <v>0</v>
      </c>
      <c r="K22" s="53">
        <f t="shared" si="0"/>
        <v>39998</v>
      </c>
    </row>
    <row r="23" spans="1:11" ht="18" customHeight="1">
      <c r="A23" s="45" t="s">
        <v>262</v>
      </c>
      <c r="B23" s="40" t="s">
        <v>158</v>
      </c>
      <c r="F23" s="50">
        <v>56</v>
      </c>
      <c r="G23" s="50">
        <v>417</v>
      </c>
      <c r="H23" s="51">
        <v>7817</v>
      </c>
      <c r="I23" s="167">
        <v>2548</v>
      </c>
      <c r="J23" s="51">
        <v>0</v>
      </c>
      <c r="K23" s="53">
        <f t="shared" si="0"/>
        <v>10365</v>
      </c>
    </row>
    <row r="24" spans="1:11" ht="18" customHeight="1">
      <c r="A24" s="45" t="s">
        <v>263</v>
      </c>
      <c r="B24" s="40" t="s">
        <v>159</v>
      </c>
      <c r="F24" s="50">
        <v>15968</v>
      </c>
      <c r="G24" s="50">
        <v>8285</v>
      </c>
      <c r="H24" s="51">
        <v>573458</v>
      </c>
      <c r="I24" s="167">
        <v>630</v>
      </c>
      <c r="J24" s="51">
        <v>94599</v>
      </c>
      <c r="K24" s="53">
        <f t="shared" si="0"/>
        <v>479489</v>
      </c>
    </row>
    <row r="25" spans="1:11" ht="18" customHeight="1">
      <c r="A25" s="45" t="s">
        <v>264</v>
      </c>
      <c r="B25" s="40" t="s">
        <v>160</v>
      </c>
      <c r="F25" s="50">
        <v>18</v>
      </c>
      <c r="G25" s="50">
        <v>146</v>
      </c>
      <c r="H25" s="51">
        <v>578</v>
      </c>
      <c r="I25" s="167">
        <v>285</v>
      </c>
      <c r="J25" s="51">
        <v>0</v>
      </c>
      <c r="K25" s="53">
        <f t="shared" si="0"/>
        <v>863</v>
      </c>
    </row>
    <row r="26" spans="1:11" ht="18" customHeight="1">
      <c r="A26" s="45" t="s">
        <v>265</v>
      </c>
      <c r="B26" s="40" t="s">
        <v>161</v>
      </c>
      <c r="F26" s="50">
        <v>0</v>
      </c>
      <c r="G26" s="50">
        <v>0</v>
      </c>
      <c r="H26" s="51">
        <v>0</v>
      </c>
      <c r="I26" s="52">
        <v>0</v>
      </c>
      <c r="J26" s="51">
        <v>0</v>
      </c>
      <c r="K26" s="53">
        <f t="shared" si="0"/>
        <v>0</v>
      </c>
    </row>
    <row r="27" spans="1:11" ht="18" customHeight="1">
      <c r="A27" s="45" t="s">
        <v>266</v>
      </c>
      <c r="B27" s="40" t="s">
        <v>162</v>
      </c>
      <c r="F27" s="50">
        <v>0</v>
      </c>
      <c r="G27" s="50">
        <v>0</v>
      </c>
      <c r="H27" s="51">
        <v>0</v>
      </c>
      <c r="I27" s="52">
        <v>0</v>
      </c>
      <c r="J27" s="51">
        <v>0</v>
      </c>
      <c r="K27" s="53">
        <f t="shared" si="0"/>
        <v>0</v>
      </c>
    </row>
    <row r="28" spans="1:11" ht="18" customHeight="1">
      <c r="A28" s="45" t="s">
        <v>267</v>
      </c>
      <c r="B28" s="40" t="s">
        <v>163</v>
      </c>
      <c r="F28" s="50">
        <v>1572</v>
      </c>
      <c r="G28" s="50">
        <v>102</v>
      </c>
      <c r="H28" s="51">
        <v>39469</v>
      </c>
      <c r="I28" s="52">
        <v>19500</v>
      </c>
      <c r="J28" s="51">
        <v>396</v>
      </c>
      <c r="K28" s="53">
        <f t="shared" si="0"/>
        <v>58573</v>
      </c>
    </row>
    <row r="29" spans="1:11" ht="18" customHeight="1">
      <c r="A29" s="45" t="s">
        <v>268</v>
      </c>
      <c r="B29" s="40" t="s">
        <v>165</v>
      </c>
      <c r="F29" s="50">
        <v>5014</v>
      </c>
      <c r="G29" s="50">
        <v>3855</v>
      </c>
      <c r="H29" s="51">
        <v>531488</v>
      </c>
      <c r="I29" s="52">
        <v>262590</v>
      </c>
      <c r="J29" s="51">
        <v>0</v>
      </c>
      <c r="K29" s="53">
        <f t="shared" si="0"/>
        <v>794078</v>
      </c>
    </row>
    <row r="30" spans="1:11" ht="18" customHeight="1">
      <c r="A30" s="45" t="s">
        <v>269</v>
      </c>
      <c r="B30" s="814" t="s">
        <v>655</v>
      </c>
      <c r="C30" s="815"/>
      <c r="D30" s="816"/>
      <c r="F30" s="50">
        <v>607</v>
      </c>
      <c r="G30" s="50">
        <v>30</v>
      </c>
      <c r="H30" s="51">
        <v>28844</v>
      </c>
      <c r="I30" s="52">
        <v>14251</v>
      </c>
      <c r="J30" s="51">
        <v>0</v>
      </c>
      <c r="K30" s="53">
        <f t="shared" si="0"/>
        <v>43095</v>
      </c>
    </row>
    <row r="31" spans="1:11" ht="18" customHeight="1">
      <c r="A31" s="45" t="s">
        <v>270</v>
      </c>
      <c r="B31" s="814"/>
      <c r="C31" s="815"/>
      <c r="D31" s="816"/>
      <c r="F31" s="50"/>
      <c r="G31" s="50"/>
      <c r="H31" s="51"/>
      <c r="I31" s="52">
        <f t="shared" ref="I31:I34" si="1">H31*F$114</f>
        <v>0</v>
      </c>
      <c r="J31" s="51"/>
      <c r="K31" s="53">
        <f t="shared" si="0"/>
        <v>0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1"/>
        <v>0</v>
      </c>
      <c r="J32" s="51"/>
      <c r="K32" s="53">
        <f t="shared" si="0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1"/>
        <v>0</v>
      </c>
      <c r="J33" s="51"/>
      <c r="K33" s="53">
        <f t="shared" si="0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1"/>
        <v>0</v>
      </c>
      <c r="J34" s="51"/>
      <c r="K34" s="53">
        <f t="shared" si="0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28835</v>
      </c>
      <c r="G36" s="59">
        <f t="shared" si="2"/>
        <v>121003</v>
      </c>
      <c r="H36" s="59">
        <f t="shared" si="2"/>
        <v>1462353</v>
      </c>
      <c r="I36" s="53">
        <f t="shared" si="2"/>
        <v>424301</v>
      </c>
      <c r="J36" s="53">
        <f t="shared" si="2"/>
        <v>95387</v>
      </c>
      <c r="K36" s="53">
        <f t="shared" si="2"/>
        <v>1791267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>
        <v>1290.8</v>
      </c>
      <c r="G40" s="50">
        <v>0</v>
      </c>
      <c r="H40" s="51">
        <v>161039.19999999998</v>
      </c>
      <c r="I40" s="52">
        <v>79563.87527773781</v>
      </c>
      <c r="J40" s="51">
        <v>0</v>
      </c>
      <c r="K40" s="53">
        <f t="shared" ref="K40:K47" si="3">(H40+I40)-J40</f>
        <v>240603.07527773781</v>
      </c>
    </row>
    <row r="41" spans="1:11" ht="18" customHeight="1">
      <c r="A41" s="45" t="s">
        <v>278</v>
      </c>
      <c r="B41" s="818" t="s">
        <v>172</v>
      </c>
      <c r="C41" s="819"/>
      <c r="F41" s="50">
        <v>7319.2</v>
      </c>
      <c r="G41" s="50">
        <v>0</v>
      </c>
      <c r="H41" s="51">
        <v>282011.09999999998</v>
      </c>
      <c r="I41" s="52">
        <v>139331.88929985772</v>
      </c>
      <c r="J41" s="51">
        <v>0</v>
      </c>
      <c r="K41" s="53">
        <f t="shared" si="3"/>
        <v>421342.9892998577</v>
      </c>
    </row>
    <row r="42" spans="1:11" ht="18" customHeight="1">
      <c r="A42" s="45" t="s">
        <v>279</v>
      </c>
      <c r="B42" s="49" t="s">
        <v>174</v>
      </c>
      <c r="F42" s="50">
        <v>17059</v>
      </c>
      <c r="G42" s="50">
        <v>277.2</v>
      </c>
      <c r="H42" s="51">
        <v>693035</v>
      </c>
      <c r="I42" s="52">
        <v>342404.52202387387</v>
      </c>
      <c r="J42" s="51">
        <v>878.5</v>
      </c>
      <c r="K42" s="53">
        <f t="shared" si="3"/>
        <v>1034561.0220238739</v>
      </c>
    </row>
    <row r="43" spans="1:11" ht="18" customHeight="1">
      <c r="A43" s="45" t="s">
        <v>280</v>
      </c>
      <c r="B43" s="49" t="s">
        <v>176</v>
      </c>
      <c r="F43" s="50"/>
      <c r="G43" s="50"/>
      <c r="H43" s="51"/>
      <c r="I43" s="52">
        <v>0</v>
      </c>
      <c r="J43" s="51"/>
      <c r="K43" s="53">
        <f t="shared" si="3"/>
        <v>0</v>
      </c>
    </row>
    <row r="44" spans="1:11" ht="18" customHeight="1">
      <c r="A44" s="45" t="s">
        <v>281</v>
      </c>
      <c r="B44" s="814"/>
      <c r="C44" s="815"/>
      <c r="D44" s="816"/>
      <c r="F44" s="50"/>
      <c r="G44" s="50"/>
      <c r="H44" s="50"/>
      <c r="I44" s="52">
        <v>0</v>
      </c>
      <c r="J44" s="50"/>
      <c r="K44" s="63">
        <f t="shared" si="3"/>
        <v>0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v>0</v>
      </c>
      <c r="J45" s="51"/>
      <c r="K45" s="53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v>0</v>
      </c>
      <c r="J46" s="51"/>
      <c r="K46" s="53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25669</v>
      </c>
      <c r="G49" s="64">
        <f t="shared" si="4"/>
        <v>277.2</v>
      </c>
      <c r="H49" s="53">
        <f t="shared" si="4"/>
        <v>1136085.2999999998</v>
      </c>
      <c r="I49" s="53">
        <f t="shared" si="4"/>
        <v>561300.28660146939</v>
      </c>
      <c r="J49" s="53">
        <f t="shared" si="4"/>
        <v>878.5</v>
      </c>
      <c r="K49" s="53">
        <f t="shared" si="4"/>
        <v>1696507.0866014694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83" t="s">
        <v>656</v>
      </c>
      <c r="C53" s="884"/>
      <c r="D53" s="885"/>
      <c r="F53" s="50"/>
      <c r="G53" s="50"/>
      <c r="H53" s="51">
        <v>1243178</v>
      </c>
      <c r="I53" s="52">
        <v>0</v>
      </c>
      <c r="J53" s="51"/>
      <c r="K53" s="53">
        <f t="shared" ref="K53:K62" si="5">(H53+I53)-J53</f>
        <v>1243178</v>
      </c>
    </row>
    <row r="54" spans="1:11" ht="18" customHeight="1">
      <c r="A54" s="45" t="s">
        <v>289</v>
      </c>
      <c r="B54" s="168" t="s">
        <v>657</v>
      </c>
      <c r="C54" s="105"/>
      <c r="D54" s="106"/>
      <c r="F54" s="50"/>
      <c r="G54" s="50"/>
      <c r="H54" s="51">
        <v>2330000</v>
      </c>
      <c r="I54" s="52">
        <v>0</v>
      </c>
      <c r="J54" s="51"/>
      <c r="K54" s="53">
        <f t="shared" si="5"/>
        <v>2330000</v>
      </c>
    </row>
    <row r="55" spans="1:11" ht="18" customHeight="1">
      <c r="A55" s="45" t="s">
        <v>291</v>
      </c>
      <c r="B55" s="811"/>
      <c r="C55" s="812"/>
      <c r="D55" s="813"/>
      <c r="F55" s="50"/>
      <c r="G55" s="50"/>
      <c r="H55" s="51"/>
      <c r="I55" s="52">
        <v>0</v>
      </c>
      <c r="J55" s="51"/>
      <c r="K55" s="53">
        <f t="shared" si="5"/>
        <v>0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v>0</v>
      </c>
      <c r="J56" s="51"/>
      <c r="K56" s="53">
        <f t="shared" si="5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v>0</v>
      </c>
      <c r="J57" s="51"/>
      <c r="K57" s="53">
        <f t="shared" si="5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v>0</v>
      </c>
      <c r="J58" s="51"/>
      <c r="K58" s="53">
        <f t="shared" si="5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v>0</v>
      </c>
      <c r="J59" s="51"/>
      <c r="K59" s="53">
        <f t="shared" si="5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v>0</v>
      </c>
      <c r="J60" s="51"/>
      <c r="K60" s="53">
        <f t="shared" si="5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v>0</v>
      </c>
      <c r="J61" s="51"/>
      <c r="K61" s="53">
        <f t="shared" si="5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5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6">SUM(F53:F62)</f>
        <v>0</v>
      </c>
      <c r="G64" s="59">
        <f t="shared" si="6"/>
        <v>0</v>
      </c>
      <c r="H64" s="53">
        <f t="shared" si="6"/>
        <v>3573178</v>
      </c>
      <c r="I64" s="53">
        <f t="shared" si="6"/>
        <v>0</v>
      </c>
      <c r="J64" s="53">
        <f t="shared" si="6"/>
        <v>0</v>
      </c>
      <c r="K64" s="53">
        <f t="shared" si="6"/>
        <v>3573178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>
        <v>7710.71</v>
      </c>
      <c r="G68" s="78">
        <v>0</v>
      </c>
      <c r="H68" s="78">
        <v>240038.39999999999</v>
      </c>
      <c r="I68" s="52">
        <v>118594.63608529937</v>
      </c>
      <c r="J68" s="78">
        <v>0</v>
      </c>
      <c r="K68" s="53">
        <f>(H68+I68)-J68</f>
        <v>358633.03608529933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7">SUM(F68:F72)</f>
        <v>7710.71</v>
      </c>
      <c r="G74" s="86">
        <f t="shared" si="7"/>
        <v>0</v>
      </c>
      <c r="H74" s="86">
        <f t="shared" si="7"/>
        <v>240038.39999999999</v>
      </c>
      <c r="I74" s="87">
        <f t="shared" si="7"/>
        <v>118594.63608529937</v>
      </c>
      <c r="J74" s="86">
        <f t="shared" si="7"/>
        <v>0</v>
      </c>
      <c r="K74" s="63">
        <f t="shared" si="7"/>
        <v>358633.03608529933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>
        <v>0</v>
      </c>
      <c r="G77" s="50">
        <v>0</v>
      </c>
      <c r="H77" s="51">
        <v>32752.999999999996</v>
      </c>
      <c r="I77" s="52">
        <v>0</v>
      </c>
      <c r="J77" s="51">
        <v>0</v>
      </c>
      <c r="K77" s="53">
        <f>(H77+I77)-J77</f>
        <v>32752.999999999996</v>
      </c>
    </row>
    <row r="78" spans="1:11" ht="18" customHeight="1">
      <c r="A78" s="45" t="s">
        <v>313</v>
      </c>
      <c r="B78" s="49" t="s">
        <v>197</v>
      </c>
      <c r="F78" s="50">
        <v>0</v>
      </c>
      <c r="G78" s="50">
        <v>0</v>
      </c>
      <c r="H78" s="51">
        <v>0</v>
      </c>
      <c r="I78" s="52">
        <v>0</v>
      </c>
      <c r="J78" s="51">
        <v>0</v>
      </c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>
        <v>803.83799999999985</v>
      </c>
      <c r="G79" s="50">
        <v>0</v>
      </c>
      <c r="H79" s="51">
        <v>85303.4</v>
      </c>
      <c r="I79" s="52">
        <v>0</v>
      </c>
      <c r="J79" s="51">
        <v>2450</v>
      </c>
      <c r="K79" s="53">
        <f>(H79+I79)-J79</f>
        <v>82853.399999999994</v>
      </c>
    </row>
    <row r="80" spans="1:11" ht="18" customHeight="1">
      <c r="A80" s="45" t="s">
        <v>315</v>
      </c>
      <c r="B80" s="49" t="s">
        <v>316</v>
      </c>
      <c r="F80" s="50">
        <v>0</v>
      </c>
      <c r="G80" s="50">
        <v>0</v>
      </c>
      <c r="H80" s="51">
        <v>0</v>
      </c>
      <c r="I80" s="52">
        <v>0</v>
      </c>
      <c r="J80" s="51">
        <v>0</v>
      </c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8">SUM(F77:F80)</f>
        <v>803.83799999999985</v>
      </c>
      <c r="G82" s="86">
        <f t="shared" si="8"/>
        <v>0</v>
      </c>
      <c r="H82" s="63">
        <f t="shared" si="8"/>
        <v>118056.4</v>
      </c>
      <c r="I82" s="63">
        <f t="shared" si="8"/>
        <v>0</v>
      </c>
      <c r="J82" s="63">
        <f t="shared" si="8"/>
        <v>2450</v>
      </c>
      <c r="K82" s="63">
        <f t="shared" si="8"/>
        <v>115606.39999999999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>
        <v>0</v>
      </c>
      <c r="G86" s="50">
        <v>0</v>
      </c>
      <c r="H86" s="51">
        <v>18010.3</v>
      </c>
      <c r="I86" s="52">
        <v>8898.2636706754711</v>
      </c>
      <c r="J86" s="51">
        <v>0</v>
      </c>
      <c r="K86" s="53">
        <f t="shared" ref="K86:K96" si="9">(H86+I86)-J86</f>
        <v>26908.56367067547</v>
      </c>
    </row>
    <row r="87" spans="1:11" ht="18" customHeight="1">
      <c r="A87" s="45" t="s">
        <v>320</v>
      </c>
      <c r="B87" s="49" t="s">
        <v>206</v>
      </c>
      <c r="F87" s="50">
        <v>0</v>
      </c>
      <c r="G87" s="50">
        <v>0</v>
      </c>
      <c r="H87" s="51">
        <v>0</v>
      </c>
      <c r="I87" s="52">
        <v>0</v>
      </c>
      <c r="J87" s="51">
        <v>0</v>
      </c>
      <c r="K87" s="53">
        <f t="shared" si="9"/>
        <v>0</v>
      </c>
    </row>
    <row r="88" spans="1:11" ht="18" customHeight="1">
      <c r="A88" s="45" t="s">
        <v>321</v>
      </c>
      <c r="B88" s="49" t="s">
        <v>208</v>
      </c>
      <c r="F88" s="50">
        <v>0</v>
      </c>
      <c r="G88" s="50">
        <v>0</v>
      </c>
      <c r="H88" s="51">
        <v>144571</v>
      </c>
      <c r="I88" s="52">
        <v>71427.509654654481</v>
      </c>
      <c r="J88" s="51">
        <v>0</v>
      </c>
      <c r="K88" s="53">
        <f t="shared" si="9"/>
        <v>215998.50965465448</v>
      </c>
    </row>
    <row r="89" spans="1:11" ht="18" customHeight="1">
      <c r="A89" s="45" t="s">
        <v>322</v>
      </c>
      <c r="B89" s="49" t="s">
        <v>210</v>
      </c>
      <c r="F89" s="50">
        <v>112</v>
      </c>
      <c r="G89" s="50">
        <v>0</v>
      </c>
      <c r="H89" s="51">
        <v>5909.4</v>
      </c>
      <c r="I89" s="52">
        <v>2919.6292863244717</v>
      </c>
      <c r="J89" s="51">
        <v>0</v>
      </c>
      <c r="K89" s="53">
        <f t="shared" si="9"/>
        <v>8829.0292863244722</v>
      </c>
    </row>
    <row r="90" spans="1:11" ht="18" customHeight="1">
      <c r="A90" s="45" t="s">
        <v>323</v>
      </c>
      <c r="B90" s="818" t="s">
        <v>212</v>
      </c>
      <c r="C90" s="819"/>
      <c r="F90" s="50">
        <v>17.5</v>
      </c>
      <c r="G90" s="50">
        <v>0</v>
      </c>
      <c r="H90" s="51">
        <v>2184.6999999999998</v>
      </c>
      <c r="I90" s="52">
        <v>1079.3843878960763</v>
      </c>
      <c r="J90" s="51">
        <v>0</v>
      </c>
      <c r="K90" s="53">
        <f t="shared" si="9"/>
        <v>3264.0843878960759</v>
      </c>
    </row>
    <row r="91" spans="1:11" ht="18" customHeight="1">
      <c r="A91" s="45" t="s">
        <v>324</v>
      </c>
      <c r="B91" s="49" t="s">
        <v>214</v>
      </c>
      <c r="F91" s="50">
        <v>325.14999999999998</v>
      </c>
      <c r="G91" s="50">
        <v>280</v>
      </c>
      <c r="H91" s="51">
        <v>28729</v>
      </c>
      <c r="I91" s="52">
        <v>14194</v>
      </c>
      <c r="J91" s="51">
        <v>0</v>
      </c>
      <c r="K91" s="53">
        <f t="shared" si="9"/>
        <v>42923</v>
      </c>
    </row>
    <row r="92" spans="1:11" ht="18" customHeight="1">
      <c r="A92" s="45" t="s">
        <v>325</v>
      </c>
      <c r="B92" s="49" t="s">
        <v>216</v>
      </c>
      <c r="F92" s="89">
        <v>0</v>
      </c>
      <c r="G92" s="89">
        <v>0</v>
      </c>
      <c r="H92" s="90">
        <v>0</v>
      </c>
      <c r="I92" s="52">
        <v>0</v>
      </c>
      <c r="J92" s="90">
        <v>0</v>
      </c>
      <c r="K92" s="53">
        <f t="shared" si="9"/>
        <v>0</v>
      </c>
    </row>
    <row r="93" spans="1:11" ht="18" customHeight="1">
      <c r="A93" s="45" t="s">
        <v>326</v>
      </c>
      <c r="B93" s="49" t="s">
        <v>218</v>
      </c>
      <c r="F93" s="50">
        <v>37.449999999999996</v>
      </c>
      <c r="G93" s="50">
        <v>1.4</v>
      </c>
      <c r="H93" s="51">
        <v>2542.3999999999996</v>
      </c>
      <c r="I93" s="52">
        <v>1256.1115337515375</v>
      </c>
      <c r="J93" s="51">
        <v>0</v>
      </c>
      <c r="K93" s="53">
        <f t="shared" si="9"/>
        <v>3798.5115337515372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ref="I94:I96" si="10">H94*F$114</f>
        <v>0</v>
      </c>
      <c r="J94" s="51"/>
      <c r="K94" s="53">
        <f t="shared" si="9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10"/>
        <v>0</v>
      </c>
      <c r="J95" s="51"/>
      <c r="K95" s="53">
        <f t="shared" si="9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10"/>
        <v>0</v>
      </c>
      <c r="J96" s="51"/>
      <c r="K96" s="53">
        <f t="shared" si="9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1">SUM(F86:F96)</f>
        <v>492.09999999999997</v>
      </c>
      <c r="G98" s="59">
        <f t="shared" si="11"/>
        <v>281.39999999999998</v>
      </c>
      <c r="H98" s="59">
        <f t="shared" si="11"/>
        <v>201946.8</v>
      </c>
      <c r="I98" s="59">
        <f t="shared" si="11"/>
        <v>99774.898533302039</v>
      </c>
      <c r="J98" s="59">
        <f t="shared" si="11"/>
        <v>0</v>
      </c>
      <c r="K98" s="59">
        <f t="shared" si="11"/>
        <v>301721.69853330211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2497.6</v>
      </c>
      <c r="G102" s="50">
        <v>0</v>
      </c>
      <c r="H102" s="51">
        <v>85358</v>
      </c>
      <c r="I102" s="52">
        <v>42172.423024686817</v>
      </c>
      <c r="J102" s="51">
        <v>0</v>
      </c>
      <c r="K102" s="53">
        <f>(H102+I102)-J102</f>
        <v>127530.42302468681</v>
      </c>
    </row>
    <row r="103" spans="1:11" ht="18" customHeight="1">
      <c r="A103" s="45" t="s">
        <v>333</v>
      </c>
      <c r="B103" s="818" t="s">
        <v>226</v>
      </c>
      <c r="C103" s="818"/>
      <c r="F103" s="50"/>
      <c r="G103" s="50"/>
      <c r="H103" s="51"/>
      <c r="I103" s="52">
        <f>H103*F$114</f>
        <v>0</v>
      </c>
      <c r="J103" s="51"/>
      <c r="K103" s="53">
        <f>(H103+I103)-J103</f>
        <v>0</v>
      </c>
    </row>
    <row r="104" spans="1:11" ht="18" customHeight="1">
      <c r="A104" s="45" t="s">
        <v>334</v>
      </c>
      <c r="B104" s="811"/>
      <c r="C104" s="812"/>
      <c r="D104" s="813"/>
      <c r="F104" s="50"/>
      <c r="G104" s="50"/>
      <c r="H104" s="51"/>
      <c r="I104" s="52">
        <f>H104*F$114</f>
        <v>0</v>
      </c>
      <c r="J104" s="51"/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2">SUM(F102:F106)</f>
        <v>2497.6</v>
      </c>
      <c r="G108" s="59">
        <f t="shared" si="12"/>
        <v>0</v>
      </c>
      <c r="H108" s="53">
        <f t="shared" si="12"/>
        <v>85358</v>
      </c>
      <c r="I108" s="53">
        <f t="shared" si="12"/>
        <v>42172.423024686817</v>
      </c>
      <c r="J108" s="53">
        <f t="shared" si="12"/>
        <v>0</v>
      </c>
      <c r="K108" s="53">
        <f t="shared" si="12"/>
        <v>127530.42302468681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5760273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0.49406526657942801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237451000</v>
      </c>
    </row>
    <row r="118" spans="1:6">
      <c r="A118" s="45" t="s">
        <v>343</v>
      </c>
      <c r="B118" s="40" t="s">
        <v>237</v>
      </c>
      <c r="F118" s="51">
        <v>7548000</v>
      </c>
    </row>
    <row r="119" spans="1:6">
      <c r="A119" s="45" t="s">
        <v>344</v>
      </c>
      <c r="B119" s="43" t="s">
        <v>238</v>
      </c>
      <c r="F119" s="63">
        <f>SUM(F117:F118)</f>
        <v>244999000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225852000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v>19147000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-3602000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v>15545000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>
        <v>0</v>
      </c>
      <c r="G131" s="50">
        <v>0</v>
      </c>
      <c r="H131" s="51">
        <v>17285.099999999999</v>
      </c>
      <c r="I131" s="52">
        <v>8539.9675393520702</v>
      </c>
      <c r="J131" s="51">
        <v>0</v>
      </c>
      <c r="K131" s="53">
        <f>(H131+I131)-J131</f>
        <v>25825.067539352069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3">SUM(F131:F135)</f>
        <v>0</v>
      </c>
      <c r="G137" s="59">
        <f t="shared" si="13"/>
        <v>0</v>
      </c>
      <c r="H137" s="53">
        <f t="shared" si="13"/>
        <v>17285.099999999999</v>
      </c>
      <c r="I137" s="53">
        <f t="shared" si="13"/>
        <v>8539.9675393520702</v>
      </c>
      <c r="J137" s="53">
        <f t="shared" si="13"/>
        <v>0</v>
      </c>
      <c r="K137" s="53">
        <f t="shared" si="13"/>
        <v>25825.067539352069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4">F36</f>
        <v>28835</v>
      </c>
      <c r="G141" s="95">
        <f t="shared" si="14"/>
        <v>121003</v>
      </c>
      <c r="H141" s="95">
        <f t="shared" si="14"/>
        <v>1462353</v>
      </c>
      <c r="I141" s="95">
        <f t="shared" si="14"/>
        <v>424301</v>
      </c>
      <c r="J141" s="95">
        <f t="shared" si="14"/>
        <v>95387</v>
      </c>
      <c r="K141" s="95">
        <f t="shared" si="14"/>
        <v>1791267</v>
      </c>
    </row>
    <row r="142" spans="1:11" ht="18" customHeight="1">
      <c r="A142" s="45" t="s">
        <v>286</v>
      </c>
      <c r="B142" s="43" t="s">
        <v>125</v>
      </c>
      <c r="F142" s="95">
        <f t="shared" ref="F142:K142" si="15">F49</f>
        <v>25669</v>
      </c>
      <c r="G142" s="95">
        <f t="shared" si="15"/>
        <v>277.2</v>
      </c>
      <c r="H142" s="95">
        <f t="shared" si="15"/>
        <v>1136085.2999999998</v>
      </c>
      <c r="I142" s="95">
        <f t="shared" si="15"/>
        <v>561300.28660146939</v>
      </c>
      <c r="J142" s="95">
        <f t="shared" si="15"/>
        <v>878.5</v>
      </c>
      <c r="K142" s="95">
        <f t="shared" si="15"/>
        <v>1696507.0866014694</v>
      </c>
    </row>
    <row r="143" spans="1:11" ht="18" customHeight="1">
      <c r="A143" s="45" t="s">
        <v>305</v>
      </c>
      <c r="B143" s="43" t="s">
        <v>247</v>
      </c>
      <c r="F143" s="95">
        <f t="shared" ref="F143:K143" si="16">F64</f>
        <v>0</v>
      </c>
      <c r="G143" s="95">
        <f t="shared" si="16"/>
        <v>0</v>
      </c>
      <c r="H143" s="95">
        <f t="shared" si="16"/>
        <v>3573178</v>
      </c>
      <c r="I143" s="95">
        <f t="shared" si="16"/>
        <v>0</v>
      </c>
      <c r="J143" s="95">
        <f t="shared" si="16"/>
        <v>0</v>
      </c>
      <c r="K143" s="95">
        <f t="shared" si="16"/>
        <v>3573178</v>
      </c>
    </row>
    <row r="144" spans="1:11" ht="18" customHeight="1">
      <c r="A144" s="45" t="s">
        <v>311</v>
      </c>
      <c r="B144" s="43" t="s">
        <v>127</v>
      </c>
      <c r="F144" s="95">
        <f t="shared" ref="F144:K144" si="17">F74</f>
        <v>7710.71</v>
      </c>
      <c r="G144" s="95">
        <f t="shared" si="17"/>
        <v>0</v>
      </c>
      <c r="H144" s="95">
        <f t="shared" si="17"/>
        <v>240038.39999999999</v>
      </c>
      <c r="I144" s="95">
        <f t="shared" si="17"/>
        <v>118594.63608529937</v>
      </c>
      <c r="J144" s="95">
        <f t="shared" si="17"/>
        <v>0</v>
      </c>
      <c r="K144" s="95">
        <f t="shared" si="17"/>
        <v>358633.03608529933</v>
      </c>
    </row>
    <row r="145" spans="1:11" ht="18" customHeight="1">
      <c r="A145" s="45" t="s">
        <v>317</v>
      </c>
      <c r="B145" s="43" t="s">
        <v>248</v>
      </c>
      <c r="F145" s="95">
        <f t="shared" ref="F145:K145" si="18">F82</f>
        <v>803.83799999999985</v>
      </c>
      <c r="G145" s="95">
        <f t="shared" si="18"/>
        <v>0</v>
      </c>
      <c r="H145" s="95">
        <f t="shared" si="18"/>
        <v>118056.4</v>
      </c>
      <c r="I145" s="95">
        <f t="shared" si="18"/>
        <v>0</v>
      </c>
      <c r="J145" s="95">
        <f t="shared" si="18"/>
        <v>2450</v>
      </c>
      <c r="K145" s="95">
        <f t="shared" si="18"/>
        <v>115606.39999999999</v>
      </c>
    </row>
    <row r="146" spans="1:11" ht="18" customHeight="1">
      <c r="A146" s="45" t="s">
        <v>331</v>
      </c>
      <c r="B146" s="43" t="s">
        <v>249</v>
      </c>
      <c r="F146" s="95">
        <f t="shared" ref="F146:K146" si="19">F98</f>
        <v>492.09999999999997</v>
      </c>
      <c r="G146" s="95">
        <f t="shared" si="19"/>
        <v>281.39999999999998</v>
      </c>
      <c r="H146" s="95">
        <f t="shared" si="19"/>
        <v>201946.8</v>
      </c>
      <c r="I146" s="95">
        <f t="shared" si="19"/>
        <v>99774.898533302039</v>
      </c>
      <c r="J146" s="95">
        <f t="shared" si="19"/>
        <v>0</v>
      </c>
      <c r="K146" s="95">
        <f t="shared" si="19"/>
        <v>301721.69853330211</v>
      </c>
    </row>
    <row r="147" spans="1:11" ht="18" customHeight="1">
      <c r="A147" s="45" t="s">
        <v>338</v>
      </c>
      <c r="B147" s="43" t="s">
        <v>129</v>
      </c>
      <c r="F147" s="59">
        <f t="shared" ref="F147:K147" si="20">F108</f>
        <v>2497.6</v>
      </c>
      <c r="G147" s="59">
        <f t="shared" si="20"/>
        <v>0</v>
      </c>
      <c r="H147" s="59">
        <f t="shared" si="20"/>
        <v>85358</v>
      </c>
      <c r="I147" s="59">
        <f t="shared" si="20"/>
        <v>42172.423024686817</v>
      </c>
      <c r="J147" s="59">
        <f t="shared" si="20"/>
        <v>0</v>
      </c>
      <c r="K147" s="59">
        <f t="shared" si="20"/>
        <v>127530.42302468681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5760273</v>
      </c>
    </row>
    <row r="149" spans="1:11" ht="18" customHeight="1">
      <c r="A149" s="45" t="s">
        <v>358</v>
      </c>
      <c r="B149" s="43" t="s">
        <v>250</v>
      </c>
      <c r="F149" s="59">
        <f t="shared" ref="F149:K149" si="21">F137</f>
        <v>0</v>
      </c>
      <c r="G149" s="59">
        <f t="shared" si="21"/>
        <v>0</v>
      </c>
      <c r="H149" s="59">
        <f t="shared" si="21"/>
        <v>17285.099999999999</v>
      </c>
      <c r="I149" s="59">
        <f t="shared" si="21"/>
        <v>8539.9675393520702</v>
      </c>
      <c r="J149" s="59">
        <f t="shared" si="21"/>
        <v>0</v>
      </c>
      <c r="K149" s="59">
        <f t="shared" si="21"/>
        <v>25825.067539352069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7382380</v>
      </c>
      <c r="I150" s="59">
        <f>I18</f>
        <v>0</v>
      </c>
      <c r="J150" s="59">
        <f>J18</f>
        <v>6312858</v>
      </c>
      <c r="K150" s="59">
        <f>K18</f>
        <v>1069522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2">SUM(F141:F150)</f>
        <v>66008.248000000007</v>
      </c>
      <c r="G152" s="99">
        <f t="shared" si="22"/>
        <v>121561.59999999999</v>
      </c>
      <c r="H152" s="99">
        <f t="shared" si="22"/>
        <v>14216681</v>
      </c>
      <c r="I152" s="99">
        <f t="shared" si="22"/>
        <v>1254683.2117841097</v>
      </c>
      <c r="J152" s="99">
        <f t="shared" si="22"/>
        <v>6411573.5</v>
      </c>
      <c r="K152" s="99">
        <f t="shared" si="22"/>
        <v>14820063.711784111</v>
      </c>
    </row>
    <row r="154" spans="1:11" ht="18" customHeight="1">
      <c r="A154" s="48" t="s">
        <v>361</v>
      </c>
      <c r="B154" s="43" t="s">
        <v>252</v>
      </c>
      <c r="F154" s="165">
        <f>K152/F121</f>
        <v>6.5618474539893876E-2</v>
      </c>
    </row>
    <row r="155" spans="1:11" ht="18" customHeight="1">
      <c r="A155" s="48" t="s">
        <v>362</v>
      </c>
      <c r="B155" s="43" t="s">
        <v>253</v>
      </c>
      <c r="F155" s="165">
        <f>K152/F127</f>
        <v>0.95336530793078877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RowHeight="12.75"/>
  <cols>
    <col min="1" max="1" width="8.28515625" style="39" customWidth="1"/>
    <col min="2" max="2" width="55.42578125" style="40" bestFit="1" customWidth="1"/>
    <col min="3" max="3" width="9.5703125" style="40" customWidth="1"/>
    <col min="4" max="4" width="9.140625" style="40"/>
    <col min="5" max="5" width="12.42578125" style="40" customWidth="1"/>
    <col min="6" max="6" width="18.5703125" style="40" customWidth="1"/>
    <col min="7" max="7" width="23.5703125" style="40" customWidth="1"/>
    <col min="8" max="8" width="17.140625" style="40" customWidth="1"/>
    <col min="9" max="9" width="21.140625" style="40" customWidth="1"/>
    <col min="10" max="10" width="19.85546875" style="40" customWidth="1"/>
    <col min="11" max="11" width="17.5703125" style="40" customWidth="1"/>
    <col min="12" max="16384" width="9.14062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26" t="s">
        <v>658</v>
      </c>
      <c r="D5" s="827"/>
      <c r="E5" s="827"/>
      <c r="F5" s="827"/>
      <c r="G5" s="828"/>
    </row>
    <row r="6" spans="1:11" ht="18" customHeight="1">
      <c r="B6" s="45" t="s">
        <v>136</v>
      </c>
      <c r="C6" s="829" t="s">
        <v>659</v>
      </c>
      <c r="D6" s="830"/>
      <c r="E6" s="830"/>
      <c r="F6" s="830"/>
      <c r="G6" s="831"/>
    </row>
    <row r="7" spans="1:11" ht="18" customHeight="1">
      <c r="B7" s="45" t="s">
        <v>137</v>
      </c>
      <c r="C7" s="832">
        <v>1516</v>
      </c>
      <c r="D7" s="833"/>
      <c r="E7" s="833"/>
      <c r="F7" s="833"/>
      <c r="G7" s="834"/>
    </row>
    <row r="9" spans="1:11" ht="18" customHeight="1">
      <c r="B9" s="45" t="s">
        <v>138</v>
      </c>
      <c r="C9" s="826" t="s">
        <v>660</v>
      </c>
      <c r="D9" s="827"/>
      <c r="E9" s="827"/>
      <c r="F9" s="827"/>
      <c r="G9" s="828"/>
    </row>
    <row r="10" spans="1:11" ht="18" customHeight="1">
      <c r="B10" s="45" t="s">
        <v>140</v>
      </c>
      <c r="C10" s="835" t="s">
        <v>661</v>
      </c>
      <c r="D10" s="836"/>
      <c r="E10" s="836"/>
      <c r="F10" s="836"/>
      <c r="G10" s="837"/>
    </row>
    <row r="11" spans="1:11" ht="18" customHeight="1">
      <c r="B11" s="45" t="s">
        <v>142</v>
      </c>
      <c r="C11" s="838" t="s">
        <v>662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5480314</v>
      </c>
      <c r="I18" s="52">
        <v>0</v>
      </c>
      <c r="J18" s="51">
        <v>4686354</v>
      </c>
      <c r="K18" s="53">
        <f>(H18+I18)-J18</f>
        <v>793960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1516</v>
      </c>
      <c r="G21" s="50">
        <v>4826</v>
      </c>
      <c r="H21" s="51">
        <v>122235</v>
      </c>
      <c r="I21" s="52">
        <f t="shared" ref="I21:I34" si="0">H21*F$114</f>
        <v>74208.758643521578</v>
      </c>
      <c r="J21" s="51">
        <v>11727</v>
      </c>
      <c r="K21" s="53">
        <f t="shared" ref="K21:K34" si="1">(H21+I21)-J21</f>
        <v>184716.75864352158</v>
      </c>
    </row>
    <row r="22" spans="1:11" ht="18" customHeight="1">
      <c r="A22" s="45" t="s">
        <v>261</v>
      </c>
      <c r="B22" s="40" t="s">
        <v>157</v>
      </c>
      <c r="F22" s="50">
        <v>888</v>
      </c>
      <c r="G22" s="50">
        <v>4582</v>
      </c>
      <c r="H22" s="51">
        <v>73646</v>
      </c>
      <c r="I22" s="52">
        <f t="shared" si="0"/>
        <v>44710.420411999752</v>
      </c>
      <c r="J22" s="51"/>
      <c r="K22" s="53">
        <f t="shared" si="1"/>
        <v>118356.42041199974</v>
      </c>
    </row>
    <row r="23" spans="1:11" ht="18" customHeight="1">
      <c r="A23" s="45" t="s">
        <v>262</v>
      </c>
      <c r="B23" s="40" t="s">
        <v>158</v>
      </c>
      <c r="F23" s="50"/>
      <c r="G23" s="50"/>
      <c r="H23" s="51"/>
      <c r="I23" s="52">
        <f t="shared" si="0"/>
        <v>0</v>
      </c>
      <c r="J23" s="51"/>
      <c r="K23" s="53">
        <f t="shared" si="1"/>
        <v>0</v>
      </c>
    </row>
    <row r="24" spans="1:11" ht="18" customHeight="1">
      <c r="A24" s="45" t="s">
        <v>263</v>
      </c>
      <c r="B24" s="40" t="s">
        <v>159</v>
      </c>
      <c r="F24" s="50"/>
      <c r="G24" s="50"/>
      <c r="H24" s="51"/>
      <c r="I24" s="52">
        <f t="shared" si="0"/>
        <v>0</v>
      </c>
      <c r="J24" s="51"/>
      <c r="K24" s="53">
        <f t="shared" si="1"/>
        <v>0</v>
      </c>
    </row>
    <row r="25" spans="1:11" ht="18" customHeight="1">
      <c r="A25" s="45" t="s">
        <v>264</v>
      </c>
      <c r="B25" s="40" t="s">
        <v>160</v>
      </c>
      <c r="F25" s="50"/>
      <c r="G25" s="50"/>
      <c r="H25" s="51"/>
      <c r="I25" s="52">
        <f t="shared" si="0"/>
        <v>0</v>
      </c>
      <c r="J25" s="51"/>
      <c r="K25" s="53">
        <f t="shared" si="1"/>
        <v>0</v>
      </c>
    </row>
    <row r="26" spans="1:11" ht="18" customHeight="1">
      <c r="A26" s="45" t="s">
        <v>265</v>
      </c>
      <c r="B26" s="40" t="s">
        <v>161</v>
      </c>
      <c r="F26" s="50"/>
      <c r="G26" s="50"/>
      <c r="H26" s="51"/>
      <c r="I26" s="52">
        <f t="shared" si="0"/>
        <v>0</v>
      </c>
      <c r="J26" s="51"/>
      <c r="K26" s="53">
        <f t="shared" si="1"/>
        <v>0</v>
      </c>
    </row>
    <row r="27" spans="1:11" ht="18" customHeight="1">
      <c r="A27" s="45" t="s">
        <v>266</v>
      </c>
      <c r="B27" s="40" t="s">
        <v>162</v>
      </c>
      <c r="F27" s="50"/>
      <c r="G27" s="50"/>
      <c r="H27" s="51"/>
      <c r="I27" s="52">
        <f t="shared" si="0"/>
        <v>0</v>
      </c>
      <c r="J27" s="51"/>
      <c r="K27" s="53">
        <f t="shared" si="1"/>
        <v>0</v>
      </c>
    </row>
    <row r="28" spans="1:11" ht="18" customHeight="1">
      <c r="A28" s="45" t="s">
        <v>267</v>
      </c>
      <c r="B28" s="40" t="s">
        <v>163</v>
      </c>
      <c r="F28" s="50"/>
      <c r="G28" s="50"/>
      <c r="H28" s="51"/>
      <c r="I28" s="52">
        <f t="shared" si="0"/>
        <v>0</v>
      </c>
      <c r="J28" s="51"/>
      <c r="K28" s="53">
        <f t="shared" si="1"/>
        <v>0</v>
      </c>
    </row>
    <row r="29" spans="1:11" ht="18" customHeight="1">
      <c r="A29" s="45" t="s">
        <v>268</v>
      </c>
      <c r="B29" s="40" t="s">
        <v>165</v>
      </c>
      <c r="F29" s="50"/>
      <c r="G29" s="50"/>
      <c r="H29" s="51"/>
      <c r="I29" s="52">
        <f t="shared" si="0"/>
        <v>0</v>
      </c>
      <c r="J29" s="51"/>
      <c r="K29" s="53">
        <f t="shared" si="1"/>
        <v>0</v>
      </c>
    </row>
    <row r="30" spans="1:11" ht="18" customHeight="1">
      <c r="A30" s="45" t="s">
        <v>269</v>
      </c>
      <c r="B30" s="817"/>
      <c r="C30" s="815"/>
      <c r="D30" s="816"/>
      <c r="F30" s="50"/>
      <c r="G30" s="50"/>
      <c r="H30" s="51"/>
      <c r="I30" s="52">
        <f t="shared" si="0"/>
        <v>0</v>
      </c>
      <c r="J30" s="51"/>
      <c r="K30" s="53">
        <f t="shared" si="1"/>
        <v>0</v>
      </c>
    </row>
    <row r="31" spans="1:11" ht="18" customHeight="1">
      <c r="A31" s="45" t="s">
        <v>270</v>
      </c>
      <c r="B31" s="814"/>
      <c r="C31" s="815"/>
      <c r="D31" s="816"/>
      <c r="F31" s="50"/>
      <c r="G31" s="50"/>
      <c r="H31" s="51"/>
      <c r="I31" s="52">
        <f t="shared" si="0"/>
        <v>0</v>
      </c>
      <c r="J31" s="51"/>
      <c r="K31" s="53">
        <f t="shared" si="1"/>
        <v>0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0"/>
        <v>0</v>
      </c>
      <c r="J32" s="51"/>
      <c r="K32" s="53">
        <f t="shared" si="1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0"/>
        <v>0</v>
      </c>
      <c r="J33" s="51"/>
      <c r="K33" s="53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0"/>
        <v>0</v>
      </c>
      <c r="J34" s="51"/>
      <c r="K34" s="53">
        <f t="shared" si="1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2404</v>
      </c>
      <c r="G36" s="59">
        <f t="shared" si="2"/>
        <v>9408</v>
      </c>
      <c r="H36" s="59">
        <f t="shared" si="2"/>
        <v>195881</v>
      </c>
      <c r="I36" s="53">
        <f t="shared" si="2"/>
        <v>118919.17905552132</v>
      </c>
      <c r="J36" s="53">
        <f t="shared" si="2"/>
        <v>11727</v>
      </c>
      <c r="K36" s="53">
        <f t="shared" si="2"/>
        <v>303073.17905552132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>
        <v>8</v>
      </c>
      <c r="G40" s="50">
        <v>2</v>
      </c>
      <c r="H40" s="51">
        <v>264</v>
      </c>
      <c r="I40" s="52">
        <v>0</v>
      </c>
      <c r="J40" s="51"/>
      <c r="K40" s="53">
        <f t="shared" ref="K40:K47" si="3">(H40+I40)-J40</f>
        <v>264</v>
      </c>
    </row>
    <row r="41" spans="1:11" ht="18" customHeight="1">
      <c r="A41" s="45" t="s">
        <v>278</v>
      </c>
      <c r="B41" s="818" t="s">
        <v>172</v>
      </c>
      <c r="C41" s="819"/>
      <c r="F41" s="50">
        <v>47361</v>
      </c>
      <c r="G41" s="50">
        <v>685</v>
      </c>
      <c r="H41" s="51">
        <v>1610274</v>
      </c>
      <c r="I41" s="52">
        <v>0</v>
      </c>
      <c r="J41" s="51"/>
      <c r="K41" s="53">
        <f t="shared" si="3"/>
        <v>1610274</v>
      </c>
    </row>
    <row r="42" spans="1:11" ht="18" customHeight="1">
      <c r="A42" s="45" t="s">
        <v>279</v>
      </c>
      <c r="B42" s="49" t="s">
        <v>174</v>
      </c>
      <c r="F42" s="50">
        <v>24685</v>
      </c>
      <c r="G42" s="50">
        <v>1444</v>
      </c>
      <c r="H42" s="51">
        <v>932806</v>
      </c>
      <c r="I42" s="52">
        <v>0</v>
      </c>
      <c r="J42" s="51"/>
      <c r="K42" s="53">
        <f t="shared" si="3"/>
        <v>932806</v>
      </c>
    </row>
    <row r="43" spans="1:11" ht="18" customHeight="1">
      <c r="A43" s="45" t="s">
        <v>280</v>
      </c>
      <c r="B43" s="49" t="s">
        <v>176</v>
      </c>
      <c r="F43" s="50"/>
      <c r="G43" s="50"/>
      <c r="H43" s="51"/>
      <c r="I43" s="52">
        <v>0</v>
      </c>
      <c r="J43" s="51"/>
      <c r="K43" s="53">
        <f t="shared" si="3"/>
        <v>0</v>
      </c>
    </row>
    <row r="44" spans="1:11" ht="18" customHeight="1">
      <c r="A44" s="45" t="s">
        <v>281</v>
      </c>
      <c r="B44" s="814"/>
      <c r="C44" s="815"/>
      <c r="D44" s="816"/>
      <c r="F44" s="50"/>
      <c r="G44" s="50"/>
      <c r="H44" s="50"/>
      <c r="I44" s="52">
        <v>0</v>
      </c>
      <c r="J44" s="50"/>
      <c r="K44" s="63">
        <f t="shared" si="3"/>
        <v>0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v>0</v>
      </c>
      <c r="J45" s="51"/>
      <c r="K45" s="53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v>0</v>
      </c>
      <c r="J46" s="51"/>
      <c r="K46" s="53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72054</v>
      </c>
      <c r="G49" s="64">
        <f t="shared" si="4"/>
        <v>2131</v>
      </c>
      <c r="H49" s="53">
        <f t="shared" si="4"/>
        <v>2543344</v>
      </c>
      <c r="I49" s="53">
        <f t="shared" si="4"/>
        <v>0</v>
      </c>
      <c r="J49" s="53">
        <f t="shared" si="4"/>
        <v>0</v>
      </c>
      <c r="K49" s="53">
        <f t="shared" si="4"/>
        <v>2543344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22" t="s">
        <v>663</v>
      </c>
      <c r="C53" s="823"/>
      <c r="D53" s="813"/>
      <c r="F53" s="50"/>
      <c r="G53" s="50"/>
      <c r="H53" s="51">
        <v>130332</v>
      </c>
      <c r="I53" s="52">
        <v>0</v>
      </c>
      <c r="J53" s="51"/>
      <c r="K53" s="53">
        <f t="shared" ref="K53:K62" si="5">(H53+I53)-J53</f>
        <v>130332</v>
      </c>
    </row>
    <row r="54" spans="1:11" ht="18" customHeight="1">
      <c r="A54" s="45" t="s">
        <v>289</v>
      </c>
      <c r="B54" s="104"/>
      <c r="C54" s="105"/>
      <c r="D54" s="106"/>
      <c r="F54" s="50"/>
      <c r="G54" s="50"/>
      <c r="H54" s="51"/>
      <c r="I54" s="52">
        <v>0</v>
      </c>
      <c r="J54" s="51"/>
      <c r="K54" s="53">
        <f t="shared" si="5"/>
        <v>0</v>
      </c>
    </row>
    <row r="55" spans="1:11" ht="18" customHeight="1">
      <c r="A55" s="45" t="s">
        <v>291</v>
      </c>
      <c r="B55" s="811"/>
      <c r="C55" s="812"/>
      <c r="D55" s="813"/>
      <c r="F55" s="50"/>
      <c r="G55" s="50"/>
      <c r="H55" s="51"/>
      <c r="I55" s="52">
        <v>0</v>
      </c>
      <c r="J55" s="51"/>
      <c r="K55" s="53">
        <f t="shared" si="5"/>
        <v>0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v>0</v>
      </c>
      <c r="J56" s="51"/>
      <c r="K56" s="53">
        <f t="shared" si="5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v>0</v>
      </c>
      <c r="J57" s="51"/>
      <c r="K57" s="53">
        <f t="shared" si="5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v>0</v>
      </c>
      <c r="J58" s="51"/>
      <c r="K58" s="53">
        <f t="shared" si="5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v>0</v>
      </c>
      <c r="J59" s="51"/>
      <c r="K59" s="53">
        <f t="shared" si="5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v>0</v>
      </c>
      <c r="J60" s="51"/>
      <c r="K60" s="53">
        <f t="shared" si="5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v>0</v>
      </c>
      <c r="J61" s="51"/>
      <c r="K61" s="53">
        <f t="shared" si="5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5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6">SUM(F53:F62)</f>
        <v>0</v>
      </c>
      <c r="G64" s="59">
        <f t="shared" si="6"/>
        <v>0</v>
      </c>
      <c r="H64" s="53">
        <f t="shared" si="6"/>
        <v>130332</v>
      </c>
      <c r="I64" s="53">
        <f t="shared" si="6"/>
        <v>0</v>
      </c>
      <c r="J64" s="53">
        <f t="shared" si="6"/>
        <v>0</v>
      </c>
      <c r="K64" s="53">
        <f t="shared" si="6"/>
        <v>130332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/>
      <c r="G68" s="78"/>
      <c r="H68" s="78"/>
      <c r="I68" s="52">
        <v>0</v>
      </c>
      <c r="J68" s="78"/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7">SUM(F68:F72)</f>
        <v>0</v>
      </c>
      <c r="G74" s="86">
        <f t="shared" si="7"/>
        <v>0</v>
      </c>
      <c r="H74" s="86">
        <f t="shared" si="7"/>
        <v>0</v>
      </c>
      <c r="I74" s="87">
        <f t="shared" si="7"/>
        <v>0</v>
      </c>
      <c r="J74" s="86">
        <f t="shared" si="7"/>
        <v>0</v>
      </c>
      <c r="K74" s="63">
        <f t="shared" si="7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/>
      <c r="G77" s="50"/>
      <c r="H77" s="51">
        <v>268068.19</v>
      </c>
      <c r="I77" s="52">
        <v>0</v>
      </c>
      <c r="J77" s="51"/>
      <c r="K77" s="53">
        <f>(H77+I77)-J77</f>
        <v>268068.19</v>
      </c>
    </row>
    <row r="78" spans="1:11" ht="18" customHeight="1">
      <c r="A78" s="45" t="s">
        <v>313</v>
      </c>
      <c r="B78" s="49" t="s">
        <v>197</v>
      </c>
      <c r="F78" s="50"/>
      <c r="G78" s="50"/>
      <c r="H78" s="51"/>
      <c r="I78" s="52">
        <v>0</v>
      </c>
      <c r="J78" s="51"/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>
        <v>1838</v>
      </c>
      <c r="G79" s="50">
        <v>12044</v>
      </c>
      <c r="H79" s="51">
        <v>66023</v>
      </c>
      <c r="I79" s="52">
        <v>0</v>
      </c>
      <c r="J79" s="51"/>
      <c r="K79" s="53">
        <f>(H79+I79)-J79</f>
        <v>66023</v>
      </c>
    </row>
    <row r="80" spans="1:11" ht="18" customHeight="1">
      <c r="A80" s="45" t="s">
        <v>315</v>
      </c>
      <c r="B80" s="49" t="s">
        <v>316</v>
      </c>
      <c r="F80" s="50"/>
      <c r="G80" s="50"/>
      <c r="H80" s="51"/>
      <c r="I80" s="52">
        <v>0</v>
      </c>
      <c r="J80" s="51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8">SUM(F77:F80)</f>
        <v>1838</v>
      </c>
      <c r="G82" s="86">
        <f t="shared" si="8"/>
        <v>12044</v>
      </c>
      <c r="H82" s="63">
        <f t="shared" si="8"/>
        <v>334091.19</v>
      </c>
      <c r="I82" s="63">
        <f t="shared" si="8"/>
        <v>0</v>
      </c>
      <c r="J82" s="63">
        <f t="shared" si="8"/>
        <v>0</v>
      </c>
      <c r="K82" s="63">
        <f t="shared" si="8"/>
        <v>334091.19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/>
      <c r="G86" s="50"/>
      <c r="H86" s="51"/>
      <c r="I86" s="52">
        <f t="shared" ref="I86:I96" si="9">H86*F$114</f>
        <v>0</v>
      </c>
      <c r="J86" s="51"/>
      <c r="K86" s="53">
        <f t="shared" ref="K86:K96" si="10">(H86+I86)-J86</f>
        <v>0</v>
      </c>
    </row>
    <row r="87" spans="1:11" ht="18" customHeight="1">
      <c r="A87" s="45" t="s">
        <v>320</v>
      </c>
      <c r="B87" s="49" t="s">
        <v>206</v>
      </c>
      <c r="F87" s="50">
        <v>102</v>
      </c>
      <c r="G87" s="50">
        <v>2509</v>
      </c>
      <c r="H87" s="51">
        <v>40993</v>
      </c>
      <c r="I87" s="52">
        <f t="shared" si="9"/>
        <v>24886.813458288379</v>
      </c>
      <c r="J87" s="51"/>
      <c r="K87" s="53">
        <f t="shared" si="10"/>
        <v>65879.813458288379</v>
      </c>
    </row>
    <row r="88" spans="1:11" ht="18" customHeight="1">
      <c r="A88" s="45" t="s">
        <v>321</v>
      </c>
      <c r="B88" s="49" t="s">
        <v>208</v>
      </c>
      <c r="F88" s="50">
        <v>11200</v>
      </c>
      <c r="G88" s="50">
        <v>3524</v>
      </c>
      <c r="H88" s="51">
        <v>379360</v>
      </c>
      <c r="I88" s="52">
        <f t="shared" si="9"/>
        <v>230309.11505711413</v>
      </c>
      <c r="J88" s="51"/>
      <c r="K88" s="53">
        <f t="shared" si="10"/>
        <v>609669.11505711416</v>
      </c>
    </row>
    <row r="89" spans="1:11" ht="18" customHeight="1">
      <c r="A89" s="45" t="s">
        <v>322</v>
      </c>
      <c r="B89" s="49" t="s">
        <v>210</v>
      </c>
      <c r="F89" s="50"/>
      <c r="G89" s="50"/>
      <c r="H89" s="51"/>
      <c r="I89" s="52">
        <f t="shared" si="9"/>
        <v>0</v>
      </c>
      <c r="J89" s="51"/>
      <c r="K89" s="53">
        <f t="shared" si="10"/>
        <v>0</v>
      </c>
    </row>
    <row r="90" spans="1:11" ht="18" customHeight="1">
      <c r="A90" s="45" t="s">
        <v>323</v>
      </c>
      <c r="B90" s="818" t="s">
        <v>212</v>
      </c>
      <c r="C90" s="819"/>
      <c r="F90" s="50"/>
      <c r="G90" s="50"/>
      <c r="H90" s="51"/>
      <c r="I90" s="52">
        <f t="shared" si="9"/>
        <v>0</v>
      </c>
      <c r="J90" s="51"/>
      <c r="K90" s="53">
        <f t="shared" si="10"/>
        <v>0</v>
      </c>
    </row>
    <row r="91" spans="1:11" ht="18" customHeight="1">
      <c r="A91" s="45" t="s">
        <v>324</v>
      </c>
      <c r="B91" s="49" t="s">
        <v>214</v>
      </c>
      <c r="F91" s="50"/>
      <c r="G91" s="50"/>
      <c r="H91" s="51"/>
      <c r="I91" s="52">
        <f t="shared" si="9"/>
        <v>0</v>
      </c>
      <c r="J91" s="51"/>
      <c r="K91" s="53">
        <f t="shared" si="10"/>
        <v>0</v>
      </c>
    </row>
    <row r="92" spans="1:11" ht="18" customHeight="1">
      <c r="A92" s="45" t="s">
        <v>325</v>
      </c>
      <c r="B92" s="49" t="s">
        <v>216</v>
      </c>
      <c r="F92" s="89"/>
      <c r="G92" s="89"/>
      <c r="H92" s="90">
        <v>4200</v>
      </c>
      <c r="I92" s="52">
        <f t="shared" si="9"/>
        <v>2549.8162253265482</v>
      </c>
      <c r="J92" s="90"/>
      <c r="K92" s="53">
        <f t="shared" si="10"/>
        <v>6749.8162253265482</v>
      </c>
    </row>
    <row r="93" spans="1:11" ht="18" customHeight="1">
      <c r="A93" s="45" t="s">
        <v>326</v>
      </c>
      <c r="B93" s="49" t="s">
        <v>218</v>
      </c>
      <c r="F93" s="50">
        <v>3146</v>
      </c>
      <c r="G93" s="50">
        <v>8350</v>
      </c>
      <c r="H93" s="51">
        <v>139576</v>
      </c>
      <c r="I93" s="52">
        <f t="shared" si="9"/>
        <v>84736.464158613875</v>
      </c>
      <c r="J93" s="51">
        <v>36284.65</v>
      </c>
      <c r="K93" s="53">
        <f t="shared" si="10"/>
        <v>188027.81415861388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si="9"/>
        <v>0</v>
      </c>
      <c r="J94" s="51"/>
      <c r="K94" s="53">
        <f t="shared" si="10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9"/>
        <v>0</v>
      </c>
      <c r="J95" s="51"/>
      <c r="K95" s="53">
        <f t="shared" si="10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9"/>
        <v>0</v>
      </c>
      <c r="J96" s="51"/>
      <c r="K96" s="53">
        <f t="shared" si="10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1">SUM(F86:F96)</f>
        <v>14448</v>
      </c>
      <c r="G98" s="59">
        <f t="shared" si="11"/>
        <v>14383</v>
      </c>
      <c r="H98" s="59">
        <f t="shared" si="11"/>
        <v>564129</v>
      </c>
      <c r="I98" s="59">
        <f t="shared" si="11"/>
        <v>342482.20889934292</v>
      </c>
      <c r="J98" s="59">
        <f t="shared" si="11"/>
        <v>36284.65</v>
      </c>
      <c r="K98" s="59">
        <f t="shared" si="11"/>
        <v>870326.55889934301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1040</v>
      </c>
      <c r="G102" s="50"/>
      <c r="H102" s="51">
        <v>20800</v>
      </c>
      <c r="I102" s="52">
        <f>H102*F$114</f>
        <v>12627.661306379096</v>
      </c>
      <c r="J102" s="51"/>
      <c r="K102" s="53">
        <f>(H102+I102)-J102</f>
        <v>33427.661306379094</v>
      </c>
    </row>
    <row r="103" spans="1:11" ht="18" customHeight="1">
      <c r="A103" s="45" t="s">
        <v>333</v>
      </c>
      <c r="B103" s="818" t="s">
        <v>226</v>
      </c>
      <c r="C103" s="818"/>
      <c r="F103" s="50">
        <v>308</v>
      </c>
      <c r="G103" s="50"/>
      <c r="H103" s="51">
        <v>38480</v>
      </c>
      <c r="I103" s="52">
        <f>H103*F$114</f>
        <v>23361.173416801328</v>
      </c>
      <c r="J103" s="51"/>
      <c r="K103" s="53">
        <f>(H103+I103)-J103</f>
        <v>61841.173416801328</v>
      </c>
    </row>
    <row r="104" spans="1:11" ht="18" customHeight="1">
      <c r="A104" s="45" t="s">
        <v>334</v>
      </c>
      <c r="B104" s="811"/>
      <c r="C104" s="812"/>
      <c r="D104" s="813"/>
      <c r="F104" s="50"/>
      <c r="G104" s="50"/>
      <c r="H104" s="51"/>
      <c r="I104" s="52">
        <f>H104*F$114</f>
        <v>0</v>
      </c>
      <c r="J104" s="51"/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2">SUM(F102:F106)</f>
        <v>1348</v>
      </c>
      <c r="G108" s="59">
        <f t="shared" si="12"/>
        <v>0</v>
      </c>
      <c r="H108" s="53">
        <f t="shared" si="12"/>
        <v>59280</v>
      </c>
      <c r="I108" s="53">
        <f t="shared" si="12"/>
        <v>35988.834723180422</v>
      </c>
      <c r="J108" s="53">
        <f t="shared" si="12"/>
        <v>0</v>
      </c>
      <c r="K108" s="53">
        <f t="shared" si="12"/>
        <v>95268.834723180422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15889496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f>(20664.2+26162.8+16532.4+2198.5)/(107357.2+628.3)</f>
        <v>0.60709910126822575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170585754</v>
      </c>
    </row>
    <row r="118" spans="1:6">
      <c r="A118" s="45" t="s">
        <v>343</v>
      </c>
      <c r="B118" s="40" t="s">
        <v>237</v>
      </c>
      <c r="F118" s="51">
        <v>8341115</v>
      </c>
    </row>
    <row r="119" spans="1:6">
      <c r="A119" s="45" t="s">
        <v>344</v>
      </c>
      <c r="B119" s="43" t="s">
        <v>238</v>
      </c>
      <c r="F119" s="63">
        <f>SUM(F117:F118)</f>
        <v>178926869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178022901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v>906968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1679487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f>+F125+F123</f>
        <v>2586455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3">SUM(F131:F135)</f>
        <v>0</v>
      </c>
      <c r="G137" s="59">
        <f t="shared" si="13"/>
        <v>0</v>
      </c>
      <c r="H137" s="53">
        <f t="shared" si="13"/>
        <v>0</v>
      </c>
      <c r="I137" s="53">
        <f t="shared" si="13"/>
        <v>0</v>
      </c>
      <c r="J137" s="53">
        <f t="shared" si="13"/>
        <v>0</v>
      </c>
      <c r="K137" s="53">
        <f t="shared" si="13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4">F36</f>
        <v>2404</v>
      </c>
      <c r="G141" s="95">
        <f t="shared" si="14"/>
        <v>9408</v>
      </c>
      <c r="H141" s="95">
        <f t="shared" si="14"/>
        <v>195881</v>
      </c>
      <c r="I141" s="95">
        <f t="shared" si="14"/>
        <v>118919.17905552132</v>
      </c>
      <c r="J141" s="95">
        <f t="shared" si="14"/>
        <v>11727</v>
      </c>
      <c r="K141" s="95">
        <f t="shared" si="14"/>
        <v>303073.17905552132</v>
      </c>
    </row>
    <row r="142" spans="1:11" ht="18" customHeight="1">
      <c r="A142" s="45" t="s">
        <v>286</v>
      </c>
      <c r="B142" s="43" t="s">
        <v>125</v>
      </c>
      <c r="F142" s="95">
        <f t="shared" ref="F142:K142" si="15">F49</f>
        <v>72054</v>
      </c>
      <c r="G142" s="95">
        <f t="shared" si="15"/>
        <v>2131</v>
      </c>
      <c r="H142" s="95">
        <f t="shared" si="15"/>
        <v>2543344</v>
      </c>
      <c r="I142" s="95">
        <f t="shared" si="15"/>
        <v>0</v>
      </c>
      <c r="J142" s="95">
        <f t="shared" si="15"/>
        <v>0</v>
      </c>
      <c r="K142" s="95">
        <f t="shared" si="15"/>
        <v>2543344</v>
      </c>
    </row>
    <row r="143" spans="1:11" ht="18" customHeight="1">
      <c r="A143" s="45" t="s">
        <v>305</v>
      </c>
      <c r="B143" s="43" t="s">
        <v>247</v>
      </c>
      <c r="F143" s="95">
        <f t="shared" ref="F143:K143" si="16">F64</f>
        <v>0</v>
      </c>
      <c r="G143" s="95">
        <f t="shared" si="16"/>
        <v>0</v>
      </c>
      <c r="H143" s="95">
        <f t="shared" si="16"/>
        <v>130332</v>
      </c>
      <c r="I143" s="95">
        <f t="shared" si="16"/>
        <v>0</v>
      </c>
      <c r="J143" s="95">
        <f t="shared" si="16"/>
        <v>0</v>
      </c>
      <c r="K143" s="95">
        <f t="shared" si="16"/>
        <v>130332</v>
      </c>
    </row>
    <row r="144" spans="1:11" ht="18" customHeight="1">
      <c r="A144" s="45" t="s">
        <v>311</v>
      </c>
      <c r="B144" s="43" t="s">
        <v>127</v>
      </c>
      <c r="F144" s="95">
        <f t="shared" ref="F144:K144" si="17">F74</f>
        <v>0</v>
      </c>
      <c r="G144" s="95">
        <f t="shared" si="17"/>
        <v>0</v>
      </c>
      <c r="H144" s="95">
        <f t="shared" si="17"/>
        <v>0</v>
      </c>
      <c r="I144" s="95">
        <f t="shared" si="17"/>
        <v>0</v>
      </c>
      <c r="J144" s="95">
        <f t="shared" si="17"/>
        <v>0</v>
      </c>
      <c r="K144" s="95">
        <f t="shared" si="17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18">F82</f>
        <v>1838</v>
      </c>
      <c r="G145" s="95">
        <f t="shared" si="18"/>
        <v>12044</v>
      </c>
      <c r="H145" s="95">
        <f t="shared" si="18"/>
        <v>334091.19</v>
      </c>
      <c r="I145" s="95">
        <f t="shared" si="18"/>
        <v>0</v>
      </c>
      <c r="J145" s="95">
        <f t="shared" si="18"/>
        <v>0</v>
      </c>
      <c r="K145" s="95">
        <f t="shared" si="18"/>
        <v>334091.19</v>
      </c>
    </row>
    <row r="146" spans="1:11" ht="18" customHeight="1">
      <c r="A146" s="45" t="s">
        <v>331</v>
      </c>
      <c r="B146" s="43" t="s">
        <v>249</v>
      </c>
      <c r="F146" s="95">
        <f t="shared" ref="F146:K146" si="19">F98</f>
        <v>14448</v>
      </c>
      <c r="G146" s="95">
        <f t="shared" si="19"/>
        <v>14383</v>
      </c>
      <c r="H146" s="95">
        <f t="shared" si="19"/>
        <v>564129</v>
      </c>
      <c r="I146" s="95">
        <f t="shared" si="19"/>
        <v>342482.20889934292</v>
      </c>
      <c r="J146" s="95">
        <f t="shared" si="19"/>
        <v>36284.65</v>
      </c>
      <c r="K146" s="95">
        <f t="shared" si="19"/>
        <v>870326.55889934301</v>
      </c>
    </row>
    <row r="147" spans="1:11" ht="18" customHeight="1">
      <c r="A147" s="45" t="s">
        <v>338</v>
      </c>
      <c r="B147" s="43" t="s">
        <v>129</v>
      </c>
      <c r="F147" s="59">
        <f t="shared" ref="F147:K147" si="20">F108</f>
        <v>1348</v>
      </c>
      <c r="G147" s="59">
        <f t="shared" si="20"/>
        <v>0</v>
      </c>
      <c r="H147" s="59">
        <f t="shared" si="20"/>
        <v>59280</v>
      </c>
      <c r="I147" s="59">
        <f t="shared" si="20"/>
        <v>35988.834723180422</v>
      </c>
      <c r="J147" s="59">
        <f t="shared" si="20"/>
        <v>0</v>
      </c>
      <c r="K147" s="59">
        <f t="shared" si="20"/>
        <v>95268.834723180422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15889496</v>
      </c>
    </row>
    <row r="149" spans="1:11" ht="18" customHeight="1">
      <c r="A149" s="45" t="s">
        <v>358</v>
      </c>
      <c r="B149" s="43" t="s">
        <v>250</v>
      </c>
      <c r="F149" s="59">
        <f t="shared" ref="F149:K149" si="21">F137</f>
        <v>0</v>
      </c>
      <c r="G149" s="59">
        <f t="shared" si="21"/>
        <v>0</v>
      </c>
      <c r="H149" s="59">
        <f t="shared" si="21"/>
        <v>0</v>
      </c>
      <c r="I149" s="59">
        <f t="shared" si="21"/>
        <v>0</v>
      </c>
      <c r="J149" s="59">
        <f t="shared" si="21"/>
        <v>0</v>
      </c>
      <c r="K149" s="59">
        <f t="shared" si="21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5480314</v>
      </c>
      <c r="I150" s="59">
        <f>I18</f>
        <v>0</v>
      </c>
      <c r="J150" s="59">
        <f>J18</f>
        <v>4686354</v>
      </c>
      <c r="K150" s="59">
        <f>K18</f>
        <v>793960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2">SUM(F141:F150)</f>
        <v>92092</v>
      </c>
      <c r="G152" s="99">
        <f t="shared" si="22"/>
        <v>37966</v>
      </c>
      <c r="H152" s="99">
        <f t="shared" si="22"/>
        <v>9307371.1899999995</v>
      </c>
      <c r="I152" s="99">
        <f t="shared" si="22"/>
        <v>497390.22267804469</v>
      </c>
      <c r="J152" s="99">
        <f t="shared" si="22"/>
        <v>4734365.6500000004</v>
      </c>
      <c r="K152" s="99">
        <f t="shared" si="22"/>
        <v>20959891.762678046</v>
      </c>
    </row>
    <row r="154" spans="1:11" ht="18" customHeight="1">
      <c r="A154" s="48" t="s">
        <v>361</v>
      </c>
      <c r="B154" s="43" t="s">
        <v>252</v>
      </c>
      <c r="F154" s="166">
        <f>K152/F121</f>
        <v>0.11773705318215237</v>
      </c>
    </row>
    <row r="155" spans="1:11" ht="18" customHeight="1">
      <c r="A155" s="48" t="s">
        <v>362</v>
      </c>
      <c r="B155" s="43" t="s">
        <v>253</v>
      </c>
      <c r="F155" s="166">
        <f>K152/F127</f>
        <v>8.1037140652661837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RowHeight="12.75"/>
  <cols>
    <col min="1" max="1" width="8.28515625" style="39" customWidth="1"/>
    <col min="2" max="2" width="55.42578125" style="40" bestFit="1" customWidth="1"/>
    <col min="3" max="3" width="9.5703125" style="40" customWidth="1"/>
    <col min="4" max="4" width="9.140625" style="40"/>
    <col min="5" max="5" width="12.42578125" style="40" customWidth="1"/>
    <col min="6" max="6" width="18.5703125" style="40" customWidth="1"/>
    <col min="7" max="7" width="23.5703125" style="40" customWidth="1"/>
    <col min="8" max="8" width="17.140625" style="40" customWidth="1"/>
    <col min="9" max="9" width="21.140625" style="40" customWidth="1"/>
    <col min="10" max="10" width="19.85546875" style="40" customWidth="1"/>
    <col min="11" max="11" width="17.5703125" style="40" customWidth="1"/>
    <col min="12" max="16384" width="9.14062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664</v>
      </c>
      <c r="D5" s="827"/>
      <c r="E5" s="827"/>
      <c r="F5" s="827"/>
      <c r="G5" s="828"/>
    </row>
    <row r="6" spans="1:11" ht="18" customHeight="1">
      <c r="B6" s="45" t="s">
        <v>136</v>
      </c>
      <c r="C6" s="847" t="s">
        <v>665</v>
      </c>
      <c r="D6" s="830"/>
      <c r="E6" s="830"/>
      <c r="F6" s="830"/>
      <c r="G6" s="831"/>
    </row>
    <row r="7" spans="1:11" ht="18" customHeight="1">
      <c r="B7" s="45" t="s">
        <v>137</v>
      </c>
      <c r="C7" s="832"/>
      <c r="D7" s="833"/>
      <c r="E7" s="833"/>
      <c r="F7" s="833"/>
      <c r="G7" s="834"/>
    </row>
    <row r="9" spans="1:11" ht="18" customHeight="1">
      <c r="B9" s="45" t="s">
        <v>138</v>
      </c>
      <c r="C9" s="843" t="s">
        <v>421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422</v>
      </c>
      <c r="D10" s="836"/>
      <c r="E10" s="836"/>
      <c r="F10" s="836"/>
      <c r="G10" s="837"/>
    </row>
    <row r="11" spans="1:11" ht="18" customHeight="1">
      <c r="B11" s="45" t="s">
        <v>142</v>
      </c>
      <c r="C11" s="849" t="s">
        <v>423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2848234</v>
      </c>
      <c r="I18" s="52">
        <v>0</v>
      </c>
      <c r="J18" s="51">
        <v>2435597</v>
      </c>
      <c r="K18" s="53">
        <f>(H18+I18)-J18</f>
        <v>412637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211</v>
      </c>
      <c r="G21" s="50">
        <v>902</v>
      </c>
      <c r="H21" s="51">
        <v>9661</v>
      </c>
      <c r="I21" s="52">
        <f t="shared" ref="I21:I34" si="0">H21*F$114</f>
        <v>5644.9223000000002</v>
      </c>
      <c r="J21" s="51">
        <v>144</v>
      </c>
      <c r="K21" s="53">
        <f t="shared" ref="K21:K34" si="1">(H21+I21)-J21</f>
        <v>15161.9223</v>
      </c>
    </row>
    <row r="22" spans="1:11" ht="18" customHeight="1">
      <c r="A22" s="45" t="s">
        <v>261</v>
      </c>
      <c r="B22" s="40" t="s">
        <v>157</v>
      </c>
      <c r="F22" s="50">
        <v>15</v>
      </c>
      <c r="G22" s="50">
        <v>104</v>
      </c>
      <c r="H22" s="51">
        <v>844</v>
      </c>
      <c r="I22" s="52">
        <f t="shared" si="0"/>
        <v>493.14920000000001</v>
      </c>
      <c r="J22" s="51"/>
      <c r="K22" s="53">
        <f t="shared" si="1"/>
        <v>1337.1492000000001</v>
      </c>
    </row>
    <row r="23" spans="1:11" ht="18" customHeight="1">
      <c r="A23" s="45" t="s">
        <v>262</v>
      </c>
      <c r="B23" s="40" t="s">
        <v>158</v>
      </c>
      <c r="F23" s="50"/>
      <c r="G23" s="50"/>
      <c r="H23" s="51"/>
      <c r="I23" s="52">
        <f t="shared" si="0"/>
        <v>0</v>
      </c>
      <c r="J23" s="51"/>
      <c r="K23" s="53">
        <f t="shared" si="1"/>
        <v>0</v>
      </c>
    </row>
    <row r="24" spans="1:11" ht="18" customHeight="1">
      <c r="A24" s="45" t="s">
        <v>263</v>
      </c>
      <c r="B24" s="40" t="s">
        <v>159</v>
      </c>
      <c r="F24" s="50"/>
      <c r="G24" s="50"/>
      <c r="H24" s="51"/>
      <c r="I24" s="52">
        <f t="shared" si="0"/>
        <v>0</v>
      </c>
      <c r="J24" s="51"/>
      <c r="K24" s="53">
        <f t="shared" si="1"/>
        <v>0</v>
      </c>
    </row>
    <row r="25" spans="1:11" ht="18" customHeight="1">
      <c r="A25" s="45" t="s">
        <v>264</v>
      </c>
      <c r="B25" s="40" t="s">
        <v>160</v>
      </c>
      <c r="F25" s="50"/>
      <c r="G25" s="50"/>
      <c r="H25" s="51"/>
      <c r="I25" s="52">
        <f t="shared" si="0"/>
        <v>0</v>
      </c>
      <c r="J25" s="51"/>
      <c r="K25" s="53">
        <f t="shared" si="1"/>
        <v>0</v>
      </c>
    </row>
    <row r="26" spans="1:11" ht="18" customHeight="1">
      <c r="A26" s="45" t="s">
        <v>265</v>
      </c>
      <c r="B26" s="40" t="s">
        <v>161</v>
      </c>
      <c r="F26" s="50">
        <v>14</v>
      </c>
      <c r="G26" s="50">
        <v>207</v>
      </c>
      <c r="H26" s="51">
        <v>673</v>
      </c>
      <c r="I26" s="52">
        <f t="shared" si="0"/>
        <v>393.23390000000001</v>
      </c>
      <c r="J26" s="51"/>
      <c r="K26" s="53">
        <f t="shared" si="1"/>
        <v>1066.2338999999999</v>
      </c>
    </row>
    <row r="27" spans="1:11" ht="18" customHeight="1">
      <c r="A27" s="45" t="s">
        <v>266</v>
      </c>
      <c r="B27" s="40" t="s">
        <v>162</v>
      </c>
      <c r="F27" s="50"/>
      <c r="G27" s="50"/>
      <c r="H27" s="51"/>
      <c r="I27" s="52">
        <f t="shared" si="0"/>
        <v>0</v>
      </c>
      <c r="J27" s="51"/>
      <c r="K27" s="53">
        <f t="shared" si="1"/>
        <v>0</v>
      </c>
    </row>
    <row r="28" spans="1:11" ht="18" customHeight="1">
      <c r="A28" s="45" t="s">
        <v>267</v>
      </c>
      <c r="B28" s="40" t="s">
        <v>163</v>
      </c>
      <c r="F28" s="50"/>
      <c r="G28" s="50"/>
      <c r="H28" s="51"/>
      <c r="I28" s="52">
        <f t="shared" si="0"/>
        <v>0</v>
      </c>
      <c r="J28" s="51"/>
      <c r="K28" s="53">
        <f t="shared" si="1"/>
        <v>0</v>
      </c>
    </row>
    <row r="29" spans="1:11" ht="18" customHeight="1">
      <c r="A29" s="45" t="s">
        <v>268</v>
      </c>
      <c r="B29" s="40" t="s">
        <v>165</v>
      </c>
      <c r="F29" s="50"/>
      <c r="G29" s="50"/>
      <c r="H29" s="51"/>
      <c r="I29" s="52">
        <f t="shared" si="0"/>
        <v>0</v>
      </c>
      <c r="J29" s="51"/>
      <c r="K29" s="53">
        <f t="shared" si="1"/>
        <v>0</v>
      </c>
    </row>
    <row r="30" spans="1:11" ht="18" customHeight="1">
      <c r="A30" s="45" t="s">
        <v>269</v>
      </c>
      <c r="B30" s="814" t="s">
        <v>666</v>
      </c>
      <c r="C30" s="815"/>
      <c r="D30" s="816"/>
      <c r="F30" s="50">
        <v>24</v>
      </c>
      <c r="G30" s="50">
        <v>81</v>
      </c>
      <c r="H30" s="51">
        <v>649</v>
      </c>
      <c r="I30" s="52">
        <f t="shared" si="0"/>
        <v>379.21070000000003</v>
      </c>
      <c r="J30" s="51"/>
      <c r="K30" s="53">
        <f t="shared" si="1"/>
        <v>1028.2107000000001</v>
      </c>
    </row>
    <row r="31" spans="1:11" ht="18" customHeight="1">
      <c r="A31" s="45" t="s">
        <v>270</v>
      </c>
      <c r="B31" s="814"/>
      <c r="C31" s="815"/>
      <c r="D31" s="816"/>
      <c r="F31" s="50"/>
      <c r="G31" s="50"/>
      <c r="H31" s="51"/>
      <c r="I31" s="52">
        <f t="shared" si="0"/>
        <v>0</v>
      </c>
      <c r="J31" s="51"/>
      <c r="K31" s="53">
        <f t="shared" si="1"/>
        <v>0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0"/>
        <v>0</v>
      </c>
      <c r="J32" s="51"/>
      <c r="K32" s="53">
        <f t="shared" si="1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0"/>
        <v>0</v>
      </c>
      <c r="J33" s="51"/>
      <c r="K33" s="53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0"/>
        <v>0</v>
      </c>
      <c r="J34" s="51"/>
      <c r="K34" s="53">
        <f t="shared" si="1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264</v>
      </c>
      <c r="G36" s="59">
        <f t="shared" si="2"/>
        <v>1294</v>
      </c>
      <c r="H36" s="59">
        <f t="shared" si="2"/>
        <v>11827</v>
      </c>
      <c r="I36" s="53">
        <f t="shared" si="2"/>
        <v>6910.5160999999998</v>
      </c>
      <c r="J36" s="53">
        <f t="shared" si="2"/>
        <v>144</v>
      </c>
      <c r="K36" s="53">
        <f t="shared" si="2"/>
        <v>18593.516100000001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/>
      <c r="G40" s="50"/>
      <c r="H40" s="51"/>
      <c r="I40" s="52">
        <v>0</v>
      </c>
      <c r="J40" s="51"/>
      <c r="K40" s="53">
        <f t="shared" ref="K40:K47" si="3">(H40+I40)-J40</f>
        <v>0</v>
      </c>
    </row>
    <row r="41" spans="1:11" ht="18" customHeight="1">
      <c r="A41" s="45" t="s">
        <v>278</v>
      </c>
      <c r="B41" s="818" t="s">
        <v>172</v>
      </c>
      <c r="C41" s="819"/>
      <c r="F41" s="50">
        <v>325</v>
      </c>
      <c r="G41" s="50">
        <v>150</v>
      </c>
      <c r="H41" s="51">
        <v>12724</v>
      </c>
      <c r="I41" s="52">
        <f>H41*F$114</f>
        <v>7434.6332000000002</v>
      </c>
      <c r="J41" s="51"/>
      <c r="K41" s="53">
        <f t="shared" si="3"/>
        <v>20158.6332</v>
      </c>
    </row>
    <row r="42" spans="1:11" ht="18" customHeight="1">
      <c r="A42" s="45" t="s">
        <v>279</v>
      </c>
      <c r="B42" s="49" t="s">
        <v>174</v>
      </c>
      <c r="F42" s="50">
        <v>2558</v>
      </c>
      <c r="G42" s="50">
        <v>4</v>
      </c>
      <c r="H42" s="51">
        <v>87924</v>
      </c>
      <c r="I42" s="52">
        <f>H42*F$114</f>
        <v>51373.993200000004</v>
      </c>
      <c r="J42" s="51"/>
      <c r="K42" s="53">
        <f t="shared" si="3"/>
        <v>139297.9932</v>
      </c>
    </row>
    <row r="43" spans="1:11" ht="18" customHeight="1">
      <c r="A43" s="45" t="s">
        <v>280</v>
      </c>
      <c r="B43" s="49" t="s">
        <v>176</v>
      </c>
      <c r="F43" s="50"/>
      <c r="G43" s="50"/>
      <c r="H43" s="51"/>
      <c r="I43" s="52">
        <v>0</v>
      </c>
      <c r="J43" s="51"/>
      <c r="K43" s="53">
        <f t="shared" si="3"/>
        <v>0</v>
      </c>
    </row>
    <row r="44" spans="1:11" ht="18" customHeight="1">
      <c r="A44" s="45" t="s">
        <v>281</v>
      </c>
      <c r="B44" s="814"/>
      <c r="C44" s="815"/>
      <c r="D44" s="816"/>
      <c r="F44" s="50"/>
      <c r="G44" s="50"/>
      <c r="H44" s="50"/>
      <c r="I44" s="52">
        <v>0</v>
      </c>
      <c r="J44" s="50"/>
      <c r="K44" s="63">
        <f t="shared" si="3"/>
        <v>0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v>0</v>
      </c>
      <c r="J45" s="51"/>
      <c r="K45" s="53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v>0</v>
      </c>
      <c r="J46" s="51"/>
      <c r="K46" s="53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v>0</v>
      </c>
      <c r="J47" s="51"/>
      <c r="K47" s="53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2883</v>
      </c>
      <c r="G49" s="64">
        <f t="shared" si="4"/>
        <v>154</v>
      </c>
      <c r="H49" s="53">
        <f t="shared" si="4"/>
        <v>100648</v>
      </c>
      <c r="I49" s="53">
        <f t="shared" si="4"/>
        <v>58808.626400000008</v>
      </c>
      <c r="J49" s="53">
        <f t="shared" si="4"/>
        <v>0</v>
      </c>
      <c r="K49" s="53">
        <f t="shared" si="4"/>
        <v>159456.62640000001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46" t="s">
        <v>424</v>
      </c>
      <c r="C53" s="823"/>
      <c r="D53" s="813"/>
      <c r="F53" s="50"/>
      <c r="G53" s="50"/>
      <c r="H53" s="51">
        <v>6683600</v>
      </c>
      <c r="I53" s="52">
        <f>H53*F$114</f>
        <v>3905227.4800000004</v>
      </c>
      <c r="J53" s="51"/>
      <c r="K53" s="53">
        <f t="shared" ref="K53:K62" si="5">(H53+I53)-J53</f>
        <v>10588827.48</v>
      </c>
    </row>
    <row r="54" spans="1:11" ht="18" customHeight="1">
      <c r="A54" s="45" t="s">
        <v>289</v>
      </c>
      <c r="B54" s="104" t="s">
        <v>425</v>
      </c>
      <c r="C54" s="105"/>
      <c r="D54" s="106"/>
      <c r="F54" s="50"/>
      <c r="G54" s="50"/>
      <c r="H54" s="51">
        <v>10126</v>
      </c>
      <c r="I54" s="52">
        <v>0</v>
      </c>
      <c r="J54" s="51">
        <v>6553</v>
      </c>
      <c r="K54" s="53">
        <f t="shared" si="5"/>
        <v>3573</v>
      </c>
    </row>
    <row r="55" spans="1:11" ht="18" customHeight="1">
      <c r="A55" s="45" t="s">
        <v>291</v>
      </c>
      <c r="B55" s="811"/>
      <c r="C55" s="812"/>
      <c r="D55" s="813"/>
      <c r="F55" s="50"/>
      <c r="G55" s="50"/>
      <c r="H55" s="51"/>
      <c r="I55" s="52">
        <v>0</v>
      </c>
      <c r="J55" s="51"/>
      <c r="K55" s="53">
        <f t="shared" si="5"/>
        <v>0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v>0</v>
      </c>
      <c r="J56" s="51"/>
      <c r="K56" s="53">
        <f t="shared" si="5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v>0</v>
      </c>
      <c r="J57" s="51"/>
      <c r="K57" s="53">
        <f t="shared" si="5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v>0</v>
      </c>
      <c r="J58" s="51"/>
      <c r="K58" s="53">
        <f t="shared" si="5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v>0</v>
      </c>
      <c r="J59" s="51"/>
      <c r="K59" s="53">
        <f t="shared" si="5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v>0</v>
      </c>
      <c r="J60" s="51"/>
      <c r="K60" s="53">
        <f t="shared" si="5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v>0</v>
      </c>
      <c r="J61" s="51"/>
      <c r="K61" s="53">
        <f t="shared" si="5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5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6">SUM(F53:F62)</f>
        <v>0</v>
      </c>
      <c r="G64" s="59">
        <f t="shared" si="6"/>
        <v>0</v>
      </c>
      <c r="H64" s="53">
        <f t="shared" si="6"/>
        <v>6693726</v>
      </c>
      <c r="I64" s="53">
        <f t="shared" si="6"/>
        <v>3905227.4800000004</v>
      </c>
      <c r="J64" s="53">
        <f t="shared" si="6"/>
        <v>6553</v>
      </c>
      <c r="K64" s="53">
        <f t="shared" si="6"/>
        <v>10592400.48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/>
      <c r="G68" s="78"/>
      <c r="H68" s="78"/>
      <c r="I68" s="52">
        <v>0</v>
      </c>
      <c r="J68" s="78"/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7">SUM(F68:F72)</f>
        <v>0</v>
      </c>
      <c r="G74" s="86">
        <f t="shared" si="7"/>
        <v>0</v>
      </c>
      <c r="H74" s="86">
        <f t="shared" si="7"/>
        <v>0</v>
      </c>
      <c r="I74" s="87">
        <f t="shared" si="7"/>
        <v>0</v>
      </c>
      <c r="J74" s="86">
        <f t="shared" si="7"/>
        <v>0</v>
      </c>
      <c r="K74" s="63">
        <f t="shared" si="7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/>
      <c r="G77" s="50"/>
      <c r="H77" s="51"/>
      <c r="I77" s="52">
        <v>0</v>
      </c>
      <c r="J77" s="51"/>
      <c r="K77" s="53">
        <f>(H77+I77)-J77</f>
        <v>0</v>
      </c>
    </row>
    <row r="78" spans="1:11" ht="18" customHeight="1">
      <c r="A78" s="45" t="s">
        <v>313</v>
      </c>
      <c r="B78" s="49" t="s">
        <v>197</v>
      </c>
      <c r="F78" s="50"/>
      <c r="G78" s="50"/>
      <c r="H78" s="51"/>
      <c r="I78" s="52">
        <v>0</v>
      </c>
      <c r="J78" s="51"/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/>
      <c r="G79" s="50"/>
      <c r="H79" s="51">
        <v>42000</v>
      </c>
      <c r="I79" s="52">
        <v>0</v>
      </c>
      <c r="J79" s="51"/>
      <c r="K79" s="53">
        <f>(H79+I79)-J79</f>
        <v>42000</v>
      </c>
    </row>
    <row r="80" spans="1:11" ht="18" customHeight="1">
      <c r="A80" s="45" t="s">
        <v>315</v>
      </c>
      <c r="B80" s="49" t="s">
        <v>316</v>
      </c>
      <c r="F80" s="50"/>
      <c r="G80" s="50"/>
      <c r="H80" s="51"/>
      <c r="I80" s="52">
        <v>0</v>
      </c>
      <c r="J80" s="51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8">SUM(F77:F80)</f>
        <v>0</v>
      </c>
      <c r="G82" s="86">
        <f t="shared" si="8"/>
        <v>0</v>
      </c>
      <c r="H82" s="63">
        <f t="shared" si="8"/>
        <v>42000</v>
      </c>
      <c r="I82" s="63">
        <f t="shared" si="8"/>
        <v>0</v>
      </c>
      <c r="J82" s="63">
        <f t="shared" si="8"/>
        <v>0</v>
      </c>
      <c r="K82" s="63">
        <f t="shared" si="8"/>
        <v>42000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/>
      <c r="G86" s="50"/>
      <c r="H86" s="51"/>
      <c r="I86" s="52">
        <f t="shared" ref="I86:I96" si="9">H86*F$114</f>
        <v>0</v>
      </c>
      <c r="J86" s="51"/>
      <c r="K86" s="53">
        <f t="shared" ref="K86:K96" si="10">(H86+I86)-J86</f>
        <v>0</v>
      </c>
    </row>
    <row r="87" spans="1:11" ht="18" customHeight="1">
      <c r="A87" s="45" t="s">
        <v>320</v>
      </c>
      <c r="B87" s="49" t="s">
        <v>206</v>
      </c>
      <c r="F87" s="50"/>
      <c r="G87" s="50"/>
      <c r="H87" s="51"/>
      <c r="I87" s="52">
        <f t="shared" si="9"/>
        <v>0</v>
      </c>
      <c r="J87" s="51"/>
      <c r="K87" s="53">
        <f t="shared" si="10"/>
        <v>0</v>
      </c>
    </row>
    <row r="88" spans="1:11" ht="18" customHeight="1">
      <c r="A88" s="45" t="s">
        <v>321</v>
      </c>
      <c r="B88" s="49" t="s">
        <v>208</v>
      </c>
      <c r="F88" s="50"/>
      <c r="G88" s="50"/>
      <c r="H88" s="51"/>
      <c r="I88" s="52">
        <f t="shared" si="9"/>
        <v>0</v>
      </c>
      <c r="J88" s="51"/>
      <c r="K88" s="53">
        <f t="shared" si="10"/>
        <v>0</v>
      </c>
    </row>
    <row r="89" spans="1:11" ht="18" customHeight="1">
      <c r="A89" s="45" t="s">
        <v>322</v>
      </c>
      <c r="B89" s="49" t="s">
        <v>210</v>
      </c>
      <c r="F89" s="50"/>
      <c r="G89" s="50"/>
      <c r="H89" s="51"/>
      <c r="I89" s="52">
        <f t="shared" si="9"/>
        <v>0</v>
      </c>
      <c r="J89" s="51"/>
      <c r="K89" s="53">
        <f t="shared" si="10"/>
        <v>0</v>
      </c>
    </row>
    <row r="90" spans="1:11" ht="18" customHeight="1">
      <c r="A90" s="45" t="s">
        <v>323</v>
      </c>
      <c r="B90" s="818" t="s">
        <v>212</v>
      </c>
      <c r="C90" s="819"/>
      <c r="F90" s="50"/>
      <c r="G90" s="50"/>
      <c r="H90" s="51"/>
      <c r="I90" s="52">
        <f t="shared" si="9"/>
        <v>0</v>
      </c>
      <c r="J90" s="51"/>
      <c r="K90" s="53">
        <f t="shared" si="10"/>
        <v>0</v>
      </c>
    </row>
    <row r="91" spans="1:11" ht="18" customHeight="1">
      <c r="A91" s="45" t="s">
        <v>324</v>
      </c>
      <c r="B91" s="49" t="s">
        <v>214</v>
      </c>
      <c r="F91" s="50">
        <v>100</v>
      </c>
      <c r="G91" s="50"/>
      <c r="H91" s="51">
        <v>5574</v>
      </c>
      <c r="I91" s="52">
        <f t="shared" si="9"/>
        <v>3256.8882000000003</v>
      </c>
      <c r="J91" s="51"/>
      <c r="K91" s="53">
        <f t="shared" si="10"/>
        <v>8830.8882000000012</v>
      </c>
    </row>
    <row r="92" spans="1:11" ht="18" customHeight="1">
      <c r="A92" s="45" t="s">
        <v>325</v>
      </c>
      <c r="B92" s="49" t="s">
        <v>216</v>
      </c>
      <c r="F92" s="89"/>
      <c r="G92" s="89"/>
      <c r="H92" s="90"/>
      <c r="I92" s="52">
        <f t="shared" si="9"/>
        <v>0</v>
      </c>
      <c r="J92" s="90"/>
      <c r="K92" s="53">
        <f t="shared" si="10"/>
        <v>0</v>
      </c>
    </row>
    <row r="93" spans="1:11" ht="18" customHeight="1">
      <c r="A93" s="45" t="s">
        <v>326</v>
      </c>
      <c r="B93" s="49" t="s">
        <v>218</v>
      </c>
      <c r="F93" s="50">
        <v>30</v>
      </c>
      <c r="G93" s="50"/>
      <c r="H93" s="51">
        <v>1175</v>
      </c>
      <c r="I93" s="52">
        <f t="shared" si="9"/>
        <v>686.55250000000001</v>
      </c>
      <c r="J93" s="51"/>
      <c r="K93" s="53">
        <f t="shared" si="10"/>
        <v>1861.5525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si="9"/>
        <v>0</v>
      </c>
      <c r="J94" s="51"/>
      <c r="K94" s="53">
        <f t="shared" si="10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9"/>
        <v>0</v>
      </c>
      <c r="J95" s="51"/>
      <c r="K95" s="53">
        <f t="shared" si="10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9"/>
        <v>0</v>
      </c>
      <c r="J96" s="51"/>
      <c r="K96" s="53">
        <f t="shared" si="10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1">SUM(F86:F96)</f>
        <v>130</v>
      </c>
      <c r="G98" s="59">
        <f t="shared" si="11"/>
        <v>0</v>
      </c>
      <c r="H98" s="59">
        <f t="shared" si="11"/>
        <v>6749</v>
      </c>
      <c r="I98" s="59">
        <f t="shared" si="11"/>
        <v>3943.4407000000001</v>
      </c>
      <c r="J98" s="59">
        <f t="shared" si="11"/>
        <v>0</v>
      </c>
      <c r="K98" s="59">
        <f t="shared" si="11"/>
        <v>10692.440700000001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1182</v>
      </c>
      <c r="G102" s="50"/>
      <c r="H102" s="51">
        <v>35613</v>
      </c>
      <c r="I102" s="52">
        <f>H102*F$114</f>
        <v>20808.675900000002</v>
      </c>
      <c r="J102" s="51"/>
      <c r="K102" s="53">
        <f>(H102+I102)-J102</f>
        <v>56421.675900000002</v>
      </c>
    </row>
    <row r="103" spans="1:11" ht="18" customHeight="1">
      <c r="A103" s="45" t="s">
        <v>333</v>
      </c>
      <c r="B103" s="818" t="s">
        <v>226</v>
      </c>
      <c r="C103" s="818"/>
      <c r="F103" s="50"/>
      <c r="G103" s="50"/>
      <c r="H103" s="51">
        <v>42407</v>
      </c>
      <c r="I103" s="52">
        <f>H103*F$114</f>
        <v>24778.410100000001</v>
      </c>
      <c r="J103" s="51"/>
      <c r="K103" s="53">
        <f>(H103+I103)-J103</f>
        <v>67185.410100000008</v>
      </c>
    </row>
    <row r="104" spans="1:11" ht="18" customHeight="1">
      <c r="A104" s="45" t="s">
        <v>334</v>
      </c>
      <c r="B104" s="811"/>
      <c r="C104" s="812"/>
      <c r="D104" s="813"/>
      <c r="F104" s="50"/>
      <c r="G104" s="50"/>
      <c r="H104" s="51"/>
      <c r="I104" s="52">
        <f>H104*F$114</f>
        <v>0</v>
      </c>
      <c r="J104" s="51"/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2">SUM(F102:F106)</f>
        <v>1182</v>
      </c>
      <c r="G108" s="59">
        <f t="shared" si="12"/>
        <v>0</v>
      </c>
      <c r="H108" s="53">
        <f t="shared" si="12"/>
        <v>78020</v>
      </c>
      <c r="I108" s="53">
        <f t="shared" si="12"/>
        <v>45587.086000000003</v>
      </c>
      <c r="J108" s="53">
        <f t="shared" si="12"/>
        <v>0</v>
      </c>
      <c r="K108" s="53">
        <f t="shared" si="12"/>
        <v>123607.08600000001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5836000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0.58430000000000004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98649900</v>
      </c>
    </row>
    <row r="118" spans="1:6">
      <c r="A118" s="45" t="s">
        <v>343</v>
      </c>
      <c r="B118" s="40" t="s">
        <v>237</v>
      </c>
      <c r="F118" s="51">
        <v>118400</v>
      </c>
    </row>
    <row r="119" spans="1:6">
      <c r="A119" s="45" t="s">
        <v>344</v>
      </c>
      <c r="B119" s="43" t="s">
        <v>238</v>
      </c>
      <c r="F119" s="63">
        <f>SUM(F117:F118)</f>
        <v>98768300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101679200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v>-2910800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0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v>-2910800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3">SUM(F131:F135)</f>
        <v>0</v>
      </c>
      <c r="G137" s="59">
        <f t="shared" si="13"/>
        <v>0</v>
      </c>
      <c r="H137" s="53">
        <f t="shared" si="13"/>
        <v>0</v>
      </c>
      <c r="I137" s="53">
        <f t="shared" si="13"/>
        <v>0</v>
      </c>
      <c r="J137" s="53">
        <f t="shared" si="13"/>
        <v>0</v>
      </c>
      <c r="K137" s="53">
        <f t="shared" si="13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4">F36</f>
        <v>264</v>
      </c>
      <c r="G141" s="95">
        <f t="shared" si="14"/>
        <v>1294</v>
      </c>
      <c r="H141" s="95">
        <f t="shared" si="14"/>
        <v>11827</v>
      </c>
      <c r="I141" s="95">
        <f t="shared" si="14"/>
        <v>6910.5160999999998</v>
      </c>
      <c r="J141" s="95">
        <f t="shared" si="14"/>
        <v>144</v>
      </c>
      <c r="K141" s="95">
        <f t="shared" si="14"/>
        <v>18593.516100000001</v>
      </c>
    </row>
    <row r="142" spans="1:11" ht="18" customHeight="1">
      <c r="A142" s="45" t="s">
        <v>286</v>
      </c>
      <c r="B142" s="43" t="s">
        <v>125</v>
      </c>
      <c r="F142" s="95">
        <f t="shared" ref="F142:K142" si="15">F49</f>
        <v>2883</v>
      </c>
      <c r="G142" s="95">
        <f t="shared" si="15"/>
        <v>154</v>
      </c>
      <c r="H142" s="95">
        <f t="shared" si="15"/>
        <v>100648</v>
      </c>
      <c r="I142" s="95">
        <f t="shared" si="15"/>
        <v>58808.626400000008</v>
      </c>
      <c r="J142" s="95">
        <f t="shared" si="15"/>
        <v>0</v>
      </c>
      <c r="K142" s="95">
        <f t="shared" si="15"/>
        <v>159456.62640000001</v>
      </c>
    </row>
    <row r="143" spans="1:11" ht="18" customHeight="1">
      <c r="A143" s="45" t="s">
        <v>305</v>
      </c>
      <c r="B143" s="43" t="s">
        <v>247</v>
      </c>
      <c r="F143" s="95">
        <f t="shared" ref="F143:K143" si="16">F64</f>
        <v>0</v>
      </c>
      <c r="G143" s="95">
        <f t="shared" si="16"/>
        <v>0</v>
      </c>
      <c r="H143" s="95">
        <f t="shared" si="16"/>
        <v>6693726</v>
      </c>
      <c r="I143" s="95">
        <f t="shared" si="16"/>
        <v>3905227.4800000004</v>
      </c>
      <c r="J143" s="95">
        <f t="shared" si="16"/>
        <v>6553</v>
      </c>
      <c r="K143" s="95">
        <f t="shared" si="16"/>
        <v>10592400.48</v>
      </c>
    </row>
    <row r="144" spans="1:11" ht="18" customHeight="1">
      <c r="A144" s="45" t="s">
        <v>311</v>
      </c>
      <c r="B144" s="43" t="s">
        <v>127</v>
      </c>
      <c r="F144" s="95">
        <f t="shared" ref="F144:K144" si="17">F74</f>
        <v>0</v>
      </c>
      <c r="G144" s="95">
        <f t="shared" si="17"/>
        <v>0</v>
      </c>
      <c r="H144" s="95">
        <f t="shared" si="17"/>
        <v>0</v>
      </c>
      <c r="I144" s="95">
        <f t="shared" si="17"/>
        <v>0</v>
      </c>
      <c r="J144" s="95">
        <f t="shared" si="17"/>
        <v>0</v>
      </c>
      <c r="K144" s="95">
        <f t="shared" si="17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18">F82</f>
        <v>0</v>
      </c>
      <c r="G145" s="95">
        <f t="shared" si="18"/>
        <v>0</v>
      </c>
      <c r="H145" s="95">
        <f t="shared" si="18"/>
        <v>42000</v>
      </c>
      <c r="I145" s="95">
        <f t="shared" si="18"/>
        <v>0</v>
      </c>
      <c r="J145" s="95">
        <f t="shared" si="18"/>
        <v>0</v>
      </c>
      <c r="K145" s="95">
        <f t="shared" si="18"/>
        <v>42000</v>
      </c>
    </row>
    <row r="146" spans="1:11" ht="18" customHeight="1">
      <c r="A146" s="45" t="s">
        <v>331</v>
      </c>
      <c r="B146" s="43" t="s">
        <v>249</v>
      </c>
      <c r="F146" s="95">
        <f t="shared" ref="F146:K146" si="19">F98</f>
        <v>130</v>
      </c>
      <c r="G146" s="95">
        <f t="shared" si="19"/>
        <v>0</v>
      </c>
      <c r="H146" s="95">
        <f t="shared" si="19"/>
        <v>6749</v>
      </c>
      <c r="I146" s="95">
        <f t="shared" si="19"/>
        <v>3943.4407000000001</v>
      </c>
      <c r="J146" s="95">
        <f t="shared" si="19"/>
        <v>0</v>
      </c>
      <c r="K146" s="95">
        <f t="shared" si="19"/>
        <v>10692.440700000001</v>
      </c>
    </row>
    <row r="147" spans="1:11" ht="18" customHeight="1">
      <c r="A147" s="45" t="s">
        <v>338</v>
      </c>
      <c r="B147" s="43" t="s">
        <v>129</v>
      </c>
      <c r="F147" s="59">
        <f t="shared" ref="F147:K147" si="20">F108</f>
        <v>1182</v>
      </c>
      <c r="G147" s="59">
        <f t="shared" si="20"/>
        <v>0</v>
      </c>
      <c r="H147" s="59">
        <f t="shared" si="20"/>
        <v>78020</v>
      </c>
      <c r="I147" s="59">
        <f t="shared" si="20"/>
        <v>45587.086000000003</v>
      </c>
      <c r="J147" s="59">
        <f t="shared" si="20"/>
        <v>0</v>
      </c>
      <c r="K147" s="59">
        <f t="shared" si="20"/>
        <v>123607.08600000001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5836000</v>
      </c>
    </row>
    <row r="149" spans="1:11" ht="18" customHeight="1">
      <c r="A149" s="45" t="s">
        <v>358</v>
      </c>
      <c r="B149" s="43" t="s">
        <v>250</v>
      </c>
      <c r="F149" s="59">
        <f t="shared" ref="F149:K149" si="21">F137</f>
        <v>0</v>
      </c>
      <c r="G149" s="59">
        <f t="shared" si="21"/>
        <v>0</v>
      </c>
      <c r="H149" s="59">
        <f t="shared" si="21"/>
        <v>0</v>
      </c>
      <c r="I149" s="59">
        <f t="shared" si="21"/>
        <v>0</v>
      </c>
      <c r="J149" s="59">
        <f t="shared" si="21"/>
        <v>0</v>
      </c>
      <c r="K149" s="59">
        <f t="shared" si="21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2848234</v>
      </c>
      <c r="I150" s="59">
        <f>I18</f>
        <v>0</v>
      </c>
      <c r="J150" s="59">
        <f>J18</f>
        <v>2435597</v>
      </c>
      <c r="K150" s="59">
        <f>K18</f>
        <v>412637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2">SUM(F141:F150)</f>
        <v>4459</v>
      </c>
      <c r="G152" s="99">
        <f t="shared" si="22"/>
        <v>1448</v>
      </c>
      <c r="H152" s="99">
        <f t="shared" si="22"/>
        <v>9781204</v>
      </c>
      <c r="I152" s="99">
        <f t="shared" si="22"/>
        <v>4020477.1492000008</v>
      </c>
      <c r="J152" s="99">
        <f t="shared" si="22"/>
        <v>2442294</v>
      </c>
      <c r="K152" s="99">
        <f t="shared" si="22"/>
        <v>17195387.1492</v>
      </c>
    </row>
    <row r="154" spans="1:11" ht="18" customHeight="1">
      <c r="A154" s="48" t="s">
        <v>361</v>
      </c>
      <c r="B154" s="43" t="s">
        <v>252</v>
      </c>
      <c r="F154" s="165">
        <f>K152/F121</f>
        <v>0.16911410740053029</v>
      </c>
    </row>
    <row r="155" spans="1:11" ht="18" customHeight="1">
      <c r="A155" s="48" t="s">
        <v>362</v>
      </c>
      <c r="B155" s="43" t="s">
        <v>253</v>
      </c>
      <c r="F155" s="165">
        <f>K152/F127</f>
        <v>-5.9074437093582519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Layout" zoomScaleNormal="100" workbookViewId="0">
      <selection activeCell="E22" sqref="E22:G24"/>
    </sheetView>
  </sheetViews>
  <sheetFormatPr defaultColWidth="9.140625" defaultRowHeight="15"/>
  <cols>
    <col min="1" max="1" width="12.5703125" customWidth="1"/>
    <col min="2" max="2" width="12" customWidth="1"/>
    <col min="3" max="3" width="12.7109375" customWidth="1"/>
    <col min="4" max="4" width="15.42578125" customWidth="1"/>
    <col min="5" max="5" width="10.42578125" customWidth="1"/>
    <col min="6" max="6" width="14.28515625" customWidth="1"/>
    <col min="7" max="7" width="12.7109375" customWidth="1"/>
  </cols>
  <sheetData>
    <row r="1" spans="1:9" ht="63.75">
      <c r="A1" s="434" t="s">
        <v>807</v>
      </c>
      <c r="B1" s="434" t="s">
        <v>808</v>
      </c>
      <c r="C1" s="434" t="s">
        <v>132</v>
      </c>
      <c r="D1" s="434" t="s">
        <v>1045</v>
      </c>
      <c r="E1" s="434" t="s">
        <v>809</v>
      </c>
      <c r="F1" s="434" t="s">
        <v>1046</v>
      </c>
      <c r="G1" s="434" t="s">
        <v>810</v>
      </c>
      <c r="H1" s="1"/>
      <c r="I1" s="1"/>
    </row>
    <row r="2" spans="1:9" ht="36" customHeight="1">
      <c r="A2" s="434" t="s">
        <v>811</v>
      </c>
      <c r="B2" s="798">
        <f>'Table I'!F111</f>
        <v>0</v>
      </c>
      <c r="C2" s="798">
        <f>'Table I'!G111</f>
        <v>0</v>
      </c>
      <c r="D2" s="799">
        <f>'Table I'!K111</f>
        <v>56475875.960220337</v>
      </c>
      <c r="E2" s="800">
        <f>D2/D12</f>
        <v>3.7511682667793401E-2</v>
      </c>
      <c r="F2" s="799">
        <f>+D2</f>
        <v>56475875.960220337</v>
      </c>
      <c r="G2" s="800">
        <f>+F2/$F$12</f>
        <v>7.9272554502093806E-2</v>
      </c>
    </row>
    <row r="3" spans="1:9" ht="36" customHeight="1">
      <c r="A3" s="434" t="s">
        <v>246</v>
      </c>
      <c r="B3" s="798">
        <f>'Table I'!F102</f>
        <v>949714.36258730886</v>
      </c>
      <c r="C3" s="798">
        <f>'Table I'!G102</f>
        <v>18964608.123768002</v>
      </c>
      <c r="D3" s="799">
        <f>'Table I'!K102</f>
        <v>82744997.446816862</v>
      </c>
      <c r="E3" s="800">
        <f>D3/D12</f>
        <v>5.4959821938107743E-2</v>
      </c>
      <c r="F3" s="801">
        <f>+D3</f>
        <v>82744997.446816862</v>
      </c>
      <c r="G3" s="800">
        <f>+F3/$F$12</f>
        <v>0.1161452958161928</v>
      </c>
    </row>
    <row r="4" spans="1:9" ht="36" customHeight="1">
      <c r="A4" s="434" t="s">
        <v>1043</v>
      </c>
      <c r="B4" s="798">
        <f>'Table I'!F103</f>
        <v>6380270.3129043635</v>
      </c>
      <c r="C4" s="798">
        <f>'Table I'!G103</f>
        <v>238664.03295113257</v>
      </c>
      <c r="D4" s="799">
        <f>'Table I'!K103</f>
        <v>412874329.46220654</v>
      </c>
      <c r="E4" s="800">
        <f>D4/D12</f>
        <v>0.27423409668533899</v>
      </c>
      <c r="F4" s="801">
        <f>+D4-DME_NSPI!E50</f>
        <v>83356744.498653233</v>
      </c>
      <c r="G4" s="800">
        <f>+F4/$F$12</f>
        <v>0.11700397663669662</v>
      </c>
    </row>
    <row r="5" spans="1:9" ht="36" customHeight="1">
      <c r="A5" s="434" t="s">
        <v>126</v>
      </c>
      <c r="B5" s="798">
        <f>'Table I'!F104</f>
        <v>2315236.5975486669</v>
      </c>
      <c r="C5" s="798">
        <f>'Table I'!G104</f>
        <v>870142.19742853672</v>
      </c>
      <c r="D5" s="799">
        <f>'Table I'!K104</f>
        <v>380227201.43790084</v>
      </c>
      <c r="E5" s="800">
        <f>D5/D12</f>
        <v>0.25254963963813565</v>
      </c>
      <c r="F5" s="801">
        <f t="shared" ref="F5:F10" si="0">+D5</f>
        <v>380227201.43790084</v>
      </c>
      <c r="G5" s="800">
        <f t="shared" ref="G5:G12" si="1">+F5/$F$12</f>
        <v>0.53370719863460447</v>
      </c>
    </row>
    <row r="6" spans="1:9" ht="36" customHeight="1">
      <c r="A6" s="434" t="s">
        <v>127</v>
      </c>
      <c r="B6" s="798">
        <f>'Table I'!F105</f>
        <v>64051.684355170051</v>
      </c>
      <c r="C6" s="798">
        <f>'Table I'!G105</f>
        <v>5932</v>
      </c>
      <c r="D6" s="799">
        <f>'Table I'!K105</f>
        <v>7949003.9667417202</v>
      </c>
      <c r="E6" s="800">
        <f>D6/D12</f>
        <v>5.2797855589787482E-3</v>
      </c>
      <c r="F6" s="801">
        <f t="shared" si="0"/>
        <v>7949003.9667417202</v>
      </c>
      <c r="G6" s="800">
        <f t="shared" si="1"/>
        <v>1.1157646330881885E-2</v>
      </c>
    </row>
    <row r="7" spans="1:9" ht="36" customHeight="1">
      <c r="A7" s="434" t="s">
        <v>248</v>
      </c>
      <c r="B7" s="798">
        <f>'Table I'!F106</f>
        <v>44651.546353430953</v>
      </c>
      <c r="C7" s="798">
        <f>'Table I'!G106</f>
        <v>216699.5</v>
      </c>
      <c r="D7" s="799">
        <f>'Table I'!K106</f>
        <v>20051768.823477991</v>
      </c>
      <c r="E7" s="800">
        <f>D7/D12</f>
        <v>1.3318528951442312E-2</v>
      </c>
      <c r="F7" s="801">
        <f t="shared" si="0"/>
        <v>20051768.823477991</v>
      </c>
      <c r="G7" s="800">
        <f t="shared" si="1"/>
        <v>2.8145733198404434E-2</v>
      </c>
    </row>
    <row r="8" spans="1:9" ht="36" customHeight="1">
      <c r="A8" s="434" t="s">
        <v>128</v>
      </c>
      <c r="B8" s="798">
        <f>'Table I'!F107</f>
        <v>152743.33754064207</v>
      </c>
      <c r="C8" s="798">
        <f>'Table I'!G107</f>
        <v>675368.93756568246</v>
      </c>
      <c r="D8" s="799">
        <f>'Table I'!K107</f>
        <v>16886257.037520315</v>
      </c>
      <c r="E8" s="800">
        <f>D8/D12</f>
        <v>1.1215973274755806E-2</v>
      </c>
      <c r="F8" s="801">
        <f t="shared" si="0"/>
        <v>16886257.037520315</v>
      </c>
      <c r="G8" s="800">
        <f t="shared" si="1"/>
        <v>2.3702451862562875E-2</v>
      </c>
    </row>
    <row r="9" spans="1:9" ht="36" customHeight="1">
      <c r="A9" s="434" t="s">
        <v>129</v>
      </c>
      <c r="B9" s="798">
        <f>'Table I'!F108</f>
        <v>86836.3922529103</v>
      </c>
      <c r="C9" s="798">
        <f>'Table I'!G108</f>
        <v>2121</v>
      </c>
      <c r="D9" s="799">
        <f>'Table I'!K108</f>
        <v>8180001.1984132119</v>
      </c>
      <c r="E9" s="800">
        <f>D9/D12</f>
        <v>5.433215580280289E-3</v>
      </c>
      <c r="F9" s="801">
        <f t="shared" si="0"/>
        <v>8180001.1984132119</v>
      </c>
      <c r="G9" s="800">
        <f t="shared" si="1"/>
        <v>1.1481886377205545E-2</v>
      </c>
    </row>
    <row r="10" spans="1:9" ht="36" customHeight="1">
      <c r="A10" s="434" t="s">
        <v>130</v>
      </c>
      <c r="B10" s="798">
        <f>'Table I'!F110</f>
        <v>48532</v>
      </c>
      <c r="C10" s="798">
        <f>'Table I'!G110</f>
        <v>11987</v>
      </c>
      <c r="D10" s="799">
        <f>'Table I'!K110</f>
        <v>1930354.7768679191</v>
      </c>
      <c r="E10" s="800">
        <f>D10/D12</f>
        <v>1.2821555149871821E-3</v>
      </c>
      <c r="F10" s="801">
        <f t="shared" si="0"/>
        <v>1930354.7768679191</v>
      </c>
      <c r="G10" s="800">
        <f t="shared" si="1"/>
        <v>2.7095490181581992E-3</v>
      </c>
    </row>
    <row r="11" spans="1:9" ht="36" customHeight="1">
      <c r="A11" s="434" t="s">
        <v>1044</v>
      </c>
      <c r="B11" s="798">
        <f>'Table I'!F109</f>
        <v>0</v>
      </c>
      <c r="C11" s="798">
        <f>'Table I'!G109</f>
        <v>0</v>
      </c>
      <c r="D11" s="799">
        <f>'Table I'!K109</f>
        <v>518234531.73605531</v>
      </c>
      <c r="E11" s="800">
        <f>D11/D12</f>
        <v>0.34421510019017992</v>
      </c>
      <c r="F11" s="801">
        <f>+D11-'Charity Care'!I50</f>
        <v>54624388.331319034</v>
      </c>
      <c r="G11" s="800">
        <f t="shared" si="1"/>
        <v>7.667370762319968E-2</v>
      </c>
    </row>
    <row r="12" spans="1:9" ht="36" customHeight="1">
      <c r="A12" s="434" t="s">
        <v>57</v>
      </c>
      <c r="B12" s="798">
        <f t="shared" ref="B12:F12" si="2">SUM(B2:B11)</f>
        <v>10042036.233542493</v>
      </c>
      <c r="C12" s="799">
        <f t="shared" si="2"/>
        <v>20985522.79171335</v>
      </c>
      <c r="D12" s="799">
        <f t="shared" si="2"/>
        <v>1505554321.846221</v>
      </c>
      <c r="E12" s="800">
        <f t="shared" si="2"/>
        <v>1.0000000000000002</v>
      </c>
      <c r="F12" s="799">
        <f t="shared" si="2"/>
        <v>712426593.47793126</v>
      </c>
      <c r="G12" s="800">
        <f t="shared" si="1"/>
        <v>1</v>
      </c>
    </row>
    <row r="22" spans="6:6">
      <c r="F22" s="740"/>
    </row>
    <row r="23" spans="6:6">
      <c r="F23" s="3"/>
    </row>
  </sheetData>
  <pageMargins left="0.7" right="0.7" top="0.75" bottom="0.75" header="0.3" footer="0.3"/>
  <pageSetup orientation="portrait" r:id="rId1"/>
  <headerFooter>
    <oddHeader xml:space="preserve">&amp;C&amp;"-,Bold"Table I-Total Community Benefit
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RowHeight="12.75"/>
  <cols>
    <col min="1" max="1" width="8.28515625" style="39" customWidth="1"/>
    <col min="2" max="2" width="55.42578125" style="40" bestFit="1" customWidth="1"/>
    <col min="3" max="3" width="9.5703125" style="40" customWidth="1"/>
    <col min="4" max="4" width="9.140625" style="40"/>
    <col min="5" max="5" width="12.42578125" style="40" customWidth="1"/>
    <col min="6" max="6" width="18.5703125" style="40" customWidth="1"/>
    <col min="7" max="7" width="23.5703125" style="40" customWidth="1"/>
    <col min="8" max="8" width="17.140625" style="40" customWidth="1"/>
    <col min="9" max="9" width="21.140625" style="40" customWidth="1"/>
    <col min="10" max="10" width="19.85546875" style="40" customWidth="1"/>
    <col min="11" max="11" width="17.5703125" style="40" customWidth="1"/>
    <col min="12" max="16384" width="9.14062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43" t="s">
        <v>667</v>
      </c>
      <c r="D5" s="827"/>
      <c r="E5" s="827"/>
      <c r="F5" s="827"/>
      <c r="G5" s="828"/>
    </row>
    <row r="6" spans="1:11" ht="18" customHeight="1">
      <c r="B6" s="45" t="s">
        <v>136</v>
      </c>
      <c r="C6" s="886">
        <v>60</v>
      </c>
      <c r="D6" s="830"/>
      <c r="E6" s="830"/>
      <c r="F6" s="830"/>
      <c r="G6" s="831"/>
    </row>
    <row r="7" spans="1:11" ht="18" customHeight="1">
      <c r="B7" s="45" t="s">
        <v>137</v>
      </c>
      <c r="C7" s="832"/>
      <c r="D7" s="833"/>
      <c r="E7" s="833"/>
      <c r="F7" s="833"/>
      <c r="G7" s="834"/>
    </row>
    <row r="9" spans="1:11" ht="18" customHeight="1">
      <c r="B9" s="45" t="s">
        <v>138</v>
      </c>
      <c r="C9" s="843" t="s">
        <v>668</v>
      </c>
      <c r="D9" s="827"/>
      <c r="E9" s="827"/>
      <c r="F9" s="827"/>
      <c r="G9" s="828"/>
    </row>
    <row r="10" spans="1:11" ht="18" customHeight="1">
      <c r="B10" s="45" t="s">
        <v>140</v>
      </c>
      <c r="C10" s="848" t="s">
        <v>669</v>
      </c>
      <c r="D10" s="836"/>
      <c r="E10" s="836"/>
      <c r="F10" s="836"/>
      <c r="G10" s="837"/>
    </row>
    <row r="11" spans="1:11" ht="18" customHeight="1">
      <c r="B11" s="45" t="s">
        <v>142</v>
      </c>
      <c r="C11" s="969" t="s">
        <v>670</v>
      </c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1121316</v>
      </c>
      <c r="I18" s="52">
        <v>0</v>
      </c>
      <c r="J18" s="51">
        <v>958865</v>
      </c>
      <c r="K18" s="53">
        <f>(H18+I18)-J18</f>
        <v>162451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26</v>
      </c>
      <c r="G21" s="50">
        <v>45</v>
      </c>
      <c r="H21" s="51">
        <v>1795.5</v>
      </c>
      <c r="I21" s="52">
        <v>1149.1199999999999</v>
      </c>
      <c r="J21" s="51"/>
      <c r="K21" s="53">
        <f t="shared" ref="K21:K34" si="0">(H21+I21)-J21</f>
        <v>2944.62</v>
      </c>
    </row>
    <row r="22" spans="1:11" ht="18" customHeight="1">
      <c r="A22" s="45" t="s">
        <v>261</v>
      </c>
      <c r="B22" s="40" t="s">
        <v>157</v>
      </c>
      <c r="F22" s="50"/>
      <c r="G22" s="50"/>
      <c r="H22" s="51"/>
      <c r="I22" s="52">
        <f t="shared" ref="I22:I34" si="1">H22*F$114</f>
        <v>0</v>
      </c>
      <c r="J22" s="51"/>
      <c r="K22" s="53">
        <f t="shared" si="0"/>
        <v>0</v>
      </c>
    </row>
    <row r="23" spans="1:11" ht="18" customHeight="1">
      <c r="A23" s="45" t="s">
        <v>262</v>
      </c>
      <c r="B23" s="40" t="s">
        <v>158</v>
      </c>
      <c r="F23" s="50"/>
      <c r="G23" s="50"/>
      <c r="H23" s="51"/>
      <c r="I23" s="52">
        <f t="shared" si="1"/>
        <v>0</v>
      </c>
      <c r="J23" s="51"/>
      <c r="K23" s="53">
        <f t="shared" si="0"/>
        <v>0</v>
      </c>
    </row>
    <row r="24" spans="1:11" ht="18" customHeight="1">
      <c r="A24" s="45" t="s">
        <v>263</v>
      </c>
      <c r="B24" s="40" t="s">
        <v>159</v>
      </c>
      <c r="F24" s="50">
        <v>195</v>
      </c>
      <c r="G24" s="50">
        <v>924</v>
      </c>
      <c r="H24" s="51">
        <v>8775</v>
      </c>
      <c r="I24" s="52">
        <v>5616</v>
      </c>
      <c r="J24" s="51"/>
      <c r="K24" s="53">
        <f t="shared" si="0"/>
        <v>14391</v>
      </c>
    </row>
    <row r="25" spans="1:11" ht="18" customHeight="1">
      <c r="A25" s="45" t="s">
        <v>264</v>
      </c>
      <c r="B25" s="40" t="s">
        <v>160</v>
      </c>
      <c r="F25" s="50"/>
      <c r="G25" s="50"/>
      <c r="H25" s="51"/>
      <c r="I25" s="52">
        <f t="shared" si="1"/>
        <v>0</v>
      </c>
      <c r="J25" s="51"/>
      <c r="K25" s="53">
        <f t="shared" si="0"/>
        <v>0</v>
      </c>
    </row>
    <row r="26" spans="1:11" ht="18" customHeight="1">
      <c r="A26" s="45" t="s">
        <v>265</v>
      </c>
      <c r="B26" s="40" t="s">
        <v>161</v>
      </c>
      <c r="F26" s="50">
        <v>8</v>
      </c>
      <c r="G26" s="50">
        <v>1</v>
      </c>
      <c r="H26" s="51">
        <v>336</v>
      </c>
      <c r="I26" s="52">
        <v>215.04</v>
      </c>
      <c r="J26" s="51"/>
      <c r="K26" s="53">
        <f t="shared" si="0"/>
        <v>551.04</v>
      </c>
    </row>
    <row r="27" spans="1:11" ht="18" customHeight="1">
      <c r="A27" s="45" t="s">
        <v>266</v>
      </c>
      <c r="B27" s="40" t="s">
        <v>162</v>
      </c>
      <c r="F27" s="50"/>
      <c r="G27" s="50">
        <v>1</v>
      </c>
      <c r="H27" s="51">
        <v>42</v>
      </c>
      <c r="I27" s="52">
        <v>26.88</v>
      </c>
      <c r="J27" s="51"/>
      <c r="K27" s="53">
        <f t="shared" si="0"/>
        <v>68.88</v>
      </c>
    </row>
    <row r="28" spans="1:11" ht="18" customHeight="1">
      <c r="A28" s="45" t="s">
        <v>267</v>
      </c>
      <c r="B28" s="40" t="s">
        <v>163</v>
      </c>
      <c r="F28" s="50">
        <v>1</v>
      </c>
      <c r="G28" s="50">
        <v>1</v>
      </c>
      <c r="H28" s="51">
        <v>42</v>
      </c>
      <c r="I28" s="52">
        <v>26.88</v>
      </c>
      <c r="J28" s="51"/>
      <c r="K28" s="53">
        <f t="shared" si="0"/>
        <v>68.88</v>
      </c>
    </row>
    <row r="29" spans="1:11" ht="18" customHeight="1">
      <c r="A29" s="45" t="s">
        <v>268</v>
      </c>
      <c r="B29" s="40" t="s">
        <v>165</v>
      </c>
      <c r="F29" s="50">
        <v>1</v>
      </c>
      <c r="G29" s="50">
        <v>1</v>
      </c>
      <c r="H29" s="51">
        <v>42</v>
      </c>
      <c r="I29" s="52">
        <v>26.88</v>
      </c>
      <c r="J29" s="51"/>
      <c r="K29" s="53">
        <f t="shared" si="0"/>
        <v>68.88</v>
      </c>
    </row>
    <row r="30" spans="1:11" ht="18" customHeight="1">
      <c r="A30" s="45" t="s">
        <v>269</v>
      </c>
      <c r="B30" s="814"/>
      <c r="C30" s="815"/>
      <c r="D30" s="816"/>
      <c r="F30" s="50"/>
      <c r="G30" s="50"/>
      <c r="H30" s="51"/>
      <c r="I30" s="52">
        <f t="shared" si="1"/>
        <v>0</v>
      </c>
      <c r="J30" s="51"/>
      <c r="K30" s="53">
        <f t="shared" si="0"/>
        <v>0</v>
      </c>
    </row>
    <row r="31" spans="1:11" ht="18" customHeight="1">
      <c r="A31" s="45" t="s">
        <v>270</v>
      </c>
      <c r="B31" s="814"/>
      <c r="C31" s="815"/>
      <c r="D31" s="816"/>
      <c r="F31" s="50"/>
      <c r="G31" s="50"/>
      <c r="H31" s="51"/>
      <c r="I31" s="52">
        <f t="shared" si="1"/>
        <v>0</v>
      </c>
      <c r="J31" s="51"/>
      <c r="K31" s="53">
        <f t="shared" si="0"/>
        <v>0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1"/>
        <v>0</v>
      </c>
      <c r="J32" s="51"/>
      <c r="K32" s="53">
        <f t="shared" si="0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1"/>
        <v>0</v>
      </c>
      <c r="J33" s="51"/>
      <c r="K33" s="53">
        <f t="shared" si="0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1"/>
        <v>0</v>
      </c>
      <c r="J34" s="51"/>
      <c r="K34" s="53">
        <f t="shared" si="0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231</v>
      </c>
      <c r="G36" s="59">
        <f t="shared" si="2"/>
        <v>973</v>
      </c>
      <c r="H36" s="59">
        <f t="shared" si="2"/>
        <v>11032.5</v>
      </c>
      <c r="I36" s="53">
        <f t="shared" si="2"/>
        <v>7060.8</v>
      </c>
      <c r="J36" s="53">
        <f t="shared" si="2"/>
        <v>0</v>
      </c>
      <c r="K36" s="53">
        <f t="shared" si="2"/>
        <v>18093.300000000003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/>
      <c r="G40" s="50"/>
      <c r="H40" s="51"/>
      <c r="I40" s="52">
        <v>0</v>
      </c>
      <c r="J40" s="51"/>
      <c r="K40" s="53">
        <f t="shared" ref="K40:K47" si="3">(H40+I40)-J40</f>
        <v>0</v>
      </c>
    </row>
    <row r="41" spans="1:11" ht="18" customHeight="1">
      <c r="A41" s="45" t="s">
        <v>278</v>
      </c>
      <c r="B41" s="818" t="s">
        <v>172</v>
      </c>
      <c r="C41" s="819"/>
      <c r="F41" s="50">
        <v>4214</v>
      </c>
      <c r="G41" s="50">
        <v>35</v>
      </c>
      <c r="H41" s="51">
        <v>192061.48</v>
      </c>
      <c r="I41" s="52">
        <v>59539.06</v>
      </c>
      <c r="J41" s="51"/>
      <c r="K41" s="53">
        <f t="shared" si="3"/>
        <v>251600.54</v>
      </c>
    </row>
    <row r="42" spans="1:11" ht="18" customHeight="1">
      <c r="A42" s="45" t="s">
        <v>279</v>
      </c>
      <c r="B42" s="49" t="s">
        <v>174</v>
      </c>
      <c r="F42" s="50">
        <v>502</v>
      </c>
      <c r="G42" s="50">
        <v>1</v>
      </c>
      <c r="H42" s="51">
        <v>29964.58</v>
      </c>
      <c r="I42" s="52">
        <v>9289.02</v>
      </c>
      <c r="J42" s="51"/>
      <c r="K42" s="53">
        <f t="shared" si="3"/>
        <v>39253.600000000006</v>
      </c>
    </row>
    <row r="43" spans="1:11" ht="18" customHeight="1">
      <c r="A43" s="45" t="s">
        <v>280</v>
      </c>
      <c r="B43" s="49" t="s">
        <v>176</v>
      </c>
      <c r="F43" s="50"/>
      <c r="G43" s="50"/>
      <c r="H43" s="51"/>
      <c r="I43" s="52">
        <v>0</v>
      </c>
      <c r="J43" s="51"/>
      <c r="K43" s="53">
        <f t="shared" si="3"/>
        <v>0</v>
      </c>
    </row>
    <row r="44" spans="1:11" ht="18" customHeight="1">
      <c r="A44" s="45" t="s">
        <v>281</v>
      </c>
      <c r="B44" s="814" t="s">
        <v>671</v>
      </c>
      <c r="C44" s="815"/>
      <c r="D44" s="816"/>
      <c r="F44" s="50">
        <v>1860</v>
      </c>
      <c r="G44" s="50">
        <v>7</v>
      </c>
      <c r="H44" s="50">
        <v>68216.98</v>
      </c>
      <c r="I44" s="52">
        <v>21147.27</v>
      </c>
      <c r="J44" s="50"/>
      <c r="K44" s="63">
        <f t="shared" si="3"/>
        <v>89364.25</v>
      </c>
    </row>
    <row r="45" spans="1:11" ht="18" customHeight="1">
      <c r="A45" s="45" t="s">
        <v>283</v>
      </c>
      <c r="B45" s="814" t="s">
        <v>672</v>
      </c>
      <c r="C45" s="815"/>
      <c r="D45" s="816"/>
      <c r="F45" s="50">
        <v>50</v>
      </c>
      <c r="G45" s="50">
        <v>1</v>
      </c>
      <c r="H45" s="51">
        <v>2112.25</v>
      </c>
      <c r="I45" s="52">
        <v>654.79999999999995</v>
      </c>
      <c r="J45" s="51"/>
      <c r="K45" s="53">
        <f t="shared" si="3"/>
        <v>2767.05</v>
      </c>
    </row>
    <row r="46" spans="1:11" ht="18" customHeight="1">
      <c r="A46" s="45" t="s">
        <v>284</v>
      </c>
      <c r="B46" s="814" t="s">
        <v>673</v>
      </c>
      <c r="C46" s="815"/>
      <c r="D46" s="816"/>
      <c r="F46" s="50"/>
      <c r="G46" s="50"/>
      <c r="H46" s="51">
        <v>15441.95</v>
      </c>
      <c r="I46" s="52">
        <v>4787</v>
      </c>
      <c r="J46" s="51">
        <v>15000</v>
      </c>
      <c r="K46" s="53">
        <f t="shared" si="3"/>
        <v>5228.9500000000007</v>
      </c>
    </row>
    <row r="47" spans="1:11" ht="18" customHeight="1">
      <c r="A47" s="45" t="s">
        <v>285</v>
      </c>
      <c r="B47" s="814" t="s">
        <v>674</v>
      </c>
      <c r="C47" s="815"/>
      <c r="D47" s="816"/>
      <c r="F47" s="50"/>
      <c r="G47" s="50"/>
      <c r="H47" s="51">
        <v>5083.68</v>
      </c>
      <c r="I47" s="52">
        <v>1575.94</v>
      </c>
      <c r="J47" s="51"/>
      <c r="K47" s="53">
        <f t="shared" si="3"/>
        <v>6659.6200000000008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4">SUM(F40:F47)</f>
        <v>6626</v>
      </c>
      <c r="G49" s="64">
        <f t="shared" si="4"/>
        <v>44</v>
      </c>
      <c r="H49" s="53">
        <f t="shared" si="4"/>
        <v>312880.92</v>
      </c>
      <c r="I49" s="53">
        <f t="shared" si="4"/>
        <v>96993.090000000011</v>
      </c>
      <c r="J49" s="53">
        <f t="shared" si="4"/>
        <v>15000</v>
      </c>
      <c r="K49" s="53">
        <f t="shared" si="4"/>
        <v>394874.01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46" t="s">
        <v>675</v>
      </c>
      <c r="C53" s="823"/>
      <c r="D53" s="813"/>
      <c r="F53" s="50"/>
      <c r="G53" s="50"/>
      <c r="H53" s="51"/>
      <c r="I53" s="52">
        <v>0</v>
      </c>
      <c r="J53" s="51"/>
      <c r="K53" s="53">
        <f t="shared" ref="K53:K62" si="5">(H53+I53)-J53</f>
        <v>0</v>
      </c>
    </row>
    <row r="54" spans="1:11" ht="18" customHeight="1">
      <c r="A54" s="45" t="s">
        <v>289</v>
      </c>
      <c r="B54" s="104" t="s">
        <v>676</v>
      </c>
      <c r="C54" s="105"/>
      <c r="D54" s="106"/>
      <c r="F54" s="50"/>
      <c r="G54" s="50"/>
      <c r="H54" s="51"/>
      <c r="I54" s="52">
        <v>0</v>
      </c>
      <c r="J54" s="51"/>
      <c r="K54" s="53">
        <f t="shared" si="5"/>
        <v>0</v>
      </c>
    </row>
    <row r="55" spans="1:11" ht="18" customHeight="1">
      <c r="A55" s="45" t="s">
        <v>291</v>
      </c>
      <c r="B55" s="811"/>
      <c r="C55" s="812"/>
      <c r="D55" s="813"/>
      <c r="F55" s="50"/>
      <c r="G55" s="50"/>
      <c r="H55" s="51"/>
      <c r="I55" s="52">
        <v>0</v>
      </c>
      <c r="J55" s="51"/>
      <c r="K55" s="53">
        <f t="shared" si="5"/>
        <v>0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v>0</v>
      </c>
      <c r="J56" s="51"/>
      <c r="K56" s="53">
        <f t="shared" si="5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v>0</v>
      </c>
      <c r="J57" s="51"/>
      <c r="K57" s="53">
        <f t="shared" si="5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v>0</v>
      </c>
      <c r="J58" s="51"/>
      <c r="K58" s="53">
        <f t="shared" si="5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v>0</v>
      </c>
      <c r="J59" s="51"/>
      <c r="K59" s="53">
        <f t="shared" si="5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v>0</v>
      </c>
      <c r="J60" s="51"/>
      <c r="K60" s="53">
        <f t="shared" si="5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v>0</v>
      </c>
      <c r="J61" s="51"/>
      <c r="K61" s="53">
        <f t="shared" si="5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v>0</v>
      </c>
      <c r="J62" s="51"/>
      <c r="K62" s="53">
        <f t="shared" si="5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6">SUM(F53:F62)</f>
        <v>0</v>
      </c>
      <c r="G64" s="59">
        <f t="shared" si="6"/>
        <v>0</v>
      </c>
      <c r="H64" s="53">
        <f t="shared" si="6"/>
        <v>0</v>
      </c>
      <c r="I64" s="53">
        <f t="shared" si="6"/>
        <v>0</v>
      </c>
      <c r="J64" s="53">
        <f t="shared" si="6"/>
        <v>0</v>
      </c>
      <c r="K64" s="53">
        <f t="shared" si="6"/>
        <v>0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/>
      <c r="G68" s="78"/>
      <c r="H68" s="78"/>
      <c r="I68" s="52">
        <v>0</v>
      </c>
      <c r="J68" s="78"/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78"/>
      <c r="G69" s="78"/>
      <c r="H69" s="78"/>
      <c r="I69" s="52">
        <v>0</v>
      </c>
      <c r="J69" s="78"/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7">SUM(F68:F72)</f>
        <v>0</v>
      </c>
      <c r="G74" s="86">
        <f t="shared" si="7"/>
        <v>0</v>
      </c>
      <c r="H74" s="86">
        <f t="shared" si="7"/>
        <v>0</v>
      </c>
      <c r="I74" s="87">
        <f t="shared" si="7"/>
        <v>0</v>
      </c>
      <c r="J74" s="86">
        <f t="shared" si="7"/>
        <v>0</v>
      </c>
      <c r="K74" s="63">
        <f t="shared" si="7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/>
      <c r="G77" s="50"/>
      <c r="H77" s="51"/>
      <c r="I77" s="52">
        <v>0</v>
      </c>
      <c r="J77" s="51"/>
      <c r="K77" s="53">
        <f>(H77+I77)-J77</f>
        <v>0</v>
      </c>
    </row>
    <row r="78" spans="1:11" ht="18" customHeight="1">
      <c r="A78" s="45" t="s">
        <v>313</v>
      </c>
      <c r="B78" s="49" t="s">
        <v>197</v>
      </c>
      <c r="F78" s="50"/>
      <c r="G78" s="50"/>
      <c r="H78" s="51"/>
      <c r="I78" s="52">
        <v>0</v>
      </c>
      <c r="J78" s="51"/>
      <c r="K78" s="53">
        <f>(H78+I78)-J78</f>
        <v>0</v>
      </c>
    </row>
    <row r="79" spans="1:11" ht="18" customHeight="1">
      <c r="A79" s="45" t="s">
        <v>314</v>
      </c>
      <c r="B79" s="49" t="s">
        <v>199</v>
      </c>
      <c r="F79" s="50">
        <v>1280</v>
      </c>
      <c r="G79" s="50"/>
      <c r="H79" s="51">
        <v>39449.599999999999</v>
      </c>
      <c r="I79" s="52">
        <v>21147.27</v>
      </c>
      <c r="J79" s="51"/>
      <c r="K79" s="53">
        <f>(H79+I79)-J79</f>
        <v>60596.869999999995</v>
      </c>
    </row>
    <row r="80" spans="1:11" ht="18" customHeight="1">
      <c r="A80" s="45" t="s">
        <v>315</v>
      </c>
      <c r="B80" s="49" t="s">
        <v>316</v>
      </c>
      <c r="F80" s="50"/>
      <c r="G80" s="50"/>
      <c r="H80" s="51"/>
      <c r="I80" s="52">
        <v>0</v>
      </c>
      <c r="J80" s="51"/>
      <c r="K80" s="53">
        <f>(H80+I80)-J80</f>
        <v>0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8">SUM(F77:F80)</f>
        <v>1280</v>
      </c>
      <c r="G82" s="86">
        <f t="shared" si="8"/>
        <v>0</v>
      </c>
      <c r="H82" s="63">
        <f t="shared" si="8"/>
        <v>39449.599999999999</v>
      </c>
      <c r="I82" s="63">
        <f t="shared" si="8"/>
        <v>21147.27</v>
      </c>
      <c r="J82" s="63">
        <f t="shared" si="8"/>
        <v>0</v>
      </c>
      <c r="K82" s="63">
        <f t="shared" si="8"/>
        <v>60596.869999999995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/>
      <c r="G86" s="50"/>
      <c r="H86" s="51"/>
      <c r="I86" s="52">
        <f t="shared" ref="I86:I96" si="9">H86*F$114</f>
        <v>0</v>
      </c>
      <c r="J86" s="51"/>
      <c r="K86" s="53">
        <f t="shared" ref="K86:K96" si="10">(H86+I86)-J86</f>
        <v>0</v>
      </c>
    </row>
    <row r="87" spans="1:11" ht="18" customHeight="1">
      <c r="A87" s="45" t="s">
        <v>320</v>
      </c>
      <c r="B87" s="49" t="s">
        <v>206</v>
      </c>
      <c r="F87" s="50"/>
      <c r="G87" s="50"/>
      <c r="H87" s="51"/>
      <c r="I87" s="52">
        <f t="shared" si="9"/>
        <v>0</v>
      </c>
      <c r="J87" s="51"/>
      <c r="K87" s="53">
        <f t="shared" si="10"/>
        <v>0</v>
      </c>
    </row>
    <row r="88" spans="1:11" ht="18" customHeight="1">
      <c r="A88" s="45" t="s">
        <v>321</v>
      </c>
      <c r="B88" s="49" t="s">
        <v>208</v>
      </c>
      <c r="F88" s="50"/>
      <c r="G88" s="50"/>
      <c r="H88" s="51"/>
      <c r="I88" s="52">
        <f t="shared" si="9"/>
        <v>0</v>
      </c>
      <c r="J88" s="51"/>
      <c r="K88" s="53">
        <f t="shared" si="10"/>
        <v>0</v>
      </c>
    </row>
    <row r="89" spans="1:11" ht="18" customHeight="1">
      <c r="A89" s="45" t="s">
        <v>322</v>
      </c>
      <c r="B89" s="49" t="s">
        <v>210</v>
      </c>
      <c r="F89" s="50"/>
      <c r="G89" s="50"/>
      <c r="H89" s="51"/>
      <c r="I89" s="52">
        <f t="shared" si="9"/>
        <v>0</v>
      </c>
      <c r="J89" s="51"/>
      <c r="K89" s="53">
        <f t="shared" si="10"/>
        <v>0</v>
      </c>
    </row>
    <row r="90" spans="1:11" ht="18" customHeight="1">
      <c r="A90" s="45" t="s">
        <v>323</v>
      </c>
      <c r="B90" s="818" t="s">
        <v>212</v>
      </c>
      <c r="C90" s="819"/>
      <c r="F90" s="50"/>
      <c r="G90" s="50"/>
      <c r="H90" s="51"/>
      <c r="I90" s="52">
        <f t="shared" si="9"/>
        <v>0</v>
      </c>
      <c r="J90" s="51"/>
      <c r="K90" s="53">
        <f t="shared" si="10"/>
        <v>0</v>
      </c>
    </row>
    <row r="91" spans="1:11" ht="18" customHeight="1">
      <c r="A91" s="45" t="s">
        <v>324</v>
      </c>
      <c r="B91" s="49" t="s">
        <v>214</v>
      </c>
      <c r="F91" s="50"/>
      <c r="G91" s="50"/>
      <c r="H91" s="51"/>
      <c r="I91" s="52">
        <f t="shared" si="9"/>
        <v>0</v>
      </c>
      <c r="J91" s="51"/>
      <c r="K91" s="53">
        <f t="shared" si="10"/>
        <v>0</v>
      </c>
    </row>
    <row r="92" spans="1:11" ht="18" customHeight="1">
      <c r="A92" s="45" t="s">
        <v>325</v>
      </c>
      <c r="B92" s="49" t="s">
        <v>216</v>
      </c>
      <c r="F92" s="89"/>
      <c r="G92" s="89"/>
      <c r="H92" s="90"/>
      <c r="I92" s="52">
        <f t="shared" si="9"/>
        <v>0</v>
      </c>
      <c r="J92" s="90"/>
      <c r="K92" s="53">
        <f t="shared" si="10"/>
        <v>0</v>
      </c>
    </row>
    <row r="93" spans="1:11" ht="18" customHeight="1">
      <c r="A93" s="45" t="s">
        <v>326</v>
      </c>
      <c r="B93" s="49" t="s">
        <v>218</v>
      </c>
      <c r="F93" s="50"/>
      <c r="G93" s="50"/>
      <c r="H93" s="51"/>
      <c r="I93" s="52">
        <f t="shared" si="9"/>
        <v>0</v>
      </c>
      <c r="J93" s="51"/>
      <c r="K93" s="53">
        <f t="shared" si="10"/>
        <v>0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si="9"/>
        <v>0</v>
      </c>
      <c r="J94" s="51"/>
      <c r="K94" s="53">
        <f t="shared" si="10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9"/>
        <v>0</v>
      </c>
      <c r="J95" s="51"/>
      <c r="K95" s="53">
        <f t="shared" si="10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9"/>
        <v>0</v>
      </c>
      <c r="J96" s="51"/>
      <c r="K96" s="53">
        <f t="shared" si="10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1">SUM(F86:F96)</f>
        <v>0</v>
      </c>
      <c r="G98" s="59">
        <f t="shared" si="11"/>
        <v>0</v>
      </c>
      <c r="H98" s="59">
        <f t="shared" si="11"/>
        <v>0</v>
      </c>
      <c r="I98" s="59">
        <f t="shared" si="11"/>
        <v>0</v>
      </c>
      <c r="J98" s="59">
        <f t="shared" si="11"/>
        <v>0</v>
      </c>
      <c r="K98" s="59">
        <f t="shared" si="11"/>
        <v>0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300</v>
      </c>
      <c r="G102" s="50"/>
      <c r="H102" s="51">
        <v>12000</v>
      </c>
      <c r="I102" s="52">
        <v>7680</v>
      </c>
      <c r="J102" s="51"/>
      <c r="K102" s="53">
        <f>(H102+I102)-J102</f>
        <v>19680</v>
      </c>
    </row>
    <row r="103" spans="1:11" ht="18" customHeight="1">
      <c r="A103" s="45" t="s">
        <v>333</v>
      </c>
      <c r="B103" s="818" t="s">
        <v>226</v>
      </c>
      <c r="C103" s="818"/>
      <c r="F103" s="50"/>
      <c r="G103" s="50"/>
      <c r="H103" s="51">
        <v>21500</v>
      </c>
      <c r="I103" s="52">
        <v>13760</v>
      </c>
      <c r="J103" s="51"/>
      <c r="K103" s="53">
        <f>(H103+I103)-J103</f>
        <v>35260</v>
      </c>
    </row>
    <row r="104" spans="1:11" ht="18" customHeight="1">
      <c r="A104" s="45" t="s">
        <v>334</v>
      </c>
      <c r="B104" s="811"/>
      <c r="C104" s="812"/>
      <c r="D104" s="813"/>
      <c r="F104" s="50"/>
      <c r="G104" s="50"/>
      <c r="H104" s="51"/>
      <c r="I104" s="52">
        <f>H104*F$114</f>
        <v>0</v>
      </c>
      <c r="J104" s="51"/>
      <c r="K104" s="53">
        <f>(H104+I104)-J104</f>
        <v>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2">SUM(F102:F106)</f>
        <v>300</v>
      </c>
      <c r="G108" s="59">
        <f t="shared" si="12"/>
        <v>0</v>
      </c>
      <c r="H108" s="53">
        <f t="shared" si="12"/>
        <v>33500</v>
      </c>
      <c r="I108" s="53">
        <f t="shared" si="12"/>
        <v>21440</v>
      </c>
      <c r="J108" s="53">
        <f t="shared" si="12"/>
        <v>0</v>
      </c>
      <c r="K108" s="53">
        <f t="shared" si="12"/>
        <v>54940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1241478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0.64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38105859</v>
      </c>
    </row>
    <row r="118" spans="1:6">
      <c r="A118" s="45" t="s">
        <v>343</v>
      </c>
      <c r="B118" s="40" t="s">
        <v>237</v>
      </c>
      <c r="F118" s="51">
        <v>1801611</v>
      </c>
    </row>
    <row r="119" spans="1:6">
      <c r="A119" s="45" t="s">
        <v>344</v>
      </c>
      <c r="B119" s="43" t="s">
        <v>238</v>
      </c>
      <c r="F119" s="63">
        <f>SUM(F117:F118)</f>
        <v>39907470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38806279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v>1101191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808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v>1101999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3">SUM(F131:F135)</f>
        <v>0</v>
      </c>
      <c r="G137" s="59">
        <f t="shared" si="13"/>
        <v>0</v>
      </c>
      <c r="H137" s="53">
        <f t="shared" si="13"/>
        <v>0</v>
      </c>
      <c r="I137" s="53">
        <f t="shared" si="13"/>
        <v>0</v>
      </c>
      <c r="J137" s="53">
        <f t="shared" si="13"/>
        <v>0</v>
      </c>
      <c r="K137" s="53">
        <f t="shared" si="13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4">F36</f>
        <v>231</v>
      </c>
      <c r="G141" s="95">
        <f t="shared" si="14"/>
        <v>973</v>
      </c>
      <c r="H141" s="95">
        <f t="shared" si="14"/>
        <v>11032.5</v>
      </c>
      <c r="I141" s="95">
        <f t="shared" si="14"/>
        <v>7060.8</v>
      </c>
      <c r="J141" s="95">
        <f t="shared" si="14"/>
        <v>0</v>
      </c>
      <c r="K141" s="95">
        <f t="shared" si="14"/>
        <v>18093.300000000003</v>
      </c>
    </row>
    <row r="142" spans="1:11" ht="18" customHeight="1">
      <c r="A142" s="45" t="s">
        <v>286</v>
      </c>
      <c r="B142" s="43" t="s">
        <v>125</v>
      </c>
      <c r="F142" s="95">
        <f t="shared" ref="F142:K142" si="15">F49</f>
        <v>6626</v>
      </c>
      <c r="G142" s="95">
        <f t="shared" si="15"/>
        <v>44</v>
      </c>
      <c r="H142" s="95">
        <f t="shared" si="15"/>
        <v>312880.92</v>
      </c>
      <c r="I142" s="95">
        <f t="shared" si="15"/>
        <v>96993.090000000011</v>
      </c>
      <c r="J142" s="95">
        <f t="shared" si="15"/>
        <v>15000</v>
      </c>
      <c r="K142" s="95">
        <f t="shared" si="15"/>
        <v>394874.01</v>
      </c>
    </row>
    <row r="143" spans="1:11" ht="18" customHeight="1">
      <c r="A143" s="45" t="s">
        <v>305</v>
      </c>
      <c r="B143" s="43" t="s">
        <v>247</v>
      </c>
      <c r="F143" s="95">
        <f t="shared" ref="F143:K143" si="16">F64</f>
        <v>0</v>
      </c>
      <c r="G143" s="95">
        <f t="shared" si="16"/>
        <v>0</v>
      </c>
      <c r="H143" s="95">
        <f t="shared" si="16"/>
        <v>0</v>
      </c>
      <c r="I143" s="95">
        <f t="shared" si="16"/>
        <v>0</v>
      </c>
      <c r="J143" s="95">
        <f t="shared" si="16"/>
        <v>0</v>
      </c>
      <c r="K143" s="95">
        <f t="shared" si="16"/>
        <v>0</v>
      </c>
    </row>
    <row r="144" spans="1:11" ht="18" customHeight="1">
      <c r="A144" s="45" t="s">
        <v>311</v>
      </c>
      <c r="B144" s="43" t="s">
        <v>127</v>
      </c>
      <c r="F144" s="95">
        <f t="shared" ref="F144:K144" si="17">F74</f>
        <v>0</v>
      </c>
      <c r="G144" s="95">
        <f t="shared" si="17"/>
        <v>0</v>
      </c>
      <c r="H144" s="95">
        <f t="shared" si="17"/>
        <v>0</v>
      </c>
      <c r="I144" s="95">
        <f t="shared" si="17"/>
        <v>0</v>
      </c>
      <c r="J144" s="95">
        <f t="shared" si="17"/>
        <v>0</v>
      </c>
      <c r="K144" s="95">
        <f t="shared" si="17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18">F82</f>
        <v>1280</v>
      </c>
      <c r="G145" s="95">
        <f t="shared" si="18"/>
        <v>0</v>
      </c>
      <c r="H145" s="95">
        <f t="shared" si="18"/>
        <v>39449.599999999999</v>
      </c>
      <c r="I145" s="95">
        <f t="shared" si="18"/>
        <v>21147.27</v>
      </c>
      <c r="J145" s="95">
        <f t="shared" si="18"/>
        <v>0</v>
      </c>
      <c r="K145" s="95">
        <f t="shared" si="18"/>
        <v>60596.869999999995</v>
      </c>
    </row>
    <row r="146" spans="1:11" ht="18" customHeight="1">
      <c r="A146" s="45" t="s">
        <v>331</v>
      </c>
      <c r="B146" s="43" t="s">
        <v>249</v>
      </c>
      <c r="F146" s="95">
        <f t="shared" ref="F146:K146" si="19">F98</f>
        <v>0</v>
      </c>
      <c r="G146" s="95">
        <f t="shared" si="19"/>
        <v>0</v>
      </c>
      <c r="H146" s="95">
        <f t="shared" si="19"/>
        <v>0</v>
      </c>
      <c r="I146" s="95">
        <f t="shared" si="19"/>
        <v>0</v>
      </c>
      <c r="J146" s="95">
        <f t="shared" si="19"/>
        <v>0</v>
      </c>
      <c r="K146" s="95">
        <f t="shared" si="19"/>
        <v>0</v>
      </c>
    </row>
    <row r="147" spans="1:11" ht="18" customHeight="1">
      <c r="A147" s="45" t="s">
        <v>338</v>
      </c>
      <c r="B147" s="43" t="s">
        <v>129</v>
      </c>
      <c r="F147" s="59">
        <f t="shared" ref="F147:K147" si="20">F108</f>
        <v>300</v>
      </c>
      <c r="G147" s="59">
        <f t="shared" si="20"/>
        <v>0</v>
      </c>
      <c r="H147" s="59">
        <f t="shared" si="20"/>
        <v>33500</v>
      </c>
      <c r="I147" s="59">
        <f t="shared" si="20"/>
        <v>21440</v>
      </c>
      <c r="J147" s="59">
        <f t="shared" si="20"/>
        <v>0</v>
      </c>
      <c r="K147" s="59">
        <f t="shared" si="20"/>
        <v>54940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1241478</v>
      </c>
    </row>
    <row r="149" spans="1:11" ht="18" customHeight="1">
      <c r="A149" s="45" t="s">
        <v>358</v>
      </c>
      <c r="B149" s="43" t="s">
        <v>250</v>
      </c>
      <c r="F149" s="59">
        <f t="shared" ref="F149:K149" si="21">F137</f>
        <v>0</v>
      </c>
      <c r="G149" s="59">
        <f t="shared" si="21"/>
        <v>0</v>
      </c>
      <c r="H149" s="59">
        <f t="shared" si="21"/>
        <v>0</v>
      </c>
      <c r="I149" s="59">
        <f t="shared" si="21"/>
        <v>0</v>
      </c>
      <c r="J149" s="59">
        <f t="shared" si="21"/>
        <v>0</v>
      </c>
      <c r="K149" s="59">
        <f t="shared" si="21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1121316</v>
      </c>
      <c r="I150" s="59">
        <f>I18</f>
        <v>0</v>
      </c>
      <c r="J150" s="59">
        <f>J18</f>
        <v>958865</v>
      </c>
      <c r="K150" s="59">
        <f>K18</f>
        <v>162451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2">SUM(F141:F150)</f>
        <v>8437</v>
      </c>
      <c r="G152" s="99">
        <f t="shared" si="22"/>
        <v>1017</v>
      </c>
      <c r="H152" s="99">
        <f t="shared" si="22"/>
        <v>1518179.02</v>
      </c>
      <c r="I152" s="99">
        <f t="shared" si="22"/>
        <v>146641.16000000003</v>
      </c>
      <c r="J152" s="99">
        <f t="shared" si="22"/>
        <v>973865</v>
      </c>
      <c r="K152" s="99">
        <f t="shared" si="22"/>
        <v>1932433.18</v>
      </c>
    </row>
    <row r="154" spans="1:11" ht="18" customHeight="1">
      <c r="A154" s="48" t="s">
        <v>361</v>
      </c>
      <c r="B154" s="43" t="s">
        <v>252</v>
      </c>
      <c r="F154" s="165">
        <f>K152/F121</f>
        <v>4.9796920235511369E-2</v>
      </c>
    </row>
    <row r="155" spans="1:11" ht="18" customHeight="1">
      <c r="A155" s="48" t="s">
        <v>362</v>
      </c>
      <c r="B155" s="43" t="s">
        <v>253</v>
      </c>
      <c r="F155" s="165">
        <f>K152/F127</f>
        <v>1.7535707201186208</v>
      </c>
      <c r="G155" s="43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hyperlinks>
    <hyperlink ref="C11" r:id="rId1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2" workbookViewId="0">
      <selection activeCell="B43" sqref="B43"/>
    </sheetView>
  </sheetViews>
  <sheetFormatPr defaultRowHeight="12.75"/>
  <cols>
    <col min="1" max="1" width="8.28515625" style="135" customWidth="1"/>
    <col min="2" max="2" width="55.42578125" style="49" bestFit="1" customWidth="1"/>
    <col min="3" max="3" width="9.5703125" style="49" customWidth="1"/>
    <col min="4" max="4" width="9.140625" style="49"/>
    <col min="5" max="5" width="12.42578125" style="49" customWidth="1"/>
    <col min="6" max="6" width="18.5703125" style="49" customWidth="1"/>
    <col min="7" max="7" width="23.5703125" style="49" customWidth="1"/>
    <col min="8" max="8" width="17.140625" style="49" customWidth="1"/>
    <col min="9" max="9" width="21.140625" style="49" customWidth="1"/>
    <col min="10" max="10" width="19.85546875" style="49" customWidth="1"/>
    <col min="11" max="11" width="17.5703125" style="49" customWidth="1"/>
    <col min="12" max="16384" width="9.140625" style="49"/>
  </cols>
  <sheetData>
    <row r="1" spans="1:11" ht="18" customHeight="1">
      <c r="C1" s="346"/>
      <c r="D1" s="42"/>
      <c r="E1" s="346"/>
      <c r="F1" s="346"/>
      <c r="G1" s="346"/>
      <c r="H1" s="346"/>
      <c r="I1" s="346"/>
      <c r="J1" s="346"/>
      <c r="K1" s="346"/>
    </row>
    <row r="2" spans="1:11" ht="18" customHeight="1">
      <c r="D2" s="824" t="s">
        <v>780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26" t="s">
        <v>781</v>
      </c>
      <c r="D5" s="851"/>
      <c r="E5" s="851"/>
      <c r="F5" s="851"/>
      <c r="G5" s="852"/>
    </row>
    <row r="6" spans="1:11" ht="18" customHeight="1">
      <c r="B6" s="45" t="s">
        <v>136</v>
      </c>
      <c r="C6" s="829">
        <v>61</v>
      </c>
      <c r="D6" s="854"/>
      <c r="E6" s="854"/>
      <c r="F6" s="854"/>
      <c r="G6" s="855"/>
    </row>
    <row r="7" spans="1:11" ht="18" customHeight="1">
      <c r="B7" s="45" t="s">
        <v>137</v>
      </c>
      <c r="C7" s="878">
        <v>811</v>
      </c>
      <c r="D7" s="857"/>
      <c r="E7" s="857"/>
      <c r="F7" s="857"/>
      <c r="G7" s="858"/>
    </row>
    <row r="9" spans="1:11" ht="18" customHeight="1">
      <c r="B9" s="45" t="s">
        <v>138</v>
      </c>
      <c r="C9" s="826" t="s">
        <v>782</v>
      </c>
      <c r="D9" s="851"/>
      <c r="E9" s="851"/>
      <c r="F9" s="851"/>
      <c r="G9" s="852"/>
    </row>
    <row r="10" spans="1:11" ht="18" customHeight="1">
      <c r="B10" s="45" t="s">
        <v>140</v>
      </c>
      <c r="C10" s="835" t="s">
        <v>783</v>
      </c>
      <c r="D10" s="860"/>
      <c r="E10" s="860"/>
      <c r="F10" s="860"/>
      <c r="G10" s="861"/>
    </row>
    <row r="11" spans="1:11" ht="18" customHeight="1">
      <c r="B11" s="45" t="s">
        <v>142</v>
      </c>
      <c r="C11" s="826" t="s">
        <v>784</v>
      </c>
      <c r="D11" s="874"/>
      <c r="E11" s="874"/>
      <c r="F11" s="874"/>
      <c r="G11" s="874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346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2515188</v>
      </c>
      <c r="I18" s="167">
        <v>0</v>
      </c>
      <c r="J18" s="347">
        <v>2150804</v>
      </c>
      <c r="K18" s="348">
        <f>(H18+I18)-J18</f>
        <v>364384</v>
      </c>
    </row>
    <row r="19" spans="1:11" ht="45" customHeight="1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7">
        <v>3121</v>
      </c>
      <c r="G21" s="57">
        <v>29726</v>
      </c>
      <c r="H21" s="347">
        <v>220915</v>
      </c>
      <c r="I21" s="167">
        <f t="shared" ref="I21:I34" si="0">H21*F$114</f>
        <v>143592.54084999999</v>
      </c>
      <c r="J21" s="347">
        <v>3175</v>
      </c>
      <c r="K21" s="348">
        <f t="shared" ref="K21:K34" si="1">(H21+I21)-J21</f>
        <v>361332.54084999999</v>
      </c>
    </row>
    <row r="22" spans="1:11" ht="18" customHeight="1">
      <c r="A22" s="45" t="s">
        <v>261</v>
      </c>
      <c r="B22" s="49" t="s">
        <v>157</v>
      </c>
      <c r="F22" s="57"/>
      <c r="G22" s="57"/>
      <c r="H22" s="347"/>
      <c r="I22" s="167">
        <f t="shared" si="0"/>
        <v>0</v>
      </c>
      <c r="J22" s="347"/>
      <c r="K22" s="348">
        <f t="shared" si="1"/>
        <v>0</v>
      </c>
    </row>
    <row r="23" spans="1:11" ht="18" customHeight="1">
      <c r="A23" s="45" t="s">
        <v>262</v>
      </c>
      <c r="B23" s="49" t="s">
        <v>158</v>
      </c>
      <c r="F23" s="57"/>
      <c r="G23" s="57"/>
      <c r="H23" s="347"/>
      <c r="I23" s="167">
        <f t="shared" si="0"/>
        <v>0</v>
      </c>
      <c r="J23" s="347"/>
      <c r="K23" s="348">
        <f t="shared" si="1"/>
        <v>0</v>
      </c>
    </row>
    <row r="24" spans="1:11" ht="18" customHeight="1">
      <c r="A24" s="45" t="s">
        <v>263</v>
      </c>
      <c r="B24" s="49" t="s">
        <v>159</v>
      </c>
      <c r="F24" s="57">
        <v>3125</v>
      </c>
      <c r="G24" s="57">
        <v>7830</v>
      </c>
      <c r="H24" s="347">
        <v>170992</v>
      </c>
      <c r="I24" s="167">
        <f t="shared" si="0"/>
        <v>111143.09007999999</v>
      </c>
      <c r="J24" s="347"/>
      <c r="K24" s="348">
        <f t="shared" si="1"/>
        <v>282135.09007999999</v>
      </c>
    </row>
    <row r="25" spans="1:11" ht="18" customHeight="1">
      <c r="A25" s="45" t="s">
        <v>264</v>
      </c>
      <c r="B25" s="49" t="s">
        <v>160</v>
      </c>
      <c r="F25" s="57"/>
      <c r="G25" s="57"/>
      <c r="H25" s="347"/>
      <c r="I25" s="167">
        <f t="shared" si="0"/>
        <v>0</v>
      </c>
      <c r="J25" s="347"/>
      <c r="K25" s="348">
        <f t="shared" si="1"/>
        <v>0</v>
      </c>
    </row>
    <row r="26" spans="1:11" ht="18" customHeight="1">
      <c r="A26" s="45" t="s">
        <v>265</v>
      </c>
      <c r="B26" s="49" t="s">
        <v>161</v>
      </c>
      <c r="F26" s="57"/>
      <c r="G26" s="57"/>
      <c r="H26" s="347"/>
      <c r="I26" s="167">
        <f t="shared" si="0"/>
        <v>0</v>
      </c>
      <c r="J26" s="347"/>
      <c r="K26" s="348">
        <f t="shared" si="1"/>
        <v>0</v>
      </c>
    </row>
    <row r="27" spans="1:11" ht="18" customHeight="1">
      <c r="A27" s="45" t="s">
        <v>266</v>
      </c>
      <c r="B27" s="49" t="s">
        <v>162</v>
      </c>
      <c r="F27" s="57"/>
      <c r="G27" s="57"/>
      <c r="H27" s="347"/>
      <c r="I27" s="167">
        <f t="shared" si="0"/>
        <v>0</v>
      </c>
      <c r="J27" s="347"/>
      <c r="K27" s="348">
        <f t="shared" si="1"/>
        <v>0</v>
      </c>
    </row>
    <row r="28" spans="1:11" ht="18" customHeight="1">
      <c r="A28" s="45" t="s">
        <v>267</v>
      </c>
      <c r="B28" s="49" t="s">
        <v>163</v>
      </c>
      <c r="F28" s="57"/>
      <c r="G28" s="57"/>
      <c r="H28" s="347"/>
      <c r="I28" s="167">
        <f t="shared" si="0"/>
        <v>0</v>
      </c>
      <c r="J28" s="347"/>
      <c r="K28" s="348">
        <f t="shared" si="1"/>
        <v>0</v>
      </c>
    </row>
    <row r="29" spans="1:11" ht="18" customHeight="1">
      <c r="A29" s="45" t="s">
        <v>268</v>
      </c>
      <c r="B29" s="49" t="s">
        <v>165</v>
      </c>
      <c r="F29" s="57">
        <v>3475</v>
      </c>
      <c r="G29" s="57">
        <v>3121</v>
      </c>
      <c r="H29" s="347">
        <v>147032</v>
      </c>
      <c r="I29" s="167">
        <f t="shared" si="0"/>
        <v>95569.329679999995</v>
      </c>
      <c r="J29" s="347"/>
      <c r="K29" s="348">
        <f t="shared" si="1"/>
        <v>242601.32968</v>
      </c>
    </row>
    <row r="30" spans="1:11" ht="18" customHeight="1">
      <c r="A30" s="45" t="s">
        <v>269</v>
      </c>
      <c r="B30" s="814"/>
      <c r="C30" s="815"/>
      <c r="D30" s="816"/>
      <c r="F30" s="57"/>
      <c r="G30" s="57"/>
      <c r="H30" s="347"/>
      <c r="I30" s="167">
        <f t="shared" si="0"/>
        <v>0</v>
      </c>
      <c r="J30" s="347"/>
      <c r="K30" s="348">
        <f t="shared" si="1"/>
        <v>0</v>
      </c>
    </row>
    <row r="31" spans="1:11" ht="18" customHeight="1">
      <c r="A31" s="45" t="s">
        <v>270</v>
      </c>
      <c r="B31" s="814"/>
      <c r="C31" s="815"/>
      <c r="D31" s="816"/>
      <c r="F31" s="57"/>
      <c r="G31" s="57"/>
      <c r="H31" s="347"/>
      <c r="I31" s="167">
        <f t="shared" si="0"/>
        <v>0</v>
      </c>
      <c r="J31" s="347"/>
      <c r="K31" s="348">
        <f t="shared" si="1"/>
        <v>0</v>
      </c>
    </row>
    <row r="32" spans="1:11" ht="18" customHeight="1">
      <c r="A32" s="45" t="s">
        <v>271</v>
      </c>
      <c r="B32" s="160"/>
      <c r="C32" s="161"/>
      <c r="D32" s="162"/>
      <c r="F32" s="57"/>
      <c r="G32" s="57" t="s">
        <v>272</v>
      </c>
      <c r="H32" s="347"/>
      <c r="I32" s="167">
        <f t="shared" si="0"/>
        <v>0</v>
      </c>
      <c r="J32" s="347"/>
      <c r="K32" s="348">
        <f t="shared" si="1"/>
        <v>0</v>
      </c>
    </row>
    <row r="33" spans="1:11" ht="18" customHeight="1">
      <c r="A33" s="45" t="s">
        <v>273</v>
      </c>
      <c r="B33" s="160"/>
      <c r="C33" s="161"/>
      <c r="D33" s="162"/>
      <c r="F33" s="57"/>
      <c r="G33" s="57" t="s">
        <v>272</v>
      </c>
      <c r="H33" s="347"/>
      <c r="I33" s="167">
        <f t="shared" si="0"/>
        <v>0</v>
      </c>
      <c r="J33" s="347"/>
      <c r="K33" s="348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7"/>
      <c r="G34" s="57" t="s">
        <v>272</v>
      </c>
      <c r="H34" s="347"/>
      <c r="I34" s="167">
        <f t="shared" si="0"/>
        <v>0</v>
      </c>
      <c r="J34" s="347"/>
      <c r="K34" s="348">
        <f t="shared" si="1"/>
        <v>0</v>
      </c>
    </row>
    <row r="35" spans="1:11" ht="18" customHeight="1">
      <c r="K35" s="349"/>
    </row>
    <row r="36" spans="1:11" ht="18" customHeight="1">
      <c r="A36" s="48" t="s">
        <v>275</v>
      </c>
      <c r="B36" s="43" t="s">
        <v>166</v>
      </c>
      <c r="E36" s="43" t="s">
        <v>276</v>
      </c>
      <c r="F36" s="350">
        <f t="shared" ref="F36:K36" si="2">SUM(F21:F34)</f>
        <v>9721</v>
      </c>
      <c r="G36" s="350">
        <f t="shared" si="2"/>
        <v>40677</v>
      </c>
      <c r="H36" s="350">
        <f t="shared" si="2"/>
        <v>538939</v>
      </c>
      <c r="I36" s="348">
        <f t="shared" si="2"/>
        <v>350304.96060999995</v>
      </c>
      <c r="J36" s="348">
        <f t="shared" si="2"/>
        <v>3175</v>
      </c>
      <c r="K36" s="348">
        <f t="shared" si="2"/>
        <v>886068.96060999995</v>
      </c>
    </row>
    <row r="37" spans="1:11" ht="18" customHeight="1" thickBot="1">
      <c r="B37" s="43"/>
      <c r="F37" s="351"/>
      <c r="G37" s="351"/>
      <c r="H37" s="352"/>
      <c r="I37" s="352"/>
      <c r="J37" s="352"/>
      <c r="K37" s="353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9" t="s">
        <v>170</v>
      </c>
      <c r="F40" s="57">
        <v>2719</v>
      </c>
      <c r="G40" s="57">
        <v>287</v>
      </c>
      <c r="H40" s="347">
        <v>313339</v>
      </c>
      <c r="I40" s="167">
        <v>0</v>
      </c>
      <c r="J40" s="347"/>
      <c r="K40" s="348">
        <f t="shared" ref="K40:K47" si="3">(H40+I40)-J40</f>
        <v>313339</v>
      </c>
    </row>
    <row r="41" spans="1:11" ht="18" customHeight="1">
      <c r="A41" s="45" t="s">
        <v>278</v>
      </c>
      <c r="B41" s="818" t="s">
        <v>172</v>
      </c>
      <c r="C41" s="818"/>
      <c r="F41" s="57">
        <v>1407</v>
      </c>
      <c r="G41" s="57">
        <v>518</v>
      </c>
      <c r="H41" s="347">
        <v>39302</v>
      </c>
      <c r="I41" s="167">
        <v>0</v>
      </c>
      <c r="J41" s="347"/>
      <c r="K41" s="348">
        <f t="shared" si="3"/>
        <v>39302</v>
      </c>
    </row>
    <row r="42" spans="1:11" ht="18" customHeight="1">
      <c r="A42" s="45" t="s">
        <v>279</v>
      </c>
      <c r="B42" s="49" t="s">
        <v>174</v>
      </c>
      <c r="F42" s="57">
        <v>6659</v>
      </c>
      <c r="G42" s="57">
        <v>1076</v>
      </c>
      <c r="H42" s="347">
        <v>191659</v>
      </c>
      <c r="I42" s="167">
        <v>0</v>
      </c>
      <c r="J42" s="347"/>
      <c r="K42" s="348">
        <f t="shared" si="3"/>
        <v>191659</v>
      </c>
    </row>
    <row r="43" spans="1:11" ht="18" customHeight="1">
      <c r="A43" s="45" t="s">
        <v>280</v>
      </c>
      <c r="B43" s="49" t="s">
        <v>176</v>
      </c>
      <c r="F43" s="57">
        <v>127</v>
      </c>
      <c r="G43" s="57">
        <v>3900</v>
      </c>
      <c r="H43" s="347">
        <v>8919</v>
      </c>
      <c r="I43" s="167">
        <v>0</v>
      </c>
      <c r="J43" s="347"/>
      <c r="K43" s="348">
        <f t="shared" si="3"/>
        <v>8919</v>
      </c>
    </row>
    <row r="44" spans="1:11" ht="18" customHeight="1">
      <c r="A44" s="45" t="s">
        <v>281</v>
      </c>
      <c r="B44" s="814"/>
      <c r="C44" s="815"/>
      <c r="D44" s="816"/>
      <c r="F44" s="57"/>
      <c r="G44" s="57"/>
      <c r="H44" s="57"/>
      <c r="I44" s="167">
        <v>0</v>
      </c>
      <c r="J44" s="57"/>
      <c r="K44" s="354">
        <f t="shared" si="3"/>
        <v>0</v>
      </c>
    </row>
    <row r="45" spans="1:11" ht="18" customHeight="1">
      <c r="A45" s="45" t="s">
        <v>283</v>
      </c>
      <c r="B45" s="814"/>
      <c r="C45" s="815"/>
      <c r="D45" s="816"/>
      <c r="F45" s="57"/>
      <c r="G45" s="57"/>
      <c r="H45" s="347"/>
      <c r="I45" s="167">
        <v>0</v>
      </c>
      <c r="J45" s="347"/>
      <c r="K45" s="348">
        <f t="shared" si="3"/>
        <v>0</v>
      </c>
    </row>
    <row r="46" spans="1:11" ht="18" customHeight="1">
      <c r="A46" s="45" t="s">
        <v>284</v>
      </c>
      <c r="B46" s="814"/>
      <c r="C46" s="815"/>
      <c r="D46" s="816"/>
      <c r="F46" s="57"/>
      <c r="G46" s="57"/>
      <c r="H46" s="347"/>
      <c r="I46" s="167">
        <v>0</v>
      </c>
      <c r="J46" s="347"/>
      <c r="K46" s="348">
        <f t="shared" si="3"/>
        <v>0</v>
      </c>
    </row>
    <row r="47" spans="1:11" ht="18" customHeight="1">
      <c r="A47" s="45" t="s">
        <v>285</v>
      </c>
      <c r="B47" s="814"/>
      <c r="C47" s="815"/>
      <c r="D47" s="816"/>
      <c r="F47" s="57"/>
      <c r="G47" s="57"/>
      <c r="H47" s="347"/>
      <c r="I47" s="167">
        <v>0</v>
      </c>
      <c r="J47" s="347"/>
      <c r="K47" s="348">
        <f t="shared" si="3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355">
        <f t="shared" ref="F49:K49" si="4">SUM(F40:F47)</f>
        <v>10912</v>
      </c>
      <c r="G49" s="355">
        <f t="shared" si="4"/>
        <v>5781</v>
      </c>
      <c r="H49" s="348">
        <f t="shared" si="4"/>
        <v>553219</v>
      </c>
      <c r="I49" s="348">
        <f t="shared" si="4"/>
        <v>0</v>
      </c>
      <c r="J49" s="348">
        <f t="shared" si="4"/>
        <v>0</v>
      </c>
      <c r="K49" s="348">
        <f t="shared" si="4"/>
        <v>553219</v>
      </c>
    </row>
    <row r="50" spans="1:11" ht="18" customHeight="1" thickBot="1">
      <c r="G50" s="356"/>
      <c r="H50" s="356"/>
      <c r="I50" s="356"/>
      <c r="J50" s="356"/>
      <c r="K50" s="356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66"/>
    </row>
    <row r="53" spans="1:11" ht="18" customHeight="1">
      <c r="A53" s="45" t="s">
        <v>287</v>
      </c>
      <c r="B53" s="822" t="s">
        <v>785</v>
      </c>
      <c r="C53" s="867"/>
      <c r="D53" s="865"/>
      <c r="F53" s="57"/>
      <c r="G53" s="57"/>
      <c r="H53" s="347">
        <v>409744</v>
      </c>
      <c r="I53" s="167">
        <v>0</v>
      </c>
      <c r="J53" s="347">
        <v>269400</v>
      </c>
      <c r="K53" s="348">
        <f t="shared" ref="K53:K62" si="5">(H53+I53)-J53</f>
        <v>140344</v>
      </c>
    </row>
    <row r="54" spans="1:11" ht="18" customHeight="1">
      <c r="A54" s="45" t="s">
        <v>289</v>
      </c>
      <c r="B54" s="164" t="s">
        <v>786</v>
      </c>
      <c r="C54" s="262"/>
      <c r="D54" s="263"/>
      <c r="F54" s="57">
        <v>99</v>
      </c>
      <c r="G54" s="57">
        <v>960</v>
      </c>
      <c r="H54" s="347">
        <v>4768</v>
      </c>
      <c r="I54" s="167">
        <v>0</v>
      </c>
      <c r="J54" s="347"/>
      <c r="K54" s="348">
        <f t="shared" si="5"/>
        <v>4768</v>
      </c>
    </row>
    <row r="55" spans="1:11" ht="18" customHeight="1">
      <c r="A55" s="45" t="s">
        <v>291</v>
      </c>
      <c r="B55" s="817" t="s">
        <v>787</v>
      </c>
      <c r="C55" s="864"/>
      <c r="D55" s="865"/>
      <c r="F55" s="57"/>
      <c r="G55" s="57"/>
      <c r="H55" s="347">
        <v>146399</v>
      </c>
      <c r="I55" s="167">
        <v>0</v>
      </c>
      <c r="J55" s="347">
        <v>69525</v>
      </c>
      <c r="K55" s="348">
        <f t="shared" si="5"/>
        <v>76874</v>
      </c>
    </row>
    <row r="56" spans="1:11" ht="18" customHeight="1">
      <c r="A56" s="45" t="s">
        <v>293</v>
      </c>
      <c r="B56" s="817" t="s">
        <v>440</v>
      </c>
      <c r="C56" s="864"/>
      <c r="D56" s="865"/>
      <c r="F56" s="57"/>
      <c r="G56" s="57"/>
      <c r="H56" s="347">
        <v>94874</v>
      </c>
      <c r="I56" s="167">
        <v>0</v>
      </c>
      <c r="J56" s="347"/>
      <c r="K56" s="348">
        <f t="shared" si="5"/>
        <v>94874</v>
      </c>
    </row>
    <row r="57" spans="1:11" ht="18" customHeight="1">
      <c r="A57" s="45" t="s">
        <v>295</v>
      </c>
      <c r="B57" s="817" t="s">
        <v>788</v>
      </c>
      <c r="C57" s="864"/>
      <c r="D57" s="865"/>
      <c r="F57" s="57"/>
      <c r="G57" s="57"/>
      <c r="H57" s="347">
        <v>12049691</v>
      </c>
      <c r="I57" s="167">
        <v>0</v>
      </c>
      <c r="J57" s="347">
        <v>7898332</v>
      </c>
      <c r="K57" s="348">
        <f t="shared" si="5"/>
        <v>4151359</v>
      </c>
    </row>
    <row r="58" spans="1:11" ht="18" customHeight="1">
      <c r="A58" s="45" t="s">
        <v>298</v>
      </c>
      <c r="B58" s="164" t="s">
        <v>789</v>
      </c>
      <c r="C58" s="262"/>
      <c r="D58" s="263"/>
      <c r="F58" s="57"/>
      <c r="G58" s="57"/>
      <c r="H58" s="347">
        <v>38902</v>
      </c>
      <c r="I58" s="167">
        <v>0</v>
      </c>
      <c r="J58" s="347">
        <v>9830</v>
      </c>
      <c r="K58" s="348">
        <f t="shared" si="5"/>
        <v>29072</v>
      </c>
    </row>
    <row r="59" spans="1:11" ht="18" customHeight="1">
      <c r="A59" s="45" t="s">
        <v>300</v>
      </c>
      <c r="B59" s="817"/>
      <c r="C59" s="864"/>
      <c r="D59" s="865"/>
      <c r="F59" s="57"/>
      <c r="G59" s="57"/>
      <c r="H59" s="347"/>
      <c r="I59" s="167">
        <v>0</v>
      </c>
      <c r="J59" s="347"/>
      <c r="K59" s="348">
        <f t="shared" si="5"/>
        <v>0</v>
      </c>
    </row>
    <row r="60" spans="1:11" ht="18" customHeight="1">
      <c r="A60" s="45" t="s">
        <v>302</v>
      </c>
      <c r="B60" s="164"/>
      <c r="C60" s="262"/>
      <c r="D60" s="263"/>
      <c r="F60" s="57"/>
      <c r="G60" s="57"/>
      <c r="H60" s="347"/>
      <c r="I60" s="167">
        <v>0</v>
      </c>
      <c r="J60" s="347"/>
      <c r="K60" s="348">
        <f t="shared" si="5"/>
        <v>0</v>
      </c>
    </row>
    <row r="61" spans="1:11" ht="18" customHeight="1">
      <c r="A61" s="45" t="s">
        <v>303</v>
      </c>
      <c r="B61" s="164"/>
      <c r="C61" s="262"/>
      <c r="D61" s="263"/>
      <c r="F61" s="57"/>
      <c r="G61" s="57"/>
      <c r="H61" s="347"/>
      <c r="I61" s="167">
        <v>0</v>
      </c>
      <c r="J61" s="347"/>
      <c r="K61" s="348">
        <f t="shared" si="5"/>
        <v>0</v>
      </c>
    </row>
    <row r="62" spans="1:11" ht="18" customHeight="1">
      <c r="A62" s="45" t="s">
        <v>304</v>
      </c>
      <c r="B62" s="817"/>
      <c r="C62" s="864"/>
      <c r="D62" s="865"/>
      <c r="F62" s="57"/>
      <c r="G62" s="57"/>
      <c r="H62" s="347"/>
      <c r="I62" s="167">
        <v>0</v>
      </c>
      <c r="J62" s="347"/>
      <c r="K62" s="348">
        <f t="shared" si="5"/>
        <v>0</v>
      </c>
    </row>
    <row r="63" spans="1:11" ht="18" customHeight="1">
      <c r="A63" s="45"/>
      <c r="I63" s="357"/>
    </row>
    <row r="64" spans="1:11" ht="18" customHeight="1">
      <c r="A64" s="45" t="s">
        <v>305</v>
      </c>
      <c r="B64" s="43" t="s">
        <v>184</v>
      </c>
      <c r="E64" s="43" t="s">
        <v>276</v>
      </c>
      <c r="F64" s="350">
        <f t="shared" ref="F64:K64" si="6">SUM(F53:F62)</f>
        <v>99</v>
      </c>
      <c r="G64" s="350">
        <f t="shared" si="6"/>
        <v>960</v>
      </c>
      <c r="H64" s="348">
        <f t="shared" si="6"/>
        <v>12744378</v>
      </c>
      <c r="I64" s="348">
        <f t="shared" si="6"/>
        <v>0</v>
      </c>
      <c r="J64" s="348">
        <f t="shared" si="6"/>
        <v>8247087</v>
      </c>
      <c r="K64" s="348">
        <f t="shared" si="6"/>
        <v>4497291</v>
      </c>
    </row>
    <row r="65" spans="1:11" ht="18" customHeight="1">
      <c r="F65" s="358"/>
      <c r="G65" s="358"/>
      <c r="H65" s="358"/>
      <c r="I65" s="358"/>
      <c r="J65" s="358"/>
      <c r="K65" s="358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359"/>
      <c r="G67" s="359"/>
      <c r="H67" s="359"/>
      <c r="I67" s="360"/>
      <c r="J67" s="359"/>
      <c r="K67" s="361"/>
    </row>
    <row r="68" spans="1:11" ht="18" customHeight="1">
      <c r="A68" s="45" t="s">
        <v>306</v>
      </c>
      <c r="B68" s="49" t="s">
        <v>188</v>
      </c>
      <c r="F68" s="362"/>
      <c r="G68" s="362"/>
      <c r="H68" s="362"/>
      <c r="I68" s="167">
        <v>0</v>
      </c>
      <c r="J68" s="362"/>
      <c r="K68" s="348">
        <f>(H68+I68)-J68</f>
        <v>0</v>
      </c>
    </row>
    <row r="69" spans="1:11" ht="18" customHeight="1">
      <c r="A69" s="45" t="s">
        <v>307</v>
      </c>
      <c r="B69" s="49" t="s">
        <v>190</v>
      </c>
      <c r="F69" s="362">
        <v>15</v>
      </c>
      <c r="G69" s="362">
        <v>30</v>
      </c>
      <c r="H69" s="362">
        <v>499</v>
      </c>
      <c r="I69" s="167">
        <v>0</v>
      </c>
      <c r="J69" s="362"/>
      <c r="K69" s="348">
        <f>(H69+I69)-J69</f>
        <v>499</v>
      </c>
    </row>
    <row r="70" spans="1:11" ht="18" customHeight="1">
      <c r="A70" s="45" t="s">
        <v>308</v>
      </c>
      <c r="B70" s="164"/>
      <c r="C70" s="262"/>
      <c r="D70" s="263"/>
      <c r="E70" s="43"/>
      <c r="F70" s="364"/>
      <c r="G70" s="364"/>
      <c r="H70" s="363"/>
      <c r="I70" s="167">
        <v>0</v>
      </c>
      <c r="J70" s="363"/>
      <c r="K70" s="348">
        <f>(H70+I70)-J70</f>
        <v>0</v>
      </c>
    </row>
    <row r="71" spans="1:11" ht="18" customHeight="1">
      <c r="A71" s="45" t="s">
        <v>309</v>
      </c>
      <c r="B71" s="164"/>
      <c r="C71" s="262"/>
      <c r="D71" s="263"/>
      <c r="E71" s="43"/>
      <c r="F71" s="364"/>
      <c r="G71" s="364"/>
      <c r="H71" s="363"/>
      <c r="I71" s="167">
        <v>0</v>
      </c>
      <c r="J71" s="363"/>
      <c r="K71" s="348">
        <f>(H71+I71)-J71</f>
        <v>0</v>
      </c>
    </row>
    <row r="72" spans="1:11" ht="18" customHeight="1">
      <c r="A72" s="45" t="s">
        <v>310</v>
      </c>
      <c r="B72" s="163"/>
      <c r="C72" s="264"/>
      <c r="D72" s="365"/>
      <c r="E72" s="43"/>
      <c r="F72" s="57"/>
      <c r="G72" s="57"/>
      <c r="H72" s="347"/>
      <c r="I72" s="167">
        <v>0</v>
      </c>
      <c r="J72" s="347"/>
      <c r="K72" s="348">
        <f>(H72+I72)-J72</f>
        <v>0</v>
      </c>
    </row>
    <row r="73" spans="1:11" ht="18" customHeight="1">
      <c r="A73" s="45"/>
      <c r="E73" s="43"/>
      <c r="F73" s="366"/>
      <c r="G73" s="366"/>
      <c r="H73" s="367"/>
      <c r="I73" s="360"/>
      <c r="J73" s="367"/>
      <c r="K73" s="361"/>
    </row>
    <row r="74" spans="1:11" ht="18" customHeight="1">
      <c r="A74" s="48" t="s">
        <v>311</v>
      </c>
      <c r="B74" s="43" t="s">
        <v>191</v>
      </c>
      <c r="E74" s="43" t="s">
        <v>276</v>
      </c>
      <c r="F74" s="368">
        <f t="shared" ref="F74:K74" si="7">SUM(F68:F72)</f>
        <v>15</v>
      </c>
      <c r="G74" s="368">
        <f t="shared" si="7"/>
        <v>30</v>
      </c>
      <c r="H74" s="368">
        <f t="shared" si="7"/>
        <v>499</v>
      </c>
      <c r="I74" s="370">
        <f t="shared" si="7"/>
        <v>0</v>
      </c>
      <c r="J74" s="368">
        <f t="shared" si="7"/>
        <v>0</v>
      </c>
      <c r="K74" s="354">
        <f t="shared" si="7"/>
        <v>499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7"/>
      <c r="G77" s="57"/>
      <c r="H77" s="347"/>
      <c r="I77" s="167">
        <v>0</v>
      </c>
      <c r="J77" s="347"/>
      <c r="K77" s="348">
        <f>(H77+I77)-J77</f>
        <v>0</v>
      </c>
    </row>
    <row r="78" spans="1:11" ht="18" customHeight="1">
      <c r="A78" s="45" t="s">
        <v>313</v>
      </c>
      <c r="B78" s="49" t="s">
        <v>197</v>
      </c>
      <c r="F78" s="395">
        <v>50</v>
      </c>
      <c r="G78" s="57">
        <v>327</v>
      </c>
      <c r="H78" s="347">
        <v>2568</v>
      </c>
      <c r="I78" s="167">
        <v>0</v>
      </c>
      <c r="J78" s="347"/>
      <c r="K78" s="348">
        <f>(H78+I78)-J78</f>
        <v>2568</v>
      </c>
    </row>
    <row r="79" spans="1:11" ht="18" customHeight="1">
      <c r="A79" s="45" t="s">
        <v>314</v>
      </c>
      <c r="B79" s="49" t="s">
        <v>199</v>
      </c>
      <c r="F79" s="57">
        <v>8197</v>
      </c>
      <c r="G79" s="57">
        <v>8221</v>
      </c>
      <c r="H79" s="347">
        <v>174410</v>
      </c>
      <c r="I79" s="167">
        <v>0</v>
      </c>
      <c r="J79" s="347"/>
      <c r="K79" s="348">
        <f>(H79+I79)-J79</f>
        <v>174410</v>
      </c>
    </row>
    <row r="80" spans="1:11" ht="18" customHeight="1">
      <c r="A80" s="45" t="s">
        <v>315</v>
      </c>
      <c r="B80" s="49" t="s">
        <v>316</v>
      </c>
      <c r="F80" s="57">
        <v>5</v>
      </c>
      <c r="G80" s="57">
        <v>365</v>
      </c>
      <c r="H80" s="347">
        <v>125</v>
      </c>
      <c r="I80" s="167">
        <v>0</v>
      </c>
      <c r="J80" s="347"/>
      <c r="K80" s="348">
        <f>(H80+I80)-J80</f>
        <v>125</v>
      </c>
    </row>
    <row r="81" spans="1:11" ht="18" customHeight="1">
      <c r="A81" s="45"/>
      <c r="K81" s="371"/>
    </row>
    <row r="82" spans="1:11" ht="18" customHeight="1">
      <c r="A82" s="45" t="s">
        <v>317</v>
      </c>
      <c r="B82" s="43" t="s">
        <v>318</v>
      </c>
      <c r="E82" s="43" t="s">
        <v>276</v>
      </c>
      <c r="F82" s="368">
        <f t="shared" ref="F82:K82" si="8">SUM(F77:F80)</f>
        <v>8252</v>
      </c>
      <c r="G82" s="368">
        <f t="shared" si="8"/>
        <v>8913</v>
      </c>
      <c r="H82" s="354">
        <f t="shared" si="8"/>
        <v>177103</v>
      </c>
      <c r="I82" s="354">
        <f t="shared" si="8"/>
        <v>0</v>
      </c>
      <c r="J82" s="354">
        <f t="shared" si="8"/>
        <v>0</v>
      </c>
      <c r="K82" s="354">
        <f t="shared" si="8"/>
        <v>177103</v>
      </c>
    </row>
    <row r="83" spans="1:11" ht="18" customHeight="1" thickBot="1">
      <c r="A83" s="45"/>
      <c r="F83" s="356"/>
      <c r="G83" s="356"/>
      <c r="H83" s="356"/>
      <c r="I83" s="356"/>
      <c r="J83" s="356"/>
      <c r="K83" s="356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7">
        <v>3</v>
      </c>
      <c r="G86" s="57">
        <v>20</v>
      </c>
      <c r="H86" s="347">
        <v>255</v>
      </c>
      <c r="I86" s="167">
        <f t="shared" ref="I86:I96" si="9">H86*F$114</f>
        <v>165.74744999999999</v>
      </c>
      <c r="J86" s="347"/>
      <c r="K86" s="348">
        <f t="shared" ref="K86:K96" si="10">(H86+I86)-J86</f>
        <v>420.74744999999996</v>
      </c>
    </row>
    <row r="87" spans="1:11" ht="18" customHeight="1">
      <c r="A87" s="45" t="s">
        <v>320</v>
      </c>
      <c r="B87" s="49" t="s">
        <v>206</v>
      </c>
      <c r="F87" s="57">
        <v>132</v>
      </c>
      <c r="G87" s="57">
        <v>397</v>
      </c>
      <c r="H87" s="347">
        <v>8946</v>
      </c>
      <c r="I87" s="167">
        <f t="shared" si="9"/>
        <v>5814.8105399999995</v>
      </c>
      <c r="J87" s="347"/>
      <c r="K87" s="348">
        <f t="shared" si="10"/>
        <v>14760.810539999999</v>
      </c>
    </row>
    <row r="88" spans="1:11" ht="18" customHeight="1">
      <c r="A88" s="45" t="s">
        <v>321</v>
      </c>
      <c r="B88" s="49" t="s">
        <v>208</v>
      </c>
      <c r="F88" s="57">
        <v>800</v>
      </c>
      <c r="G88" s="57">
        <v>1983</v>
      </c>
      <c r="H88" s="347">
        <v>32847</v>
      </c>
      <c r="I88" s="167">
        <f t="shared" si="9"/>
        <v>21350.221529999999</v>
      </c>
      <c r="J88" s="347"/>
      <c r="K88" s="348">
        <f t="shared" si="10"/>
        <v>54197.221529999995</v>
      </c>
    </row>
    <row r="89" spans="1:11" ht="18" customHeight="1">
      <c r="A89" s="45" t="s">
        <v>322</v>
      </c>
      <c r="B89" s="49" t="s">
        <v>210</v>
      </c>
      <c r="F89" s="57">
        <v>938</v>
      </c>
      <c r="G89" s="57">
        <v>27</v>
      </c>
      <c r="H89" s="347">
        <v>18473</v>
      </c>
      <c r="I89" s="167">
        <f t="shared" si="9"/>
        <v>12007.26527</v>
      </c>
      <c r="J89" s="347"/>
      <c r="K89" s="348">
        <f t="shared" si="10"/>
        <v>30480.26527</v>
      </c>
    </row>
    <row r="90" spans="1:11" ht="18" customHeight="1">
      <c r="A90" s="45" t="s">
        <v>323</v>
      </c>
      <c r="B90" s="818" t="s">
        <v>212</v>
      </c>
      <c r="C90" s="818"/>
      <c r="F90" s="57"/>
      <c r="G90" s="57"/>
      <c r="H90" s="347"/>
      <c r="I90" s="167">
        <f t="shared" si="9"/>
        <v>0</v>
      </c>
      <c r="J90" s="347"/>
      <c r="K90" s="348">
        <f t="shared" si="10"/>
        <v>0</v>
      </c>
    </row>
    <row r="91" spans="1:11" ht="18" customHeight="1">
      <c r="A91" s="45" t="s">
        <v>324</v>
      </c>
      <c r="B91" s="49" t="s">
        <v>214</v>
      </c>
      <c r="F91" s="57">
        <v>780</v>
      </c>
      <c r="G91" s="57">
        <v>7875</v>
      </c>
      <c r="H91" s="347">
        <v>41131</v>
      </c>
      <c r="I91" s="167">
        <f t="shared" si="9"/>
        <v>26734.738689999998</v>
      </c>
      <c r="J91" s="347">
        <v>17</v>
      </c>
      <c r="K91" s="348">
        <f t="shared" si="10"/>
        <v>67848.738689999998</v>
      </c>
    </row>
    <row r="92" spans="1:11" ht="18" customHeight="1">
      <c r="A92" s="45" t="s">
        <v>325</v>
      </c>
      <c r="B92" s="49" t="s">
        <v>216</v>
      </c>
      <c r="F92" s="372">
        <v>351</v>
      </c>
      <c r="G92" s="372">
        <v>1696</v>
      </c>
      <c r="H92" s="373">
        <v>16085</v>
      </c>
      <c r="I92" s="167">
        <f t="shared" si="9"/>
        <v>10455.08915</v>
      </c>
      <c r="J92" s="373">
        <v>300</v>
      </c>
      <c r="K92" s="348">
        <f t="shared" si="10"/>
        <v>26240.08915</v>
      </c>
    </row>
    <row r="93" spans="1:11" ht="18" customHeight="1">
      <c r="A93" s="45" t="s">
        <v>326</v>
      </c>
      <c r="B93" s="49" t="s">
        <v>218</v>
      </c>
      <c r="F93" s="57">
        <v>51.5</v>
      </c>
      <c r="G93" s="57">
        <v>69</v>
      </c>
      <c r="H93" s="347">
        <v>3403</v>
      </c>
      <c r="I93" s="167">
        <f t="shared" si="9"/>
        <v>2211.91597</v>
      </c>
      <c r="J93" s="347"/>
      <c r="K93" s="348">
        <f t="shared" si="10"/>
        <v>5614.91597</v>
      </c>
    </row>
    <row r="94" spans="1:11" ht="18" customHeight="1">
      <c r="A94" s="45" t="s">
        <v>327</v>
      </c>
      <c r="B94" s="817"/>
      <c r="C94" s="864"/>
      <c r="D94" s="865"/>
      <c r="F94" s="57"/>
      <c r="G94" s="57"/>
      <c r="H94" s="347"/>
      <c r="I94" s="167">
        <f t="shared" si="9"/>
        <v>0</v>
      </c>
      <c r="J94" s="347"/>
      <c r="K94" s="348">
        <f t="shared" si="10"/>
        <v>0</v>
      </c>
    </row>
    <row r="95" spans="1:11" ht="18" customHeight="1">
      <c r="A95" s="45" t="s">
        <v>329</v>
      </c>
      <c r="B95" s="817"/>
      <c r="C95" s="864"/>
      <c r="D95" s="865"/>
      <c r="F95" s="57"/>
      <c r="G95" s="57"/>
      <c r="H95" s="347"/>
      <c r="I95" s="167">
        <f t="shared" si="9"/>
        <v>0</v>
      </c>
      <c r="J95" s="347"/>
      <c r="K95" s="348">
        <f t="shared" si="10"/>
        <v>0</v>
      </c>
    </row>
    <row r="96" spans="1:11" ht="18" customHeight="1">
      <c r="A96" s="45" t="s">
        <v>330</v>
      </c>
      <c r="B96" s="817"/>
      <c r="C96" s="864"/>
      <c r="D96" s="865"/>
      <c r="F96" s="57"/>
      <c r="G96" s="57"/>
      <c r="H96" s="347"/>
      <c r="I96" s="167">
        <f t="shared" si="9"/>
        <v>0</v>
      </c>
      <c r="J96" s="347"/>
      <c r="K96" s="348">
        <f t="shared" si="10"/>
        <v>0</v>
      </c>
    </row>
    <row r="97" spans="1:11" ht="18" customHeight="1">
      <c r="A97" s="45"/>
    </row>
    <row r="98" spans="1:11" ht="18" customHeight="1">
      <c r="A98" s="48" t="s">
        <v>331</v>
      </c>
      <c r="B98" s="43" t="s">
        <v>220</v>
      </c>
      <c r="E98" s="43" t="s">
        <v>276</v>
      </c>
      <c r="F98" s="350">
        <f t="shared" ref="F98:K98" si="11">SUM(F86:F96)</f>
        <v>3055.5</v>
      </c>
      <c r="G98" s="350">
        <f t="shared" si="11"/>
        <v>12067</v>
      </c>
      <c r="H98" s="350">
        <f t="shared" si="11"/>
        <v>121140</v>
      </c>
      <c r="I98" s="350">
        <f t="shared" si="11"/>
        <v>78739.7886</v>
      </c>
      <c r="J98" s="350">
        <f t="shared" si="11"/>
        <v>317</v>
      </c>
      <c r="K98" s="350">
        <f t="shared" si="11"/>
        <v>199562.7886</v>
      </c>
    </row>
    <row r="99" spans="1:11" ht="18" customHeight="1" thickBot="1">
      <c r="B99" s="43"/>
      <c r="F99" s="356"/>
      <c r="G99" s="356"/>
      <c r="H99" s="356"/>
      <c r="I99" s="356"/>
      <c r="J99" s="356"/>
      <c r="K99" s="356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7">
        <v>59.5</v>
      </c>
      <c r="G102" s="57">
        <v>356</v>
      </c>
      <c r="H102" s="347">
        <f>2120+152463+173202</f>
        <v>327785</v>
      </c>
      <c r="I102" s="167">
        <f>H102*F$114</f>
        <v>213056.97214999999</v>
      </c>
      <c r="J102" s="347"/>
      <c r="K102" s="348">
        <f>(H102+I102)-J102</f>
        <v>540841.97215000005</v>
      </c>
    </row>
    <row r="103" spans="1:11" ht="18" customHeight="1">
      <c r="A103" s="45" t="s">
        <v>333</v>
      </c>
      <c r="B103" s="818" t="s">
        <v>226</v>
      </c>
      <c r="C103" s="818"/>
      <c r="F103" s="57">
        <v>15</v>
      </c>
      <c r="G103" s="57">
        <v>15</v>
      </c>
      <c r="H103" s="347">
        <v>555</v>
      </c>
      <c r="I103" s="167">
        <f>H103*F$114</f>
        <v>360.74444999999997</v>
      </c>
      <c r="J103" s="347"/>
      <c r="K103" s="348">
        <f>(H103+I103)-J103</f>
        <v>915.74444999999992</v>
      </c>
    </row>
    <row r="104" spans="1:11" ht="18" customHeight="1">
      <c r="A104" s="45" t="s">
        <v>334</v>
      </c>
      <c r="B104" s="817" t="s">
        <v>692</v>
      </c>
      <c r="C104" s="864"/>
      <c r="D104" s="865"/>
      <c r="F104" s="57">
        <v>24</v>
      </c>
      <c r="G104" s="57">
        <v>14</v>
      </c>
      <c r="H104" s="347">
        <v>683</v>
      </c>
      <c r="I104" s="167">
        <f>H104*F$114</f>
        <v>443.94316999999995</v>
      </c>
      <c r="J104" s="347">
        <v>44</v>
      </c>
      <c r="K104" s="348">
        <f>(H104+I104)-J104</f>
        <v>1082.94317</v>
      </c>
    </row>
    <row r="105" spans="1:11" ht="18" customHeight="1">
      <c r="A105" s="45" t="s">
        <v>336</v>
      </c>
      <c r="B105" s="817"/>
      <c r="C105" s="864"/>
      <c r="D105" s="865"/>
      <c r="F105" s="57"/>
      <c r="G105" s="57"/>
      <c r="H105" s="347"/>
      <c r="I105" s="167">
        <f>H105*F$114</f>
        <v>0</v>
      </c>
      <c r="J105" s="347"/>
      <c r="K105" s="348">
        <f>(H105+I105)-J105</f>
        <v>0</v>
      </c>
    </row>
    <row r="106" spans="1:11" ht="18" customHeight="1">
      <c r="A106" s="45" t="s">
        <v>337</v>
      </c>
      <c r="B106" s="817"/>
      <c r="C106" s="864"/>
      <c r="D106" s="865"/>
      <c r="F106" s="57"/>
      <c r="G106" s="57"/>
      <c r="H106" s="347"/>
      <c r="I106" s="167">
        <f>H106*F$114</f>
        <v>0</v>
      </c>
      <c r="J106" s="347"/>
      <c r="K106" s="348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350">
        <f t="shared" ref="F108:K108" si="12">SUM(F102:F106)</f>
        <v>98.5</v>
      </c>
      <c r="G108" s="350">
        <f t="shared" si="12"/>
        <v>385</v>
      </c>
      <c r="H108" s="348">
        <f t="shared" si="12"/>
        <v>329023</v>
      </c>
      <c r="I108" s="348">
        <f t="shared" si="12"/>
        <v>213861.65977</v>
      </c>
      <c r="J108" s="348">
        <f t="shared" si="12"/>
        <v>44</v>
      </c>
      <c r="K108" s="348">
        <f t="shared" si="12"/>
        <v>542840.65977000003</v>
      </c>
    </row>
    <row r="109" spans="1:11" ht="18" customHeight="1" thickBot="1">
      <c r="A109" s="374"/>
      <c r="B109" s="92"/>
      <c r="C109" s="375"/>
      <c r="D109" s="375"/>
      <c r="E109" s="375"/>
      <c r="F109" s="356"/>
      <c r="G109" s="356"/>
      <c r="H109" s="356"/>
      <c r="I109" s="356"/>
      <c r="J109" s="356"/>
      <c r="K109" s="356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347">
        <v>3700771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376">
        <v>0.64998999999999996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347">
        <v>92207315</v>
      </c>
    </row>
    <row r="118" spans="1:6">
      <c r="A118" s="45" t="s">
        <v>343</v>
      </c>
      <c r="B118" s="49" t="s">
        <v>237</v>
      </c>
      <c r="F118" s="347">
        <v>3000518</v>
      </c>
    </row>
    <row r="119" spans="1:6">
      <c r="A119" s="45" t="s">
        <v>344</v>
      </c>
      <c r="B119" s="43" t="s">
        <v>238</v>
      </c>
      <c r="F119" s="354">
        <f>SUM(F117:F118)</f>
        <v>95207833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347">
        <v>94139531</v>
      </c>
    </row>
    <row r="122" spans="1:6">
      <c r="A122" s="45"/>
    </row>
    <row r="123" spans="1:6">
      <c r="A123" s="45" t="s">
        <v>347</v>
      </c>
      <c r="B123" s="43" t="s">
        <v>348</v>
      </c>
      <c r="F123" s="347">
        <v>1068302</v>
      </c>
    </row>
    <row r="124" spans="1:6">
      <c r="A124" s="45"/>
    </row>
    <row r="125" spans="1:6">
      <c r="A125" s="45" t="s">
        <v>349</v>
      </c>
      <c r="B125" s="43" t="s">
        <v>350</v>
      </c>
      <c r="F125" s="347">
        <v>1657710</v>
      </c>
    </row>
    <row r="126" spans="1:6">
      <c r="A126" s="45"/>
    </row>
    <row r="127" spans="1:6">
      <c r="A127" s="45" t="s">
        <v>351</v>
      </c>
      <c r="B127" s="43" t="s">
        <v>352</v>
      </c>
      <c r="F127" s="396">
        <v>2726012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9" t="s">
        <v>242</v>
      </c>
      <c r="F131" s="57"/>
      <c r="G131" s="57"/>
      <c r="H131" s="347"/>
      <c r="I131" s="167">
        <v>0</v>
      </c>
      <c r="J131" s="347"/>
      <c r="K131" s="348">
        <f>(H131+I131)-J131</f>
        <v>0</v>
      </c>
    </row>
    <row r="132" spans="1:11" ht="18" customHeight="1">
      <c r="A132" s="45" t="s">
        <v>354</v>
      </c>
      <c r="B132" s="49" t="s">
        <v>128</v>
      </c>
      <c r="F132" s="57"/>
      <c r="G132" s="57"/>
      <c r="H132" s="347"/>
      <c r="I132" s="167">
        <v>0</v>
      </c>
      <c r="J132" s="347"/>
      <c r="K132" s="348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7"/>
      <c r="G133" s="57"/>
      <c r="H133" s="347"/>
      <c r="I133" s="167">
        <v>0</v>
      </c>
      <c r="J133" s="347"/>
      <c r="K133" s="348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7"/>
      <c r="G134" s="57"/>
      <c r="H134" s="347"/>
      <c r="I134" s="167">
        <v>0</v>
      </c>
      <c r="J134" s="347"/>
      <c r="K134" s="348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7"/>
      <c r="G135" s="57"/>
      <c r="H135" s="347"/>
      <c r="I135" s="167">
        <v>0</v>
      </c>
      <c r="J135" s="347"/>
      <c r="K135" s="348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350">
        <f t="shared" ref="F137:K137" si="13">SUM(F131:F135)</f>
        <v>0</v>
      </c>
      <c r="G137" s="350">
        <f t="shared" si="13"/>
        <v>0</v>
      </c>
      <c r="H137" s="348">
        <f t="shared" si="13"/>
        <v>0</v>
      </c>
      <c r="I137" s="348">
        <f t="shared" si="13"/>
        <v>0</v>
      </c>
      <c r="J137" s="348">
        <f t="shared" si="13"/>
        <v>0</v>
      </c>
      <c r="K137" s="348">
        <f t="shared" si="13"/>
        <v>0</v>
      </c>
    </row>
    <row r="138" spans="1:11" ht="18" customHeight="1">
      <c r="A138" s="49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377">
        <f t="shared" ref="F141:K141" si="14">F36</f>
        <v>9721</v>
      </c>
      <c r="G141" s="377">
        <f t="shared" si="14"/>
        <v>40677</v>
      </c>
      <c r="H141" s="377">
        <f t="shared" si="14"/>
        <v>538939</v>
      </c>
      <c r="I141" s="377">
        <f t="shared" si="14"/>
        <v>350304.96060999995</v>
      </c>
      <c r="J141" s="377">
        <f t="shared" si="14"/>
        <v>3175</v>
      </c>
      <c r="K141" s="377">
        <f t="shared" si="14"/>
        <v>886068.96060999995</v>
      </c>
    </row>
    <row r="142" spans="1:11" ht="18" customHeight="1">
      <c r="A142" s="45" t="s">
        <v>286</v>
      </c>
      <c r="B142" s="43" t="s">
        <v>125</v>
      </c>
      <c r="F142" s="377">
        <f t="shared" ref="F142:K142" si="15">F49</f>
        <v>10912</v>
      </c>
      <c r="G142" s="377">
        <f t="shared" si="15"/>
        <v>5781</v>
      </c>
      <c r="H142" s="377">
        <f t="shared" si="15"/>
        <v>553219</v>
      </c>
      <c r="I142" s="377">
        <f t="shared" si="15"/>
        <v>0</v>
      </c>
      <c r="J142" s="377">
        <f t="shared" si="15"/>
        <v>0</v>
      </c>
      <c r="K142" s="377">
        <f t="shared" si="15"/>
        <v>553219</v>
      </c>
    </row>
    <row r="143" spans="1:11" ht="18" customHeight="1">
      <c r="A143" s="45" t="s">
        <v>305</v>
      </c>
      <c r="B143" s="43" t="s">
        <v>247</v>
      </c>
      <c r="F143" s="377">
        <f t="shared" ref="F143:K143" si="16">F64</f>
        <v>99</v>
      </c>
      <c r="G143" s="377">
        <f t="shared" si="16"/>
        <v>960</v>
      </c>
      <c r="H143" s="377">
        <f t="shared" si="16"/>
        <v>12744378</v>
      </c>
      <c r="I143" s="377">
        <f t="shared" si="16"/>
        <v>0</v>
      </c>
      <c r="J143" s="377">
        <f t="shared" si="16"/>
        <v>8247087</v>
      </c>
      <c r="K143" s="377">
        <f t="shared" si="16"/>
        <v>4497291</v>
      </c>
    </row>
    <row r="144" spans="1:11" ht="18" customHeight="1">
      <c r="A144" s="45" t="s">
        <v>311</v>
      </c>
      <c r="B144" s="43" t="s">
        <v>127</v>
      </c>
      <c r="F144" s="377">
        <f t="shared" ref="F144:K144" si="17">F74</f>
        <v>15</v>
      </c>
      <c r="G144" s="377">
        <f t="shared" si="17"/>
        <v>30</v>
      </c>
      <c r="H144" s="377">
        <f t="shared" si="17"/>
        <v>499</v>
      </c>
      <c r="I144" s="377">
        <f t="shared" si="17"/>
        <v>0</v>
      </c>
      <c r="J144" s="377">
        <f t="shared" si="17"/>
        <v>0</v>
      </c>
      <c r="K144" s="377">
        <f t="shared" si="17"/>
        <v>499</v>
      </c>
    </row>
    <row r="145" spans="1:11" ht="18" customHeight="1">
      <c r="A145" s="45" t="s">
        <v>317</v>
      </c>
      <c r="B145" s="43" t="s">
        <v>248</v>
      </c>
      <c r="F145" s="377">
        <f t="shared" ref="F145:K145" si="18">F82</f>
        <v>8252</v>
      </c>
      <c r="G145" s="377">
        <f t="shared" si="18"/>
        <v>8913</v>
      </c>
      <c r="H145" s="377">
        <f t="shared" si="18"/>
        <v>177103</v>
      </c>
      <c r="I145" s="377">
        <f t="shared" si="18"/>
        <v>0</v>
      </c>
      <c r="J145" s="377">
        <f t="shared" si="18"/>
        <v>0</v>
      </c>
      <c r="K145" s="377">
        <f t="shared" si="18"/>
        <v>177103</v>
      </c>
    </row>
    <row r="146" spans="1:11" ht="18" customHeight="1">
      <c r="A146" s="45" t="s">
        <v>331</v>
      </c>
      <c r="B146" s="43" t="s">
        <v>249</v>
      </c>
      <c r="F146" s="377">
        <f t="shared" ref="F146:K146" si="19">F98</f>
        <v>3055.5</v>
      </c>
      <c r="G146" s="377">
        <f t="shared" si="19"/>
        <v>12067</v>
      </c>
      <c r="H146" s="377">
        <f t="shared" si="19"/>
        <v>121140</v>
      </c>
      <c r="I146" s="377">
        <f t="shared" si="19"/>
        <v>78739.7886</v>
      </c>
      <c r="J146" s="377">
        <f t="shared" si="19"/>
        <v>317</v>
      </c>
      <c r="K146" s="377">
        <f t="shared" si="19"/>
        <v>199562.7886</v>
      </c>
    </row>
    <row r="147" spans="1:11" ht="18" customHeight="1">
      <c r="A147" s="45" t="s">
        <v>338</v>
      </c>
      <c r="B147" s="43" t="s">
        <v>129</v>
      </c>
      <c r="F147" s="350">
        <f t="shared" ref="F147:K147" si="20">F108</f>
        <v>98.5</v>
      </c>
      <c r="G147" s="350">
        <f t="shared" si="20"/>
        <v>385</v>
      </c>
      <c r="H147" s="350">
        <f t="shared" si="20"/>
        <v>329023</v>
      </c>
      <c r="I147" s="350">
        <f t="shared" si="20"/>
        <v>213861.65977</v>
      </c>
      <c r="J147" s="350">
        <f t="shared" si="20"/>
        <v>44</v>
      </c>
      <c r="K147" s="350">
        <f t="shared" si="20"/>
        <v>542840.65977000003</v>
      </c>
    </row>
    <row r="148" spans="1:11" ht="18" customHeight="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3700771</v>
      </c>
    </row>
    <row r="149" spans="1:11" ht="18" customHeight="1">
      <c r="A149" s="45" t="s">
        <v>358</v>
      </c>
      <c r="B149" s="43" t="s">
        <v>250</v>
      </c>
      <c r="F149" s="350">
        <f t="shared" ref="F149:K149" si="21">F137</f>
        <v>0</v>
      </c>
      <c r="G149" s="350">
        <f t="shared" si="21"/>
        <v>0</v>
      </c>
      <c r="H149" s="350">
        <f t="shared" si="21"/>
        <v>0</v>
      </c>
      <c r="I149" s="350">
        <f t="shared" si="21"/>
        <v>0</v>
      </c>
      <c r="J149" s="350">
        <f t="shared" si="21"/>
        <v>0</v>
      </c>
      <c r="K149" s="350">
        <f t="shared" si="21"/>
        <v>0</v>
      </c>
    </row>
    <row r="150" spans="1:11" ht="18" customHeight="1">
      <c r="A150" s="45" t="s">
        <v>259</v>
      </c>
      <c r="B150" s="43" t="s">
        <v>251</v>
      </c>
      <c r="F150" s="378" t="s">
        <v>122</v>
      </c>
      <c r="G150" s="378" t="s">
        <v>122</v>
      </c>
      <c r="H150" s="350">
        <f>H18</f>
        <v>2515188</v>
      </c>
      <c r="I150" s="350">
        <f>I18</f>
        <v>0</v>
      </c>
      <c r="J150" s="350">
        <f>J18</f>
        <v>2150804</v>
      </c>
      <c r="K150" s="350">
        <f>K18</f>
        <v>364384</v>
      </c>
    </row>
    <row r="151" spans="1:11" ht="18" customHeight="1">
      <c r="B151" s="43"/>
      <c r="F151" s="358"/>
      <c r="G151" s="358"/>
      <c r="H151" s="358"/>
      <c r="I151" s="358"/>
      <c r="J151" s="358"/>
      <c r="K151" s="358"/>
    </row>
    <row r="152" spans="1:11" ht="18" customHeight="1">
      <c r="A152" s="48" t="s">
        <v>360</v>
      </c>
      <c r="B152" s="43" t="s">
        <v>245</v>
      </c>
      <c r="F152" s="381">
        <f t="shared" ref="F152:K152" si="22">SUM(F141:F150)</f>
        <v>32153</v>
      </c>
      <c r="G152" s="381">
        <f t="shared" si="22"/>
        <v>68813</v>
      </c>
      <c r="H152" s="381">
        <f t="shared" si="22"/>
        <v>16979489</v>
      </c>
      <c r="I152" s="381">
        <f t="shared" si="22"/>
        <v>642906.40897999995</v>
      </c>
      <c r="J152" s="381">
        <f t="shared" si="22"/>
        <v>10401427</v>
      </c>
      <c r="K152" s="381">
        <f t="shared" si="22"/>
        <v>10921739.408980001</v>
      </c>
    </row>
    <row r="154" spans="1:11" ht="18" customHeight="1">
      <c r="A154" s="48" t="s">
        <v>361</v>
      </c>
      <c r="B154" s="43" t="s">
        <v>252</v>
      </c>
      <c r="F154" s="383">
        <f>K152/F121</f>
        <v>0.11601650542512264</v>
      </c>
    </row>
    <row r="155" spans="1:11" ht="18" customHeight="1">
      <c r="A155" s="48" t="s">
        <v>362</v>
      </c>
      <c r="B155" s="43" t="s">
        <v>253</v>
      </c>
      <c r="F155" s="383">
        <f>K152/F127</f>
        <v>4.0064898500006603</v>
      </c>
      <c r="G155" s="43"/>
    </row>
    <row r="156" spans="1:11" ht="18" customHeight="1">
      <c r="G156" s="43"/>
    </row>
  </sheetData>
  <mergeCells count="34"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RowHeight="12.75"/>
  <cols>
    <col min="1" max="1" width="8.28515625" style="135" customWidth="1"/>
    <col min="2" max="2" width="55.42578125" style="49" bestFit="1" customWidth="1"/>
    <col min="3" max="3" width="9.5703125" style="49" customWidth="1"/>
    <col min="4" max="4" width="9.140625" style="49"/>
    <col min="5" max="5" width="12.42578125" style="49" customWidth="1"/>
    <col min="6" max="6" width="18.5703125" style="49" customWidth="1"/>
    <col min="7" max="7" width="23.5703125" style="49" customWidth="1"/>
    <col min="8" max="8" width="17.140625" style="49" customWidth="1"/>
    <col min="9" max="9" width="21.140625" style="49" customWidth="1"/>
    <col min="10" max="10" width="19.85546875" style="49" customWidth="1"/>
    <col min="11" max="11" width="17.5703125" style="49" customWidth="1"/>
    <col min="12" max="16384" width="9.14062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75">
      <c r="D2" s="824" t="s">
        <v>133</v>
      </c>
      <c r="E2" s="825"/>
      <c r="F2" s="825"/>
      <c r="G2" s="825"/>
      <c r="H2" s="825"/>
      <c r="I2" s="384"/>
      <c r="J2" s="384"/>
      <c r="K2" s="384"/>
    </row>
    <row r="3" spans="1:11" ht="15">
      <c r="B3" s="43" t="s">
        <v>134</v>
      </c>
      <c r="F3" s="44"/>
      <c r="H3" s="384"/>
      <c r="I3" s="384"/>
      <c r="J3" s="384"/>
      <c r="K3" s="384"/>
    </row>
    <row r="5" spans="1:11">
      <c r="B5" s="45" t="s">
        <v>135</v>
      </c>
      <c r="C5" s="826" t="s">
        <v>677</v>
      </c>
      <c r="D5" s="851"/>
      <c r="E5" s="851"/>
      <c r="F5" s="851"/>
      <c r="G5" s="852"/>
      <c r="H5" s="384"/>
      <c r="I5" s="384"/>
      <c r="J5" s="384"/>
      <c r="K5" s="384"/>
    </row>
    <row r="6" spans="1:11">
      <c r="B6" s="45" t="s">
        <v>136</v>
      </c>
      <c r="C6" s="829">
        <v>62</v>
      </c>
      <c r="D6" s="854"/>
      <c r="E6" s="854"/>
      <c r="F6" s="854"/>
      <c r="G6" s="855"/>
      <c r="H6" s="384"/>
      <c r="I6" s="384"/>
      <c r="J6" s="384"/>
      <c r="K6" s="384"/>
    </row>
    <row r="7" spans="1:11">
      <c r="B7" s="45" t="s">
        <v>137</v>
      </c>
      <c r="C7" s="878">
        <v>1715</v>
      </c>
      <c r="D7" s="857"/>
      <c r="E7" s="857"/>
      <c r="F7" s="857"/>
      <c r="G7" s="858"/>
      <c r="H7" s="384"/>
      <c r="I7" s="384"/>
      <c r="J7" s="384"/>
      <c r="K7" s="384"/>
    </row>
    <row r="9" spans="1:11">
      <c r="B9" s="45" t="s">
        <v>138</v>
      </c>
      <c r="C9" s="826" t="s">
        <v>139</v>
      </c>
      <c r="D9" s="851"/>
      <c r="E9" s="851"/>
      <c r="F9" s="851"/>
      <c r="G9" s="852"/>
      <c r="H9" s="384"/>
      <c r="I9" s="384"/>
      <c r="J9" s="384"/>
      <c r="K9" s="384"/>
    </row>
    <row r="10" spans="1:11">
      <c r="B10" s="45" t="s">
        <v>140</v>
      </c>
      <c r="C10" s="835" t="s">
        <v>141</v>
      </c>
      <c r="D10" s="860"/>
      <c r="E10" s="860"/>
      <c r="F10" s="860"/>
      <c r="G10" s="861"/>
      <c r="H10" s="384"/>
      <c r="I10" s="384"/>
      <c r="J10" s="384"/>
      <c r="K10" s="384"/>
    </row>
    <row r="11" spans="1:11">
      <c r="B11" s="45" t="s">
        <v>142</v>
      </c>
      <c r="C11" s="838" t="s">
        <v>143</v>
      </c>
      <c r="D11" s="874"/>
      <c r="E11" s="874"/>
      <c r="F11" s="874"/>
      <c r="G11" s="874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5.5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6699773</v>
      </c>
      <c r="I18" s="167">
        <v>0</v>
      </c>
      <c r="J18" s="347">
        <v>5729144</v>
      </c>
      <c r="K18" s="348">
        <v>970629</v>
      </c>
    </row>
    <row r="19" spans="1:11" ht="25.5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82</v>
      </c>
      <c r="G21" s="57">
        <v>2488</v>
      </c>
      <c r="H21" s="347">
        <v>4323</v>
      </c>
      <c r="I21" s="167">
        <v>2835.89</v>
      </c>
      <c r="J21" s="347">
        <v>0</v>
      </c>
      <c r="K21" s="348">
        <v>7158.89</v>
      </c>
    </row>
    <row r="22" spans="1:11">
      <c r="A22" s="45" t="s">
        <v>261</v>
      </c>
      <c r="B22" s="49" t="s">
        <v>157</v>
      </c>
      <c r="F22" s="57">
        <v>60</v>
      </c>
      <c r="G22" s="57">
        <v>233</v>
      </c>
      <c r="H22" s="347">
        <v>7982</v>
      </c>
      <c r="I22" s="167">
        <v>5236.1899999999996</v>
      </c>
      <c r="J22" s="347">
        <v>0</v>
      </c>
      <c r="K22" s="348">
        <v>13218.19</v>
      </c>
    </row>
    <row r="23" spans="1:11">
      <c r="A23" s="45" t="s">
        <v>262</v>
      </c>
      <c r="B23" s="49" t="s">
        <v>158</v>
      </c>
      <c r="F23" s="57">
        <v>22</v>
      </c>
      <c r="G23" s="57">
        <v>62</v>
      </c>
      <c r="H23" s="347">
        <v>1418</v>
      </c>
      <c r="I23" s="167">
        <v>930.21</v>
      </c>
      <c r="J23" s="347">
        <v>0</v>
      </c>
      <c r="K23" s="348">
        <v>2348.21</v>
      </c>
    </row>
    <row r="24" spans="1:11">
      <c r="A24" s="45" t="s">
        <v>263</v>
      </c>
      <c r="B24" s="49" t="s">
        <v>159</v>
      </c>
      <c r="F24" s="57">
        <v>0</v>
      </c>
      <c r="G24" s="57">
        <v>0</v>
      </c>
      <c r="H24" s="347">
        <v>0</v>
      </c>
      <c r="I24" s="167">
        <v>0</v>
      </c>
      <c r="J24" s="347">
        <v>0</v>
      </c>
      <c r="K24" s="348">
        <v>0</v>
      </c>
    </row>
    <row r="25" spans="1:11">
      <c r="A25" s="45" t="s">
        <v>264</v>
      </c>
      <c r="B25" s="49" t="s">
        <v>160</v>
      </c>
      <c r="F25" s="57">
        <v>247</v>
      </c>
      <c r="G25" s="57">
        <v>2350</v>
      </c>
      <c r="H25" s="347">
        <v>5112.8999999999996</v>
      </c>
      <c r="I25" s="167">
        <v>3354.06</v>
      </c>
      <c r="J25" s="347">
        <v>0</v>
      </c>
      <c r="K25" s="348">
        <v>8466.9599999999991</v>
      </c>
    </row>
    <row r="26" spans="1:11">
      <c r="A26" s="45" t="s">
        <v>265</v>
      </c>
      <c r="B26" s="49" t="s">
        <v>161</v>
      </c>
      <c r="F26" s="57">
        <v>6</v>
      </c>
      <c r="G26" s="57">
        <v>39</v>
      </c>
      <c r="H26" s="347">
        <v>124.2</v>
      </c>
      <c r="I26" s="167">
        <v>81.48</v>
      </c>
      <c r="J26" s="347">
        <v>0</v>
      </c>
      <c r="K26" s="348">
        <v>205.68</v>
      </c>
    </row>
    <row r="27" spans="1:11">
      <c r="A27" s="45" t="s">
        <v>266</v>
      </c>
      <c r="B27" s="49" t="s">
        <v>162</v>
      </c>
      <c r="F27" s="57">
        <v>0</v>
      </c>
      <c r="G27" s="57">
        <v>0</v>
      </c>
      <c r="H27" s="347">
        <v>0</v>
      </c>
      <c r="I27" s="167">
        <v>0</v>
      </c>
      <c r="J27" s="347">
        <v>0</v>
      </c>
      <c r="K27" s="348">
        <v>0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1046</v>
      </c>
      <c r="G29" s="57">
        <v>4472</v>
      </c>
      <c r="H29" s="347">
        <v>112558.71</v>
      </c>
      <c r="I29" s="167">
        <v>73838.509999999995</v>
      </c>
      <c r="J29" s="347">
        <v>0</v>
      </c>
      <c r="K29" s="348">
        <v>186397.22</v>
      </c>
    </row>
    <row r="30" spans="1:11">
      <c r="A30" s="45" t="s">
        <v>269</v>
      </c>
      <c r="B30" s="814"/>
      <c r="C30" s="815"/>
      <c r="D30" s="816"/>
      <c r="F30" s="57"/>
      <c r="G30" s="57"/>
      <c r="H30" s="347"/>
      <c r="I30" s="167"/>
      <c r="J30" s="347"/>
      <c r="K30" s="348"/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437"/>
      <c r="C32" s="438"/>
      <c r="D32" s="439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437"/>
      <c r="C33" s="438"/>
      <c r="D33" s="439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1463</v>
      </c>
      <c r="G36" s="350">
        <f t="shared" si="0"/>
        <v>9644</v>
      </c>
      <c r="H36" s="348">
        <f t="shared" si="0"/>
        <v>131518.81</v>
      </c>
      <c r="I36" s="348">
        <f t="shared" si="0"/>
        <v>86276.34</v>
      </c>
      <c r="J36" s="348">
        <f t="shared" si="0"/>
        <v>0</v>
      </c>
      <c r="K36" s="348">
        <f t="shared" si="0"/>
        <v>217795.15</v>
      </c>
    </row>
    <row r="37" spans="1:11" ht="13.5" thickBot="1">
      <c r="B37" s="43"/>
      <c r="F37" s="351"/>
      <c r="G37" s="351"/>
      <c r="H37" s="352"/>
      <c r="I37" s="352"/>
      <c r="J37" s="352"/>
      <c r="K37" s="353"/>
    </row>
    <row r="38" spans="1:11" ht="25.5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0</v>
      </c>
      <c r="G40" s="57">
        <v>0</v>
      </c>
      <c r="H40" s="347">
        <v>0</v>
      </c>
      <c r="I40" s="167">
        <v>0</v>
      </c>
      <c r="J40" s="347">
        <v>0</v>
      </c>
      <c r="K40" s="348">
        <v>0</v>
      </c>
    </row>
    <row r="41" spans="1:11">
      <c r="A41" s="45" t="s">
        <v>278</v>
      </c>
      <c r="B41" s="818" t="s">
        <v>172</v>
      </c>
      <c r="C41" s="818"/>
      <c r="F41" s="57">
        <v>19766</v>
      </c>
      <c r="G41" s="57">
        <v>19766</v>
      </c>
      <c r="H41" s="347">
        <v>577957</v>
      </c>
      <c r="I41" s="167">
        <v>0</v>
      </c>
      <c r="J41" s="347">
        <v>0</v>
      </c>
      <c r="K41" s="348">
        <v>577957</v>
      </c>
    </row>
    <row r="42" spans="1:11">
      <c r="A42" s="45" t="s">
        <v>279</v>
      </c>
      <c r="B42" s="49" t="s">
        <v>174</v>
      </c>
      <c r="F42" s="57">
        <v>8472</v>
      </c>
      <c r="G42" s="57">
        <v>8472</v>
      </c>
      <c r="H42" s="347">
        <v>247721</v>
      </c>
      <c r="I42" s="167">
        <v>0</v>
      </c>
      <c r="J42" s="347">
        <v>0</v>
      </c>
      <c r="K42" s="348">
        <v>247721</v>
      </c>
    </row>
    <row r="43" spans="1:11">
      <c r="A43" s="45" t="s">
        <v>280</v>
      </c>
      <c r="B43" s="49" t="s">
        <v>176</v>
      </c>
      <c r="F43" s="57">
        <v>0</v>
      </c>
      <c r="G43" s="57">
        <v>0</v>
      </c>
      <c r="H43" s="347">
        <v>0</v>
      </c>
      <c r="I43" s="167">
        <v>0</v>
      </c>
      <c r="J43" s="347">
        <v>0</v>
      </c>
      <c r="K43" s="348">
        <v>0</v>
      </c>
    </row>
    <row r="44" spans="1:11">
      <c r="A44" s="45" t="s">
        <v>281</v>
      </c>
      <c r="B44" s="814"/>
      <c r="C44" s="815"/>
      <c r="D44" s="816"/>
      <c r="F44" s="57"/>
      <c r="G44" s="57"/>
      <c r="H44" s="347"/>
      <c r="I44" s="167"/>
      <c r="J44" s="347"/>
      <c r="K44" s="354"/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1">SUM(F40:F47)</f>
        <v>28238</v>
      </c>
      <c r="G49" s="355">
        <f t="shared" si="1"/>
        <v>28238</v>
      </c>
      <c r="H49" s="348">
        <f t="shared" si="1"/>
        <v>825678</v>
      </c>
      <c r="I49" s="348">
        <f t="shared" si="1"/>
        <v>0</v>
      </c>
      <c r="J49" s="348">
        <f t="shared" si="1"/>
        <v>0</v>
      </c>
      <c r="K49" s="348">
        <f t="shared" si="1"/>
        <v>825678</v>
      </c>
    </row>
    <row r="50" spans="1:11" ht="13.5" thickBot="1">
      <c r="G50" s="356"/>
      <c r="H50" s="352"/>
      <c r="I50" s="352"/>
      <c r="J50" s="352"/>
      <c r="K50" s="352"/>
    </row>
    <row r="51" spans="1:11" ht="25.5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22" t="s">
        <v>427</v>
      </c>
      <c r="C53" s="867" t="s">
        <v>427</v>
      </c>
      <c r="D53" s="865" t="s">
        <v>427</v>
      </c>
      <c r="F53" s="57">
        <v>0</v>
      </c>
      <c r="G53" s="57">
        <v>0</v>
      </c>
      <c r="H53" s="347">
        <v>0</v>
      </c>
      <c r="I53" s="167">
        <v>0</v>
      </c>
      <c r="J53" s="347">
        <v>0</v>
      </c>
      <c r="K53" s="348">
        <v>0</v>
      </c>
    </row>
    <row r="54" spans="1:11">
      <c r="A54" s="45" t="s">
        <v>289</v>
      </c>
      <c r="B54" s="440" t="s">
        <v>546</v>
      </c>
      <c r="C54" s="443"/>
      <c r="D54" s="444"/>
      <c r="F54" s="57">
        <v>0</v>
      </c>
      <c r="G54" s="57">
        <v>0</v>
      </c>
      <c r="H54" s="347">
        <v>2048200</v>
      </c>
      <c r="I54" s="167">
        <v>718441</v>
      </c>
      <c r="J54" s="347">
        <v>1720611</v>
      </c>
      <c r="K54" s="348">
        <v>1046030</v>
      </c>
    </row>
    <row r="55" spans="1:11">
      <c r="A55" s="45" t="s">
        <v>291</v>
      </c>
      <c r="B55" s="817"/>
      <c r="C55" s="864"/>
      <c r="D55" s="865"/>
      <c r="F55" s="57"/>
      <c r="G55" s="57"/>
      <c r="H55" s="347"/>
      <c r="I55" s="167"/>
      <c r="J55" s="347"/>
      <c r="K55" s="348"/>
    </row>
    <row r="56" spans="1:11">
      <c r="A56" s="45" t="s">
        <v>293</v>
      </c>
      <c r="B56" s="817"/>
      <c r="C56" s="864"/>
      <c r="D56" s="865"/>
      <c r="F56" s="57"/>
      <c r="G56" s="57"/>
      <c r="H56" s="347"/>
      <c r="I56" s="167"/>
      <c r="J56" s="347"/>
      <c r="K56" s="348"/>
    </row>
    <row r="57" spans="1:11">
      <c r="A57" s="45" t="s">
        <v>295</v>
      </c>
      <c r="B57" s="817"/>
      <c r="C57" s="864"/>
      <c r="D57" s="865"/>
      <c r="F57" s="70"/>
      <c r="G57" s="57"/>
      <c r="H57" s="347"/>
      <c r="I57" s="167"/>
      <c r="J57" s="347"/>
      <c r="K57" s="348"/>
    </row>
    <row r="58" spans="1:11">
      <c r="A58" s="45" t="s">
        <v>298</v>
      </c>
      <c r="B58" s="440"/>
      <c r="C58" s="443"/>
      <c r="D58" s="444"/>
      <c r="F58" s="70"/>
      <c r="G58" s="70"/>
      <c r="H58" s="347"/>
      <c r="I58" s="167"/>
      <c r="J58" s="347"/>
      <c r="K58" s="348"/>
    </row>
    <row r="59" spans="1:11">
      <c r="A59" s="45" t="s">
        <v>300</v>
      </c>
      <c r="B59" s="817"/>
      <c r="C59" s="864"/>
      <c r="D59" s="865"/>
      <c r="F59" s="70"/>
      <c r="G59" s="70"/>
      <c r="H59" s="347"/>
      <c r="I59" s="167"/>
      <c r="J59" s="347"/>
      <c r="K59" s="348"/>
    </row>
    <row r="60" spans="1:11">
      <c r="A60" s="45" t="s">
        <v>302</v>
      </c>
      <c r="B60" s="440"/>
      <c r="C60" s="443"/>
      <c r="D60" s="444"/>
      <c r="F60" s="57"/>
      <c r="G60" s="57"/>
      <c r="H60" s="347"/>
      <c r="I60" s="167"/>
      <c r="J60" s="347"/>
      <c r="K60" s="348"/>
    </row>
    <row r="61" spans="1:11">
      <c r="A61" s="45" t="s">
        <v>303</v>
      </c>
      <c r="B61" s="440"/>
      <c r="C61" s="443"/>
      <c r="D61" s="444"/>
      <c r="F61" s="57"/>
      <c r="G61" s="57"/>
      <c r="H61" s="347"/>
      <c r="I61" s="167"/>
      <c r="J61" s="347"/>
      <c r="K61" s="348"/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/>
      <c r="J62" s="347"/>
      <c r="K62" s="348"/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SUM(F53:F62)</f>
        <v>0</v>
      </c>
      <c r="G64" s="350">
        <f t="shared" si="2"/>
        <v>0</v>
      </c>
      <c r="H64" s="348">
        <f t="shared" si="2"/>
        <v>2048200</v>
      </c>
      <c r="I64" s="348">
        <f t="shared" si="2"/>
        <v>718441</v>
      </c>
      <c r="J64" s="348">
        <f t="shared" si="2"/>
        <v>1720611</v>
      </c>
      <c r="K64" s="348">
        <f t="shared" si="2"/>
        <v>1046030</v>
      </c>
    </row>
    <row r="65" spans="1:11">
      <c r="F65" s="358"/>
      <c r="G65" s="358"/>
      <c r="H65" s="394"/>
      <c r="I65" s="394"/>
      <c r="J65" s="394"/>
      <c r="K65" s="394"/>
    </row>
    <row r="66" spans="1:11" ht="25.5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0</v>
      </c>
      <c r="G68" s="362">
        <v>0</v>
      </c>
      <c r="H68" s="347">
        <v>0</v>
      </c>
      <c r="I68" s="167">
        <v>0</v>
      </c>
      <c r="J68" s="347">
        <v>0</v>
      </c>
      <c r="K68" s="348">
        <v>0</v>
      </c>
    </row>
    <row r="69" spans="1:11">
      <c r="A69" s="45" t="s">
        <v>307</v>
      </c>
      <c r="B69" s="49" t="s">
        <v>190</v>
      </c>
      <c r="F69" s="362">
        <v>0</v>
      </c>
      <c r="G69" s="362">
        <v>0</v>
      </c>
      <c r="H69" s="347">
        <v>0</v>
      </c>
      <c r="I69" s="167">
        <v>0</v>
      </c>
      <c r="J69" s="347">
        <v>0</v>
      </c>
      <c r="K69" s="348">
        <v>0</v>
      </c>
    </row>
    <row r="70" spans="1:11">
      <c r="A70" s="45" t="s">
        <v>308</v>
      </c>
      <c r="B70" s="440"/>
      <c r="C70" s="443"/>
      <c r="D70" s="444"/>
      <c r="E70" s="43"/>
      <c r="F70" s="364"/>
      <c r="G70" s="364"/>
      <c r="H70" s="363"/>
      <c r="I70" s="167"/>
      <c r="J70" s="363"/>
      <c r="K70" s="348"/>
    </row>
    <row r="71" spans="1:11">
      <c r="A71" s="45" t="s">
        <v>309</v>
      </c>
      <c r="B71" s="440"/>
      <c r="C71" s="443"/>
      <c r="D71" s="444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442"/>
      <c r="C72" s="445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3">SUM(F68:F72)</f>
        <v>0</v>
      </c>
      <c r="G74" s="368">
        <f t="shared" si="3"/>
        <v>0</v>
      </c>
      <c r="H74" s="354">
        <f t="shared" si="3"/>
        <v>0</v>
      </c>
      <c r="I74" s="370">
        <f t="shared" si="3"/>
        <v>0</v>
      </c>
      <c r="J74" s="354">
        <f t="shared" si="3"/>
        <v>0</v>
      </c>
      <c r="K74" s="354">
        <f t="shared" si="3"/>
        <v>0</v>
      </c>
    </row>
    <row r="75" spans="1:11" ht="25.5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0</v>
      </c>
      <c r="G77" s="57">
        <v>0</v>
      </c>
      <c r="H77" s="347">
        <v>15450</v>
      </c>
      <c r="I77" s="167">
        <v>0</v>
      </c>
      <c r="J77" s="347">
        <v>0</v>
      </c>
      <c r="K77" s="348">
        <v>15450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57">
        <v>0</v>
      </c>
      <c r="G79" s="57">
        <v>0</v>
      </c>
      <c r="H79" s="347">
        <v>0</v>
      </c>
      <c r="I79" s="167">
        <v>0</v>
      </c>
      <c r="J79" s="347">
        <v>0</v>
      </c>
      <c r="K79" s="348">
        <v>0</v>
      </c>
    </row>
    <row r="80" spans="1:11">
      <c r="A80" s="45" t="s">
        <v>315</v>
      </c>
      <c r="B80" s="49" t="s">
        <v>316</v>
      </c>
      <c r="F80" s="57">
        <v>0</v>
      </c>
      <c r="G80" s="57">
        <v>0</v>
      </c>
      <c r="H80" s="347">
        <v>0</v>
      </c>
      <c r="I80" s="167">
        <v>0</v>
      </c>
      <c r="J80" s="347">
        <v>0</v>
      </c>
      <c r="K80" s="348">
        <v>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4">SUM(F77:F80)</f>
        <v>0</v>
      </c>
      <c r="G82" s="455">
        <f t="shared" si="4"/>
        <v>0</v>
      </c>
      <c r="H82" s="354">
        <f t="shared" si="4"/>
        <v>15450</v>
      </c>
      <c r="I82" s="354">
        <f t="shared" si="4"/>
        <v>0</v>
      </c>
      <c r="J82" s="354">
        <f t="shared" si="4"/>
        <v>0</v>
      </c>
      <c r="K82" s="354">
        <f t="shared" si="4"/>
        <v>15450</v>
      </c>
    </row>
    <row r="83" spans="1:11" ht="13.5" thickBot="1">
      <c r="A83" s="45"/>
      <c r="F83" s="356"/>
      <c r="G83" s="356"/>
      <c r="H83" s="352"/>
      <c r="I83" s="352"/>
      <c r="J83" s="352"/>
      <c r="K83" s="352"/>
    </row>
    <row r="84" spans="1:11" ht="25.5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0</v>
      </c>
      <c r="G87" s="57">
        <v>0</v>
      </c>
      <c r="H87" s="347">
        <v>0</v>
      </c>
      <c r="I87" s="167">
        <v>0</v>
      </c>
      <c r="J87" s="347">
        <v>0</v>
      </c>
      <c r="K87" s="348">
        <v>0</v>
      </c>
    </row>
    <row r="88" spans="1:11">
      <c r="A88" s="45" t="s">
        <v>321</v>
      </c>
      <c r="B88" s="49" t="s">
        <v>208</v>
      </c>
      <c r="F88" s="57">
        <v>0</v>
      </c>
      <c r="G88" s="57">
        <v>0</v>
      </c>
      <c r="H88" s="347">
        <v>0</v>
      </c>
      <c r="I88" s="167">
        <v>0</v>
      </c>
      <c r="J88" s="347">
        <v>0</v>
      </c>
      <c r="K88" s="348">
        <v>0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v>0</v>
      </c>
      <c r="J89" s="347">
        <v>0</v>
      </c>
      <c r="K89" s="348">
        <v>0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0</v>
      </c>
      <c r="G91" s="57">
        <v>0</v>
      </c>
      <c r="H91" s="347">
        <v>0</v>
      </c>
      <c r="I91" s="167">
        <v>0</v>
      </c>
      <c r="J91" s="347">
        <v>0</v>
      </c>
      <c r="K91" s="348">
        <v>0</v>
      </c>
    </row>
    <row r="92" spans="1:11">
      <c r="A92" s="45" t="s">
        <v>325</v>
      </c>
      <c r="B92" s="49" t="s">
        <v>216</v>
      </c>
      <c r="F92" s="372">
        <v>0</v>
      </c>
      <c r="G92" s="372">
        <v>0</v>
      </c>
      <c r="H92" s="373">
        <v>0</v>
      </c>
      <c r="I92" s="167">
        <v>0</v>
      </c>
      <c r="J92" s="373">
        <v>0</v>
      </c>
      <c r="K92" s="348">
        <v>0</v>
      </c>
    </row>
    <row r="93" spans="1:11">
      <c r="A93" s="45" t="s">
        <v>326</v>
      </c>
      <c r="B93" s="49" t="s">
        <v>218</v>
      </c>
      <c r="F93" s="57">
        <v>0</v>
      </c>
      <c r="G93" s="57">
        <v>0</v>
      </c>
      <c r="H93" s="347">
        <v>0</v>
      </c>
      <c r="I93" s="167">
        <v>0</v>
      </c>
      <c r="J93" s="347">
        <v>0</v>
      </c>
      <c r="K93" s="348">
        <v>0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0</v>
      </c>
      <c r="G98" s="350">
        <f t="shared" si="5"/>
        <v>0</v>
      </c>
      <c r="H98" s="348">
        <f t="shared" si="5"/>
        <v>0</v>
      </c>
      <c r="I98" s="348">
        <f t="shared" si="5"/>
        <v>0</v>
      </c>
      <c r="J98" s="348">
        <f t="shared" si="5"/>
        <v>0</v>
      </c>
      <c r="K98" s="348">
        <f t="shared" si="5"/>
        <v>0</v>
      </c>
    </row>
    <row r="99" spans="1:11" ht="13.5" thickBot="1">
      <c r="B99" s="43"/>
      <c r="F99" s="356"/>
      <c r="G99" s="356"/>
      <c r="H99" s="352"/>
      <c r="I99" s="352"/>
      <c r="J99" s="352"/>
      <c r="K99" s="352"/>
    </row>
    <row r="100" spans="1:11" ht="25.5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2990</v>
      </c>
      <c r="G102" s="57">
        <v>0</v>
      </c>
      <c r="H102" s="347">
        <v>57077.9</v>
      </c>
      <c r="I102" s="167">
        <v>37443.1</v>
      </c>
      <c r="J102" s="347">
        <v>0</v>
      </c>
      <c r="K102" s="348">
        <v>94521</v>
      </c>
    </row>
    <row r="103" spans="1:11">
      <c r="A103" s="45" t="s">
        <v>333</v>
      </c>
      <c r="B103" s="818" t="s">
        <v>226</v>
      </c>
      <c r="C103" s="818"/>
      <c r="F103" s="57">
        <v>14</v>
      </c>
      <c r="G103" s="57">
        <v>0</v>
      </c>
      <c r="H103" s="347">
        <v>6311</v>
      </c>
      <c r="I103" s="167">
        <v>4140.0200000000004</v>
      </c>
      <c r="J103" s="347">
        <v>0</v>
      </c>
      <c r="K103" s="348">
        <v>10451.02</v>
      </c>
    </row>
    <row r="104" spans="1:11">
      <c r="A104" s="45" t="s">
        <v>334</v>
      </c>
      <c r="B104" s="817"/>
      <c r="C104" s="864"/>
      <c r="D104" s="865"/>
      <c r="F104" s="57"/>
      <c r="G104" s="57"/>
      <c r="H104" s="347"/>
      <c r="I104" s="167"/>
      <c r="J104" s="347"/>
      <c r="K104" s="348"/>
    </row>
    <row r="105" spans="1:11">
      <c r="A105" s="45" t="s">
        <v>336</v>
      </c>
      <c r="B105" s="817"/>
      <c r="C105" s="864"/>
      <c r="D105" s="865"/>
      <c r="F105" s="57"/>
      <c r="G105" s="57"/>
      <c r="H105" s="347"/>
      <c r="I105" s="167"/>
      <c r="J105" s="347"/>
      <c r="K105" s="348"/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3004</v>
      </c>
      <c r="G108" s="350">
        <f t="shared" si="6"/>
        <v>0</v>
      </c>
      <c r="H108" s="348">
        <f t="shared" si="6"/>
        <v>63388.9</v>
      </c>
      <c r="I108" s="348">
        <f t="shared" si="6"/>
        <v>41583.119999999995</v>
      </c>
      <c r="J108" s="348">
        <f t="shared" si="6"/>
        <v>0</v>
      </c>
      <c r="K108" s="348">
        <f t="shared" si="6"/>
        <v>104972.02</v>
      </c>
    </row>
    <row r="109" spans="1:11" ht="13.5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981819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0.66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110436866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640165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f>SUM(F117:F118)</f>
        <v>111077031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126371201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-15294170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14918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-15279252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5.5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  <c r="H138" s="384"/>
      <c r="I138" s="384"/>
      <c r="J138" s="384"/>
      <c r="K138" s="384"/>
    </row>
    <row r="139" spans="1:11" ht="25.5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8">F36</f>
        <v>1463</v>
      </c>
      <c r="G141" s="377">
        <f t="shared" si="8"/>
        <v>9644</v>
      </c>
      <c r="H141" s="380">
        <f t="shared" si="8"/>
        <v>131518.81</v>
      </c>
      <c r="I141" s="380">
        <f t="shared" si="8"/>
        <v>86276.34</v>
      </c>
      <c r="J141" s="380">
        <f t="shared" si="8"/>
        <v>0</v>
      </c>
      <c r="K141" s="380">
        <f t="shared" si="8"/>
        <v>217795.15</v>
      </c>
    </row>
    <row r="142" spans="1:11">
      <c r="A142" s="45" t="s">
        <v>286</v>
      </c>
      <c r="B142" s="43" t="s">
        <v>125</v>
      </c>
      <c r="F142" s="456">
        <f t="shared" ref="F142:K142" si="9">F49</f>
        <v>28238</v>
      </c>
      <c r="G142" s="456">
        <f t="shared" si="9"/>
        <v>28238</v>
      </c>
      <c r="H142" s="380">
        <f t="shared" si="9"/>
        <v>825678</v>
      </c>
      <c r="I142" s="380">
        <f t="shared" si="9"/>
        <v>0</v>
      </c>
      <c r="J142" s="380">
        <f t="shared" si="9"/>
        <v>0</v>
      </c>
      <c r="K142" s="380">
        <f t="shared" si="9"/>
        <v>825678</v>
      </c>
    </row>
    <row r="143" spans="1:11">
      <c r="A143" s="45" t="s">
        <v>305</v>
      </c>
      <c r="B143" s="43" t="s">
        <v>247</v>
      </c>
      <c r="F143" s="377">
        <f t="shared" ref="F143:K143" si="10">F64</f>
        <v>0</v>
      </c>
      <c r="G143" s="377">
        <f t="shared" si="10"/>
        <v>0</v>
      </c>
      <c r="H143" s="380">
        <f t="shared" si="10"/>
        <v>2048200</v>
      </c>
      <c r="I143" s="380">
        <f t="shared" si="10"/>
        <v>718441</v>
      </c>
      <c r="J143" s="380">
        <f t="shared" si="10"/>
        <v>1720611</v>
      </c>
      <c r="K143" s="380">
        <f t="shared" si="10"/>
        <v>1046030</v>
      </c>
    </row>
    <row r="144" spans="1:11">
      <c r="A144" s="45" t="s">
        <v>311</v>
      </c>
      <c r="B144" s="43" t="s">
        <v>127</v>
      </c>
      <c r="F144" s="377">
        <f t="shared" ref="F144:K144" si="11">F74</f>
        <v>0</v>
      </c>
      <c r="G144" s="377">
        <f t="shared" si="11"/>
        <v>0</v>
      </c>
      <c r="H144" s="380">
        <f t="shared" si="11"/>
        <v>0</v>
      </c>
      <c r="I144" s="380">
        <f t="shared" si="11"/>
        <v>0</v>
      </c>
      <c r="J144" s="380">
        <f t="shared" si="11"/>
        <v>0</v>
      </c>
      <c r="K144" s="380">
        <f t="shared" si="11"/>
        <v>0</v>
      </c>
    </row>
    <row r="145" spans="1:11">
      <c r="A145" s="45" t="s">
        <v>317</v>
      </c>
      <c r="B145" s="43" t="s">
        <v>248</v>
      </c>
      <c r="F145" s="377">
        <f t="shared" ref="F145:K145" si="12">F82</f>
        <v>0</v>
      </c>
      <c r="G145" s="377">
        <f t="shared" si="12"/>
        <v>0</v>
      </c>
      <c r="H145" s="380">
        <f t="shared" si="12"/>
        <v>15450</v>
      </c>
      <c r="I145" s="380">
        <f t="shared" si="12"/>
        <v>0</v>
      </c>
      <c r="J145" s="380">
        <f t="shared" si="12"/>
        <v>0</v>
      </c>
      <c r="K145" s="380">
        <f t="shared" si="12"/>
        <v>15450</v>
      </c>
    </row>
    <row r="146" spans="1:11">
      <c r="A146" s="45" t="s">
        <v>331</v>
      </c>
      <c r="B146" s="43" t="s">
        <v>249</v>
      </c>
      <c r="F146" s="377">
        <f t="shared" ref="F146:K146" si="13">F98</f>
        <v>0</v>
      </c>
      <c r="G146" s="377">
        <f t="shared" si="13"/>
        <v>0</v>
      </c>
      <c r="H146" s="380">
        <f t="shared" si="13"/>
        <v>0</v>
      </c>
      <c r="I146" s="380">
        <f t="shared" si="13"/>
        <v>0</v>
      </c>
      <c r="J146" s="380">
        <f t="shared" si="13"/>
        <v>0</v>
      </c>
      <c r="K146" s="380">
        <f t="shared" si="13"/>
        <v>0</v>
      </c>
    </row>
    <row r="147" spans="1:11">
      <c r="A147" s="45" t="s">
        <v>338</v>
      </c>
      <c r="B147" s="43" t="s">
        <v>129</v>
      </c>
      <c r="F147" s="350">
        <f t="shared" ref="F147:K147" si="14">F108</f>
        <v>3004</v>
      </c>
      <c r="G147" s="350">
        <f t="shared" si="14"/>
        <v>0</v>
      </c>
      <c r="H147" s="348">
        <f t="shared" si="14"/>
        <v>63388.9</v>
      </c>
      <c r="I147" s="348">
        <f t="shared" si="14"/>
        <v>41583.119999999995</v>
      </c>
      <c r="J147" s="348">
        <f t="shared" si="14"/>
        <v>0</v>
      </c>
      <c r="K147" s="348">
        <f t="shared" si="14"/>
        <v>104972.02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981819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6699773</v>
      </c>
      <c r="I150" s="348">
        <f>I18</f>
        <v>0</v>
      </c>
      <c r="J150" s="348">
        <f>J18</f>
        <v>5729144</v>
      </c>
      <c r="K150" s="348">
        <f>K18</f>
        <v>970629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32705</v>
      </c>
      <c r="G152" s="381">
        <f t="shared" si="16"/>
        <v>37882</v>
      </c>
      <c r="H152" s="457">
        <f t="shared" si="16"/>
        <v>9784008.7100000009</v>
      </c>
      <c r="I152" s="457">
        <f t="shared" si="16"/>
        <v>846300.46</v>
      </c>
      <c r="J152" s="457">
        <f t="shared" si="16"/>
        <v>7449755</v>
      </c>
      <c r="K152" s="457">
        <f t="shared" si="16"/>
        <v>4162373.17</v>
      </c>
    </row>
    <row r="154" spans="1:11">
      <c r="A154" s="48" t="s">
        <v>361</v>
      </c>
      <c r="B154" s="43" t="s">
        <v>252</v>
      </c>
      <c r="F154" s="459">
        <f>K152/F121</f>
        <v>3.2937672009621874E-2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-0.27241995681463987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B134:D134"/>
    <mergeCell ref="B135:D135"/>
    <mergeCell ref="B103:C103"/>
    <mergeCell ref="B104:D104"/>
    <mergeCell ref="B105:D105"/>
    <mergeCell ref="B106:D106"/>
    <mergeCell ref="B133:D133"/>
    <mergeCell ref="B62:D62"/>
    <mergeCell ref="B90:C90"/>
    <mergeCell ref="B94:D94"/>
    <mergeCell ref="B95:D95"/>
    <mergeCell ref="B96:D96"/>
    <mergeCell ref="B53:D53"/>
    <mergeCell ref="B55:D55"/>
    <mergeCell ref="B56:D56"/>
    <mergeCell ref="B57:D57"/>
    <mergeCell ref="B59:D59"/>
    <mergeCell ref="B44:D44"/>
    <mergeCell ref="B45:D45"/>
    <mergeCell ref="B46:D46"/>
    <mergeCell ref="B47:D47"/>
    <mergeCell ref="B52:C52"/>
    <mergeCell ref="B13:H13"/>
    <mergeCell ref="B30:D30"/>
    <mergeCell ref="B31:D31"/>
    <mergeCell ref="B34:D34"/>
    <mergeCell ref="B41:C41"/>
    <mergeCell ref="C11:G11"/>
    <mergeCell ref="D2:H2"/>
    <mergeCell ref="C5:G5"/>
    <mergeCell ref="C6:G6"/>
    <mergeCell ref="C7:G7"/>
    <mergeCell ref="C9:G9"/>
    <mergeCell ref="C10:G10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workbookViewId="0">
      <selection activeCell="B43" sqref="B43"/>
    </sheetView>
  </sheetViews>
  <sheetFormatPr defaultRowHeight="15"/>
  <cols>
    <col min="1" max="1" width="9.140625" style="38"/>
    <col min="2" max="5" width="11.7109375" style="38" customWidth="1"/>
    <col min="6" max="11" width="14.7109375" style="38" customWidth="1"/>
    <col min="12" max="16384" width="9.140625" style="38"/>
  </cols>
  <sheetData>
    <row r="1" spans="1:11">
      <c r="A1" s="397"/>
      <c r="C1" s="398"/>
      <c r="D1" s="42"/>
      <c r="E1" s="398"/>
      <c r="F1" s="398"/>
      <c r="G1" s="398"/>
      <c r="H1" s="398"/>
      <c r="I1" s="399">
        <v>0.312</v>
      </c>
    </row>
    <row r="2" spans="1:11" ht="15.75">
      <c r="A2" s="397"/>
      <c r="D2" s="824" t="s">
        <v>133</v>
      </c>
      <c r="E2" s="825"/>
      <c r="F2" s="825"/>
      <c r="G2" s="825"/>
      <c r="H2" s="825"/>
    </row>
    <row r="3" spans="1:11">
      <c r="A3" s="397"/>
      <c r="B3" s="43" t="s">
        <v>134</v>
      </c>
    </row>
    <row r="4" spans="1:11">
      <c r="A4" s="397"/>
    </row>
    <row r="5" spans="1:11">
      <c r="A5" s="397"/>
      <c r="B5" s="45" t="s">
        <v>135</v>
      </c>
      <c r="C5" s="990" t="s">
        <v>790</v>
      </c>
      <c r="D5" s="991"/>
      <c r="E5" s="991"/>
      <c r="F5" s="991"/>
      <c r="G5" s="992"/>
    </row>
    <row r="6" spans="1:11">
      <c r="A6" s="397"/>
      <c r="B6" s="45" t="s">
        <v>136</v>
      </c>
      <c r="C6" s="993">
        <v>210058</v>
      </c>
      <c r="D6" s="994"/>
      <c r="E6" s="994"/>
      <c r="F6" s="994"/>
      <c r="G6" s="995"/>
    </row>
    <row r="7" spans="1:11">
      <c r="A7" s="397"/>
      <c r="B7" s="45" t="s">
        <v>137</v>
      </c>
      <c r="C7" s="996">
        <v>686</v>
      </c>
      <c r="D7" s="997"/>
      <c r="E7" s="997"/>
      <c r="F7" s="997"/>
      <c r="G7" s="998"/>
    </row>
    <row r="8" spans="1:11">
      <c r="A8" s="397"/>
    </row>
    <row r="9" spans="1:11">
      <c r="A9" s="397"/>
      <c r="B9" s="45" t="s">
        <v>138</v>
      </c>
      <c r="C9" s="990" t="s">
        <v>791</v>
      </c>
      <c r="D9" s="991"/>
      <c r="E9" s="991"/>
      <c r="F9" s="991"/>
      <c r="G9" s="992"/>
    </row>
    <row r="10" spans="1:11">
      <c r="A10" s="397"/>
      <c r="B10" s="45" t="s">
        <v>140</v>
      </c>
      <c r="C10" s="987" t="s">
        <v>792</v>
      </c>
      <c r="D10" s="988"/>
      <c r="E10" s="988"/>
      <c r="F10" s="988"/>
      <c r="G10" s="989"/>
    </row>
    <row r="11" spans="1:11">
      <c r="A11" s="397"/>
      <c r="B11" s="45" t="s">
        <v>142</v>
      </c>
      <c r="C11" s="928" t="s">
        <v>793</v>
      </c>
      <c r="D11" s="1000"/>
      <c r="E11" s="1000"/>
      <c r="F11" s="1000"/>
      <c r="G11" s="1000"/>
    </row>
    <row r="12" spans="1:11">
      <c r="A12" s="397"/>
      <c r="B12" s="45"/>
      <c r="C12" s="45"/>
      <c r="D12" s="45"/>
      <c r="E12" s="45"/>
      <c r="F12" s="45"/>
      <c r="G12" s="45"/>
    </row>
    <row r="13" spans="1:11">
      <c r="A13" s="397"/>
      <c r="B13" s="840"/>
      <c r="C13" s="841"/>
      <c r="D13" s="841"/>
      <c r="E13" s="841"/>
      <c r="F13" s="841"/>
      <c r="G13" s="841"/>
      <c r="H13" s="842"/>
      <c r="I13" s="398"/>
    </row>
    <row r="14" spans="1:11">
      <c r="A14" s="397"/>
      <c r="B14" s="46"/>
    </row>
    <row r="15" spans="1:11">
      <c r="A15" s="397"/>
      <c r="B15" s="46"/>
    </row>
    <row r="16" spans="1:11" ht="39">
      <c r="A16" s="42" t="s">
        <v>144</v>
      </c>
      <c r="B16" s="398"/>
      <c r="C16" s="398"/>
      <c r="D16" s="398"/>
      <c r="E16" s="398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>
      <c r="A17" s="48" t="s">
        <v>151</v>
      </c>
      <c r="B17" s="43" t="s">
        <v>152</v>
      </c>
    </row>
    <row r="18" spans="1:11">
      <c r="A18" s="45" t="s">
        <v>259</v>
      </c>
      <c r="B18" s="49" t="s">
        <v>153</v>
      </c>
      <c r="F18" s="400" t="s">
        <v>122</v>
      </c>
      <c r="G18" s="400" t="s">
        <v>122</v>
      </c>
      <c r="H18" s="401">
        <v>3071935</v>
      </c>
      <c r="I18" s="402" t="s">
        <v>122</v>
      </c>
      <c r="J18" s="401">
        <v>2626888</v>
      </c>
      <c r="K18" s="403">
        <v>445047</v>
      </c>
    </row>
    <row r="19" spans="1:11" ht="39">
      <c r="A19" s="42" t="s">
        <v>154</v>
      </c>
      <c r="B19" s="398"/>
      <c r="C19" s="398"/>
      <c r="D19" s="398"/>
      <c r="E19" s="398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>
      <c r="A20" s="48" t="s">
        <v>260</v>
      </c>
      <c r="B20" s="43" t="s">
        <v>155</v>
      </c>
    </row>
    <row r="21" spans="1:11">
      <c r="A21" s="45" t="s">
        <v>164</v>
      </c>
      <c r="B21" s="49" t="s">
        <v>156</v>
      </c>
      <c r="F21" s="404">
        <v>54.5</v>
      </c>
      <c r="G21" s="404">
        <v>3750</v>
      </c>
      <c r="H21" s="401">
        <v>2436.6144000000004</v>
      </c>
      <c r="I21" s="405">
        <v>760.22369280000009</v>
      </c>
      <c r="J21" s="401">
        <v>0</v>
      </c>
      <c r="K21" s="403">
        <v>3196.8380928000006</v>
      </c>
    </row>
    <row r="22" spans="1:11">
      <c r="A22" s="45" t="s">
        <v>261</v>
      </c>
      <c r="B22" s="38" t="s">
        <v>157</v>
      </c>
      <c r="F22" s="404">
        <v>316</v>
      </c>
      <c r="G22" s="404">
        <v>1518</v>
      </c>
      <c r="H22" s="401">
        <v>12859.082100000001</v>
      </c>
      <c r="I22" s="405">
        <v>4012.0336152000004</v>
      </c>
      <c r="J22" s="401">
        <v>0</v>
      </c>
      <c r="K22" s="403">
        <v>16871.115715200001</v>
      </c>
    </row>
    <row r="23" spans="1:11">
      <c r="A23" s="45" t="s">
        <v>262</v>
      </c>
      <c r="B23" s="38" t="s">
        <v>158</v>
      </c>
      <c r="F23" s="404">
        <v>0</v>
      </c>
      <c r="G23" s="404">
        <v>0</v>
      </c>
      <c r="H23" s="401">
        <v>0</v>
      </c>
      <c r="I23" s="405">
        <v>0</v>
      </c>
      <c r="J23" s="401">
        <v>0</v>
      </c>
      <c r="K23" s="403">
        <v>0</v>
      </c>
    </row>
    <row r="24" spans="1:11">
      <c r="A24" s="45" t="s">
        <v>263</v>
      </c>
      <c r="B24" s="38" t="s">
        <v>159</v>
      </c>
      <c r="F24" s="404">
        <v>0</v>
      </c>
      <c r="G24" s="404">
        <v>0</v>
      </c>
      <c r="H24" s="401">
        <v>0</v>
      </c>
      <c r="I24" s="405">
        <v>0</v>
      </c>
      <c r="J24" s="401">
        <v>0</v>
      </c>
      <c r="K24" s="403">
        <v>0</v>
      </c>
    </row>
    <row r="25" spans="1:11">
      <c r="A25" s="45" t="s">
        <v>264</v>
      </c>
      <c r="B25" s="38" t="s">
        <v>160</v>
      </c>
      <c r="F25" s="404">
        <v>0</v>
      </c>
      <c r="G25" s="404">
        <v>0</v>
      </c>
      <c r="H25" s="401">
        <v>0</v>
      </c>
      <c r="I25" s="405">
        <v>0</v>
      </c>
      <c r="J25" s="401">
        <v>0</v>
      </c>
      <c r="K25" s="403">
        <v>0</v>
      </c>
    </row>
    <row r="26" spans="1:11">
      <c r="A26" s="45" t="s">
        <v>265</v>
      </c>
      <c r="B26" s="38" t="s">
        <v>161</v>
      </c>
      <c r="F26" s="404">
        <v>58.5</v>
      </c>
      <c r="G26" s="404">
        <v>807</v>
      </c>
      <c r="H26" s="401">
        <v>16128.927750000001</v>
      </c>
      <c r="I26" s="405">
        <v>5032.2254579999999</v>
      </c>
      <c r="J26" s="401">
        <v>0</v>
      </c>
      <c r="K26" s="403">
        <v>21161.153208</v>
      </c>
    </row>
    <row r="27" spans="1:11">
      <c r="A27" s="45" t="s">
        <v>266</v>
      </c>
      <c r="B27" s="38" t="s">
        <v>162</v>
      </c>
      <c r="F27" s="404">
        <v>0</v>
      </c>
      <c r="G27" s="404">
        <v>0</v>
      </c>
      <c r="H27" s="401">
        <v>0</v>
      </c>
      <c r="I27" s="405">
        <v>0</v>
      </c>
      <c r="J27" s="401">
        <v>0</v>
      </c>
      <c r="K27" s="403">
        <v>0</v>
      </c>
    </row>
    <row r="28" spans="1:11">
      <c r="A28" s="45" t="s">
        <v>267</v>
      </c>
      <c r="B28" s="38" t="s">
        <v>163</v>
      </c>
      <c r="F28" s="404">
        <v>0</v>
      </c>
      <c r="G28" s="404">
        <v>0</v>
      </c>
      <c r="H28" s="401">
        <v>0</v>
      </c>
      <c r="I28" s="405">
        <v>0</v>
      </c>
      <c r="J28" s="401">
        <v>0</v>
      </c>
      <c r="K28" s="403">
        <v>0</v>
      </c>
    </row>
    <row r="29" spans="1:11">
      <c r="A29" s="45" t="s">
        <v>268</v>
      </c>
      <c r="B29" s="38" t="s">
        <v>165</v>
      </c>
      <c r="F29" s="404">
        <v>0</v>
      </c>
      <c r="G29" s="404">
        <v>0</v>
      </c>
      <c r="H29" s="401">
        <v>0</v>
      </c>
      <c r="I29" s="405">
        <v>0</v>
      </c>
      <c r="J29" s="401">
        <v>0</v>
      </c>
      <c r="K29" s="403">
        <v>0</v>
      </c>
    </row>
    <row r="30" spans="1:11">
      <c r="A30" s="45" t="s">
        <v>269</v>
      </c>
      <c r="B30" s="38" t="s">
        <v>794</v>
      </c>
      <c r="F30" s="404">
        <v>0</v>
      </c>
      <c r="G30" s="404">
        <v>400</v>
      </c>
      <c r="H30" s="401">
        <v>300</v>
      </c>
      <c r="I30" s="405">
        <v>93.6</v>
      </c>
      <c r="J30" s="401">
        <v>0</v>
      </c>
      <c r="K30" s="403">
        <v>393.6</v>
      </c>
    </row>
    <row r="31" spans="1:11">
      <c r="A31" s="45" t="s">
        <v>270</v>
      </c>
      <c r="B31" s="38" t="s">
        <v>617</v>
      </c>
      <c r="F31" s="404">
        <v>5</v>
      </c>
      <c r="G31" s="404">
        <v>830</v>
      </c>
      <c r="H31" s="401">
        <v>220.61399999999998</v>
      </c>
      <c r="I31" s="405">
        <v>68.83156799999999</v>
      </c>
      <c r="J31" s="401">
        <v>0</v>
      </c>
      <c r="K31" s="403">
        <v>289.44556799999998</v>
      </c>
    </row>
    <row r="32" spans="1:11">
      <c r="A32" s="45" t="s">
        <v>271</v>
      </c>
      <c r="B32" s="38" t="s">
        <v>795</v>
      </c>
      <c r="F32" s="404">
        <v>0</v>
      </c>
      <c r="G32" s="404">
        <v>0</v>
      </c>
      <c r="H32" s="401">
        <v>0</v>
      </c>
      <c r="I32" s="405">
        <v>0</v>
      </c>
      <c r="J32" s="401">
        <v>0</v>
      </c>
      <c r="K32" s="403">
        <v>0</v>
      </c>
    </row>
    <row r="33" spans="1:11">
      <c r="A33" s="45" t="s">
        <v>273</v>
      </c>
      <c r="F33" s="404">
        <v>0</v>
      </c>
      <c r="G33" s="404">
        <v>0</v>
      </c>
      <c r="H33" s="401">
        <v>0</v>
      </c>
      <c r="I33" s="405">
        <v>0</v>
      </c>
      <c r="J33" s="401">
        <v>0</v>
      </c>
      <c r="K33" s="403">
        <v>0</v>
      </c>
    </row>
    <row r="34" spans="1:11">
      <c r="A34" s="45" t="s">
        <v>274</v>
      </c>
      <c r="F34" s="404">
        <v>0</v>
      </c>
      <c r="G34" s="404">
        <v>0</v>
      </c>
      <c r="H34" s="401">
        <v>0</v>
      </c>
      <c r="I34" s="405">
        <v>0</v>
      </c>
      <c r="J34" s="401">
        <v>0</v>
      </c>
      <c r="K34" s="403">
        <v>0</v>
      </c>
    </row>
    <row r="35" spans="1:11">
      <c r="A35" s="397"/>
      <c r="K35" s="406"/>
    </row>
    <row r="36" spans="1:11">
      <c r="A36" s="48" t="s">
        <v>275</v>
      </c>
      <c r="B36" s="43" t="s">
        <v>166</v>
      </c>
      <c r="E36" s="43" t="s">
        <v>276</v>
      </c>
      <c r="F36" s="404">
        <f t="shared" ref="F36:K36" si="0">SUM(F21:F34)</f>
        <v>434</v>
      </c>
      <c r="G36" s="404">
        <f t="shared" si="0"/>
        <v>7305</v>
      </c>
      <c r="H36" s="401">
        <f t="shared" si="0"/>
        <v>31945.238250000002</v>
      </c>
      <c r="I36" s="405">
        <f t="shared" si="0"/>
        <v>9966.914334000001</v>
      </c>
      <c r="J36" s="401">
        <f t="shared" si="0"/>
        <v>0</v>
      </c>
      <c r="K36" s="403">
        <f t="shared" si="0"/>
        <v>41912.152584000003</v>
      </c>
    </row>
    <row r="37" spans="1:11" ht="15.75" thickBot="1">
      <c r="A37" s="397"/>
      <c r="B37" s="43"/>
      <c r="F37" s="407"/>
      <c r="G37" s="407"/>
      <c r="H37" s="408"/>
      <c r="I37" s="408"/>
      <c r="J37" s="408"/>
      <c r="K37" s="409"/>
    </row>
    <row r="38" spans="1:11" ht="39">
      <c r="A38" s="397"/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>
      <c r="A39" s="48" t="s">
        <v>167</v>
      </c>
      <c r="B39" s="43" t="s">
        <v>168</v>
      </c>
    </row>
    <row r="40" spans="1:11">
      <c r="A40" s="45" t="s">
        <v>277</v>
      </c>
      <c r="B40" s="38" t="s">
        <v>170</v>
      </c>
      <c r="F40" s="404">
        <v>51983</v>
      </c>
      <c r="G40" s="404">
        <v>0</v>
      </c>
      <c r="H40" s="401">
        <v>3697995.34</v>
      </c>
      <c r="I40" s="405">
        <v>1153774.54608</v>
      </c>
      <c r="J40" s="401">
        <v>0</v>
      </c>
      <c r="K40" s="403">
        <v>4851769.8860799996</v>
      </c>
    </row>
    <row r="41" spans="1:11">
      <c r="A41" s="45" t="s">
        <v>278</v>
      </c>
      <c r="B41" s="818" t="s">
        <v>172</v>
      </c>
      <c r="C41" s="999"/>
      <c r="F41" s="404">
        <v>16101</v>
      </c>
      <c r="G41" s="404">
        <v>300</v>
      </c>
      <c r="H41" s="401">
        <v>844516.93351730786</v>
      </c>
      <c r="I41" s="405">
        <v>263489.28325740003</v>
      </c>
      <c r="J41" s="401">
        <v>0</v>
      </c>
      <c r="K41" s="403">
        <v>1108006.2167747079</v>
      </c>
    </row>
    <row r="42" spans="1:11">
      <c r="A42" s="45" t="s">
        <v>279</v>
      </c>
      <c r="B42" s="49" t="s">
        <v>174</v>
      </c>
      <c r="F42" s="404">
        <v>23231</v>
      </c>
      <c r="G42" s="404">
        <v>565</v>
      </c>
      <c r="H42" s="401">
        <v>1178516.8577253411</v>
      </c>
      <c r="I42" s="405">
        <v>367697.25961030641</v>
      </c>
      <c r="J42" s="401">
        <v>0</v>
      </c>
      <c r="K42" s="403">
        <v>1546214.1173356476</v>
      </c>
    </row>
    <row r="43" spans="1:11">
      <c r="A43" s="45" t="s">
        <v>280</v>
      </c>
      <c r="B43" s="49" t="s">
        <v>176</v>
      </c>
      <c r="F43" s="404">
        <v>0</v>
      </c>
      <c r="G43" s="404">
        <v>0</v>
      </c>
      <c r="H43" s="401">
        <v>0</v>
      </c>
      <c r="I43" s="405">
        <v>0</v>
      </c>
      <c r="J43" s="401">
        <v>0</v>
      </c>
      <c r="K43" s="403">
        <v>0</v>
      </c>
    </row>
    <row r="44" spans="1:11">
      <c r="A44" s="45" t="s">
        <v>281</v>
      </c>
      <c r="B44" s="817" t="s">
        <v>796</v>
      </c>
      <c r="C44" s="864"/>
      <c r="D44" s="865"/>
      <c r="F44" s="404">
        <v>5181.1000000000004</v>
      </c>
      <c r="G44" s="404">
        <v>19</v>
      </c>
      <c r="H44" s="401">
        <v>257927.37708000001</v>
      </c>
      <c r="I44" s="405">
        <v>80473.341648960006</v>
      </c>
      <c r="J44" s="401">
        <v>0</v>
      </c>
      <c r="K44" s="403">
        <v>338400.71872896003</v>
      </c>
    </row>
    <row r="45" spans="1:11">
      <c r="A45" s="45" t="s">
        <v>283</v>
      </c>
      <c r="B45" s="814"/>
      <c r="C45" s="815"/>
      <c r="D45" s="816"/>
      <c r="F45" s="404">
        <v>0</v>
      </c>
      <c r="G45" s="404">
        <v>0</v>
      </c>
      <c r="H45" s="401">
        <v>0</v>
      </c>
      <c r="I45" s="405">
        <v>0</v>
      </c>
      <c r="J45" s="401">
        <v>0</v>
      </c>
      <c r="K45" s="403">
        <v>0</v>
      </c>
    </row>
    <row r="46" spans="1:11">
      <c r="A46" s="45" t="s">
        <v>284</v>
      </c>
      <c r="B46" s="814"/>
      <c r="C46" s="815"/>
      <c r="D46" s="816"/>
      <c r="F46" s="404">
        <v>0</v>
      </c>
      <c r="G46" s="404">
        <v>0</v>
      </c>
      <c r="H46" s="401">
        <v>0</v>
      </c>
      <c r="I46" s="405">
        <v>0</v>
      </c>
      <c r="J46" s="401">
        <v>0</v>
      </c>
      <c r="K46" s="403">
        <v>0</v>
      </c>
    </row>
    <row r="47" spans="1:11">
      <c r="A47" s="45" t="s">
        <v>285</v>
      </c>
      <c r="B47" s="814"/>
      <c r="C47" s="815"/>
      <c r="D47" s="816"/>
      <c r="F47" s="404">
        <v>0</v>
      </c>
      <c r="G47" s="404">
        <v>0</v>
      </c>
      <c r="H47" s="401">
        <v>0</v>
      </c>
      <c r="I47" s="405">
        <v>0</v>
      </c>
      <c r="J47" s="401">
        <v>0</v>
      </c>
      <c r="K47" s="403">
        <v>0</v>
      </c>
    </row>
    <row r="48" spans="1:11">
      <c r="A48" s="397"/>
    </row>
    <row r="49" spans="1:11">
      <c r="A49" s="48" t="s">
        <v>286</v>
      </c>
      <c r="B49" s="43" t="s">
        <v>177</v>
      </c>
      <c r="E49" s="43" t="s">
        <v>276</v>
      </c>
      <c r="F49" s="404">
        <f t="shared" ref="F49:K49" si="1">SUM(F40:F47)</f>
        <v>96496.1</v>
      </c>
      <c r="G49" s="404">
        <f t="shared" si="1"/>
        <v>884</v>
      </c>
      <c r="H49" s="401">
        <f t="shared" si="1"/>
        <v>5978956.5083226487</v>
      </c>
      <c r="I49" s="405">
        <f t="shared" si="1"/>
        <v>1865434.4305966664</v>
      </c>
      <c r="J49" s="401">
        <f t="shared" si="1"/>
        <v>0</v>
      </c>
      <c r="K49" s="403">
        <f t="shared" si="1"/>
        <v>7844390.9389193151</v>
      </c>
    </row>
    <row r="50" spans="1:11" ht="15.75" thickBot="1">
      <c r="A50" s="397"/>
      <c r="G50" s="410"/>
      <c r="H50" s="410"/>
      <c r="I50" s="410"/>
      <c r="J50" s="410"/>
      <c r="K50" s="410"/>
    </row>
    <row r="51" spans="1:11" ht="39">
      <c r="A51" s="397"/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>
      <c r="A52" s="48" t="s">
        <v>178</v>
      </c>
      <c r="B52" s="820" t="s">
        <v>179</v>
      </c>
      <c r="C52" s="1001"/>
    </row>
    <row r="53" spans="1:11">
      <c r="A53" s="45" t="s">
        <v>287</v>
      </c>
      <c r="B53" s="49" t="s">
        <v>797</v>
      </c>
      <c r="F53" s="404">
        <v>445</v>
      </c>
      <c r="G53" s="404">
        <v>1170</v>
      </c>
      <c r="H53" s="401">
        <v>16208.712747473031</v>
      </c>
      <c r="I53" s="405">
        <v>5057.1183772115855</v>
      </c>
      <c r="J53" s="401">
        <v>5000</v>
      </c>
      <c r="K53" s="403">
        <v>16265.831124684617</v>
      </c>
    </row>
    <row r="54" spans="1:11">
      <c r="A54" s="45" t="s">
        <v>289</v>
      </c>
      <c r="B54" s="49" t="s">
        <v>798</v>
      </c>
      <c r="F54" s="404">
        <v>80</v>
      </c>
      <c r="G54" s="404">
        <v>240</v>
      </c>
      <c r="H54" s="401">
        <v>11950.700091324201</v>
      </c>
      <c r="I54" s="405">
        <v>3728.6184284931505</v>
      </c>
      <c r="J54" s="401">
        <v>0</v>
      </c>
      <c r="K54" s="403">
        <v>15679.318519817352</v>
      </c>
    </row>
    <row r="55" spans="1:11">
      <c r="A55" s="45" t="s">
        <v>291</v>
      </c>
      <c r="B55" s="49" t="s">
        <v>799</v>
      </c>
      <c r="F55" s="404">
        <v>0</v>
      </c>
      <c r="G55" s="404">
        <v>0</v>
      </c>
      <c r="H55" s="401">
        <v>5000</v>
      </c>
      <c r="I55" s="405">
        <v>1560</v>
      </c>
      <c r="J55" s="401">
        <v>0</v>
      </c>
      <c r="K55" s="403">
        <v>6560</v>
      </c>
    </row>
    <row r="56" spans="1:11">
      <c r="A56" s="45" t="s">
        <v>293</v>
      </c>
      <c r="B56" s="49" t="s">
        <v>800</v>
      </c>
      <c r="F56" s="404">
        <v>0</v>
      </c>
      <c r="G56" s="404">
        <v>1575</v>
      </c>
      <c r="H56" s="401">
        <v>308242.09439999994</v>
      </c>
      <c r="I56" s="405">
        <v>96171.53345279998</v>
      </c>
      <c r="J56" s="401">
        <v>102975</v>
      </c>
      <c r="K56" s="403">
        <v>301438.62785279995</v>
      </c>
    </row>
    <row r="57" spans="1:11">
      <c r="A57" s="45" t="s">
        <v>295</v>
      </c>
      <c r="B57" s="1002"/>
      <c r="C57" s="1003"/>
      <c r="D57" s="1004"/>
      <c r="F57" s="404">
        <v>0</v>
      </c>
      <c r="G57" s="404">
        <v>0</v>
      </c>
      <c r="H57" s="401">
        <v>0</v>
      </c>
      <c r="I57" s="405">
        <v>0</v>
      </c>
      <c r="J57" s="401">
        <v>0</v>
      </c>
      <c r="K57" s="403">
        <v>0</v>
      </c>
    </row>
    <row r="58" spans="1:11">
      <c r="A58" s="45" t="s">
        <v>298</v>
      </c>
      <c r="B58" s="411"/>
      <c r="C58" s="412"/>
      <c r="D58" s="413"/>
      <c r="F58" s="404">
        <v>0</v>
      </c>
      <c r="G58" s="404">
        <v>0</v>
      </c>
      <c r="H58" s="401">
        <v>0</v>
      </c>
      <c r="I58" s="405">
        <v>0</v>
      </c>
      <c r="J58" s="401">
        <v>0</v>
      </c>
      <c r="K58" s="403">
        <v>0</v>
      </c>
    </row>
    <row r="59" spans="1:11">
      <c r="A59" s="45" t="s">
        <v>300</v>
      </c>
      <c r="B59" s="1002"/>
      <c r="C59" s="1003"/>
      <c r="D59" s="1004"/>
      <c r="F59" s="404">
        <v>0</v>
      </c>
      <c r="G59" s="404">
        <v>0</v>
      </c>
      <c r="H59" s="401">
        <v>0</v>
      </c>
      <c r="I59" s="405">
        <v>0</v>
      </c>
      <c r="J59" s="401">
        <v>0</v>
      </c>
      <c r="K59" s="403">
        <v>0</v>
      </c>
    </row>
    <row r="60" spans="1:11">
      <c r="A60" s="45" t="s">
        <v>302</v>
      </c>
      <c r="B60" s="411"/>
      <c r="C60" s="412"/>
      <c r="D60" s="413"/>
      <c r="F60" s="404">
        <v>0</v>
      </c>
      <c r="G60" s="404">
        <v>0</v>
      </c>
      <c r="H60" s="401">
        <v>0</v>
      </c>
      <c r="I60" s="405">
        <v>0</v>
      </c>
      <c r="J60" s="401">
        <v>0</v>
      </c>
      <c r="K60" s="403">
        <v>0</v>
      </c>
    </row>
    <row r="61" spans="1:11">
      <c r="A61" s="45" t="s">
        <v>303</v>
      </c>
      <c r="B61" s="411"/>
      <c r="C61" s="412"/>
      <c r="D61" s="413"/>
      <c r="F61" s="404">
        <v>0</v>
      </c>
      <c r="G61" s="404">
        <v>0</v>
      </c>
      <c r="H61" s="401">
        <v>0</v>
      </c>
      <c r="I61" s="405">
        <v>0</v>
      </c>
      <c r="J61" s="401">
        <v>0</v>
      </c>
      <c r="K61" s="403">
        <v>0</v>
      </c>
    </row>
    <row r="62" spans="1:11">
      <c r="A62" s="45" t="s">
        <v>304</v>
      </c>
      <c r="B62" s="1002"/>
      <c r="C62" s="1003"/>
      <c r="D62" s="1004"/>
      <c r="F62" s="404">
        <v>0</v>
      </c>
      <c r="G62" s="404">
        <v>0</v>
      </c>
      <c r="H62" s="401">
        <v>0</v>
      </c>
      <c r="I62" s="405">
        <v>0</v>
      </c>
      <c r="J62" s="401">
        <v>0</v>
      </c>
      <c r="K62" s="403">
        <v>0</v>
      </c>
    </row>
    <row r="63" spans="1:11">
      <c r="A63" s="45"/>
      <c r="I63" s="414"/>
    </row>
    <row r="64" spans="1:11">
      <c r="A64" s="45" t="s">
        <v>305</v>
      </c>
      <c r="B64" s="43" t="s">
        <v>184</v>
      </c>
      <c r="E64" s="43" t="s">
        <v>276</v>
      </c>
      <c r="F64" s="404">
        <f t="shared" ref="F64:K64" si="2">SUM(F53:F62)</f>
        <v>525</v>
      </c>
      <c r="G64" s="404">
        <f t="shared" si="2"/>
        <v>2985</v>
      </c>
      <c r="H64" s="401">
        <f t="shared" si="2"/>
        <v>341401.50723879714</v>
      </c>
      <c r="I64" s="405">
        <f t="shared" si="2"/>
        <v>106517.27025850472</v>
      </c>
      <c r="J64" s="401">
        <f t="shared" si="2"/>
        <v>107975</v>
      </c>
      <c r="K64" s="403">
        <f t="shared" si="2"/>
        <v>339943.77749730193</v>
      </c>
    </row>
    <row r="65" spans="1:11">
      <c r="A65" s="397"/>
      <c r="F65" s="415"/>
      <c r="G65" s="415"/>
      <c r="H65" s="415"/>
      <c r="I65" s="415"/>
      <c r="J65" s="415"/>
      <c r="K65" s="415"/>
    </row>
    <row r="66" spans="1:11" ht="39">
      <c r="A66" s="397"/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>
      <c r="A67" s="48" t="s">
        <v>185</v>
      </c>
      <c r="B67" s="43" t="s">
        <v>186</v>
      </c>
      <c r="F67" s="416"/>
      <c r="G67" s="416"/>
      <c r="H67" s="416"/>
      <c r="I67" s="417"/>
      <c r="J67" s="416"/>
      <c r="K67" s="418"/>
    </row>
    <row r="68" spans="1:11">
      <c r="A68" s="45" t="s">
        <v>306</v>
      </c>
      <c r="B68" s="38" t="s">
        <v>188</v>
      </c>
      <c r="F68" s="404">
        <v>0</v>
      </c>
      <c r="G68" s="404">
        <v>0</v>
      </c>
      <c r="H68" s="401">
        <v>385000</v>
      </c>
      <c r="I68" s="405">
        <v>120120</v>
      </c>
      <c r="J68" s="401">
        <v>0</v>
      </c>
      <c r="K68" s="403">
        <v>505120</v>
      </c>
    </row>
    <row r="69" spans="1:11">
      <c r="A69" s="45" t="s">
        <v>307</v>
      </c>
      <c r="B69" s="49" t="s">
        <v>190</v>
      </c>
      <c r="F69" s="404">
        <v>0</v>
      </c>
      <c r="G69" s="404">
        <v>0</v>
      </c>
      <c r="H69" s="401">
        <v>0</v>
      </c>
      <c r="I69" s="405">
        <v>0</v>
      </c>
      <c r="J69" s="401">
        <v>0</v>
      </c>
      <c r="K69" s="403">
        <v>0</v>
      </c>
    </row>
    <row r="70" spans="1:11">
      <c r="A70" s="45" t="s">
        <v>308</v>
      </c>
      <c r="B70" s="411"/>
      <c r="C70" s="412"/>
      <c r="D70" s="413"/>
      <c r="E70" s="43"/>
      <c r="F70" s="404">
        <v>0</v>
      </c>
      <c r="G70" s="404">
        <v>0</v>
      </c>
      <c r="H70" s="401">
        <v>0</v>
      </c>
      <c r="I70" s="405">
        <v>0</v>
      </c>
      <c r="J70" s="401">
        <v>0</v>
      </c>
      <c r="K70" s="403">
        <v>0</v>
      </c>
    </row>
    <row r="71" spans="1:11">
      <c r="A71" s="45" t="s">
        <v>309</v>
      </c>
      <c r="B71" s="411"/>
      <c r="C71" s="412"/>
      <c r="D71" s="413"/>
      <c r="E71" s="43"/>
      <c r="F71" s="404">
        <v>0</v>
      </c>
      <c r="G71" s="404">
        <v>0</v>
      </c>
      <c r="H71" s="401">
        <v>0</v>
      </c>
      <c r="I71" s="405">
        <v>0</v>
      </c>
      <c r="J71" s="401">
        <v>0</v>
      </c>
      <c r="K71" s="403">
        <v>0</v>
      </c>
    </row>
    <row r="72" spans="1:11">
      <c r="A72" s="45" t="s">
        <v>310</v>
      </c>
      <c r="B72" s="419"/>
      <c r="C72" s="420"/>
      <c r="D72" s="421"/>
      <c r="E72" s="43"/>
      <c r="F72" s="404">
        <v>0</v>
      </c>
      <c r="G72" s="404">
        <v>0</v>
      </c>
      <c r="H72" s="401">
        <v>0</v>
      </c>
      <c r="I72" s="405">
        <v>0</v>
      </c>
      <c r="J72" s="401">
        <v>0</v>
      </c>
      <c r="K72" s="403">
        <v>0</v>
      </c>
    </row>
    <row r="73" spans="1:11">
      <c r="A73" s="45"/>
      <c r="B73" s="49"/>
      <c r="E73" s="43"/>
      <c r="F73" s="422"/>
      <c r="G73" s="422"/>
      <c r="H73" s="423"/>
      <c r="I73" s="417"/>
      <c r="J73" s="423"/>
      <c r="K73" s="418"/>
    </row>
    <row r="74" spans="1:11">
      <c r="A74" s="48" t="s">
        <v>311</v>
      </c>
      <c r="B74" s="43" t="s">
        <v>191</v>
      </c>
      <c r="E74" s="43" t="s">
        <v>276</v>
      </c>
      <c r="F74" s="404">
        <f t="shared" ref="F74:K74" si="3">SUM(F68:F72)</f>
        <v>0</v>
      </c>
      <c r="G74" s="404">
        <f t="shared" si="3"/>
        <v>0</v>
      </c>
      <c r="H74" s="401">
        <f t="shared" si="3"/>
        <v>385000</v>
      </c>
      <c r="I74" s="405">
        <f t="shared" si="3"/>
        <v>120120</v>
      </c>
      <c r="J74" s="401">
        <f t="shared" si="3"/>
        <v>0</v>
      </c>
      <c r="K74" s="403">
        <f t="shared" si="3"/>
        <v>505120</v>
      </c>
    </row>
    <row r="75" spans="1:11" ht="39">
      <c r="A75" s="397"/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>
      <c r="A76" s="48" t="s">
        <v>192</v>
      </c>
      <c r="B76" s="43" t="s">
        <v>193</v>
      </c>
    </row>
    <row r="77" spans="1:11">
      <c r="A77" s="45" t="s">
        <v>312</v>
      </c>
      <c r="B77" s="49" t="s">
        <v>195</v>
      </c>
      <c r="F77" s="404">
        <v>0</v>
      </c>
      <c r="G77" s="404">
        <v>0</v>
      </c>
      <c r="H77" s="401">
        <v>18325</v>
      </c>
      <c r="I77" s="405">
        <v>5717.4</v>
      </c>
      <c r="J77" s="401">
        <v>0</v>
      </c>
      <c r="K77" s="403">
        <v>24042.400000000001</v>
      </c>
    </row>
    <row r="78" spans="1:11">
      <c r="A78" s="45" t="s">
        <v>313</v>
      </c>
      <c r="B78" s="49" t="s">
        <v>197</v>
      </c>
      <c r="F78" s="404">
        <v>0</v>
      </c>
      <c r="G78" s="404">
        <v>0</v>
      </c>
      <c r="H78" s="401">
        <v>0</v>
      </c>
      <c r="I78" s="405">
        <v>0</v>
      </c>
      <c r="J78" s="401">
        <v>0</v>
      </c>
      <c r="K78" s="403">
        <v>0</v>
      </c>
    </row>
    <row r="79" spans="1:11">
      <c r="A79" s="45" t="s">
        <v>314</v>
      </c>
      <c r="B79" s="49" t="s">
        <v>199</v>
      </c>
      <c r="F79" s="404">
        <v>0</v>
      </c>
      <c r="G79" s="404">
        <v>0</v>
      </c>
      <c r="H79" s="401">
        <v>68950</v>
      </c>
      <c r="I79" s="405">
        <v>21512.400000000001</v>
      </c>
      <c r="J79" s="401">
        <v>0</v>
      </c>
      <c r="K79" s="403">
        <v>90462.399999999994</v>
      </c>
    </row>
    <row r="80" spans="1:11">
      <c r="A80" s="45" t="s">
        <v>315</v>
      </c>
      <c r="B80" s="49" t="s">
        <v>316</v>
      </c>
      <c r="F80" s="404">
        <v>0</v>
      </c>
      <c r="G80" s="404">
        <v>0</v>
      </c>
      <c r="H80" s="401">
        <v>0</v>
      </c>
      <c r="I80" s="405">
        <v>0</v>
      </c>
      <c r="J80" s="401">
        <v>0</v>
      </c>
      <c r="K80" s="403">
        <v>0</v>
      </c>
    </row>
    <row r="81" spans="1:11">
      <c r="A81" s="45"/>
      <c r="K81" s="424"/>
    </row>
    <row r="82" spans="1:11">
      <c r="A82" s="45" t="s">
        <v>317</v>
      </c>
      <c r="B82" s="43" t="s">
        <v>318</v>
      </c>
      <c r="E82" s="43" t="s">
        <v>276</v>
      </c>
      <c r="F82" s="404">
        <f t="shared" ref="F82:K82" si="4">SUM(F77:F80)</f>
        <v>0</v>
      </c>
      <c r="G82" s="404">
        <f t="shared" si="4"/>
        <v>0</v>
      </c>
      <c r="H82" s="401">
        <f t="shared" si="4"/>
        <v>87275</v>
      </c>
      <c r="I82" s="405">
        <f t="shared" si="4"/>
        <v>27229.800000000003</v>
      </c>
      <c r="J82" s="401">
        <f t="shared" si="4"/>
        <v>0</v>
      </c>
      <c r="K82" s="403">
        <f t="shared" si="4"/>
        <v>114504.79999999999</v>
      </c>
    </row>
    <row r="83" spans="1:11" ht="15.75" thickBot="1">
      <c r="A83" s="45"/>
      <c r="F83" s="410"/>
      <c r="G83" s="410"/>
      <c r="H83" s="410"/>
      <c r="I83" s="410"/>
      <c r="J83" s="410"/>
      <c r="K83" s="410"/>
    </row>
    <row r="84" spans="1:11" ht="39">
      <c r="A84" s="397"/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>
      <c r="A85" s="48" t="s">
        <v>201</v>
      </c>
      <c r="B85" s="43" t="s">
        <v>202</v>
      </c>
    </row>
    <row r="86" spans="1:11">
      <c r="A86" s="45" t="s">
        <v>319</v>
      </c>
      <c r="B86" s="49" t="s">
        <v>204</v>
      </c>
      <c r="F86" s="404">
        <v>0</v>
      </c>
      <c r="G86" s="404">
        <v>0</v>
      </c>
      <c r="H86" s="401">
        <v>0</v>
      </c>
      <c r="I86" s="405">
        <v>0</v>
      </c>
      <c r="J86" s="401">
        <v>0</v>
      </c>
      <c r="K86" s="403">
        <v>0</v>
      </c>
    </row>
    <row r="87" spans="1:11">
      <c r="A87" s="45" t="s">
        <v>320</v>
      </c>
      <c r="B87" s="49" t="s">
        <v>206</v>
      </c>
      <c r="F87" s="404">
        <v>52.5</v>
      </c>
      <c r="G87" s="404">
        <v>550</v>
      </c>
      <c r="H87" s="401">
        <v>4377.05</v>
      </c>
      <c r="I87" s="405">
        <v>1365.6396</v>
      </c>
      <c r="J87" s="401">
        <v>0</v>
      </c>
      <c r="K87" s="403">
        <v>5742.6895999999997</v>
      </c>
    </row>
    <row r="88" spans="1:11">
      <c r="A88" s="45" t="s">
        <v>321</v>
      </c>
      <c r="B88" s="49" t="s">
        <v>208</v>
      </c>
      <c r="F88" s="404">
        <v>0</v>
      </c>
      <c r="G88" s="404">
        <v>0</v>
      </c>
      <c r="H88" s="401">
        <v>0</v>
      </c>
      <c r="I88" s="405">
        <v>0</v>
      </c>
      <c r="J88" s="401">
        <v>0</v>
      </c>
      <c r="K88" s="403">
        <v>0</v>
      </c>
    </row>
    <row r="89" spans="1:11">
      <c r="A89" s="45" t="s">
        <v>322</v>
      </c>
      <c r="B89" s="49" t="s">
        <v>210</v>
      </c>
      <c r="F89" s="404">
        <v>0</v>
      </c>
      <c r="G89" s="404">
        <v>0</v>
      </c>
      <c r="H89" s="401">
        <v>0</v>
      </c>
      <c r="I89" s="405">
        <v>0</v>
      </c>
      <c r="J89" s="401">
        <v>0</v>
      </c>
      <c r="K89" s="403">
        <v>0</v>
      </c>
    </row>
    <row r="90" spans="1:11">
      <c r="A90" s="45" t="s">
        <v>323</v>
      </c>
      <c r="B90" s="818" t="s">
        <v>212</v>
      </c>
      <c r="C90" s="999"/>
      <c r="F90" s="404">
        <v>0</v>
      </c>
      <c r="G90" s="404">
        <v>0</v>
      </c>
      <c r="H90" s="401">
        <v>0</v>
      </c>
      <c r="I90" s="405">
        <v>0</v>
      </c>
      <c r="J90" s="401">
        <v>0</v>
      </c>
      <c r="K90" s="403">
        <v>0</v>
      </c>
    </row>
    <row r="91" spans="1:11">
      <c r="A91" s="45" t="s">
        <v>324</v>
      </c>
      <c r="B91" s="49" t="s">
        <v>214</v>
      </c>
      <c r="F91" s="404">
        <v>12.5</v>
      </c>
      <c r="G91" s="404">
        <v>50</v>
      </c>
      <c r="H91" s="401">
        <v>1042</v>
      </c>
      <c r="I91" s="405">
        <v>325.10399999999998</v>
      </c>
      <c r="J91" s="401">
        <v>0</v>
      </c>
      <c r="K91" s="403">
        <v>1367.104</v>
      </c>
    </row>
    <row r="92" spans="1:11">
      <c r="A92" s="45" t="s">
        <v>325</v>
      </c>
      <c r="B92" s="49" t="s">
        <v>216</v>
      </c>
      <c r="F92" s="404">
        <v>0</v>
      </c>
      <c r="G92" s="404">
        <v>0</v>
      </c>
      <c r="H92" s="401">
        <v>0</v>
      </c>
      <c r="I92" s="405">
        <v>0</v>
      </c>
      <c r="J92" s="401">
        <v>0</v>
      </c>
      <c r="K92" s="403">
        <v>0</v>
      </c>
    </row>
    <row r="93" spans="1:11">
      <c r="A93" s="45" t="s">
        <v>326</v>
      </c>
      <c r="B93" s="49" t="s">
        <v>218</v>
      </c>
      <c r="F93" s="404">
        <v>0</v>
      </c>
      <c r="G93" s="404">
        <v>0</v>
      </c>
      <c r="H93" s="401">
        <v>0</v>
      </c>
      <c r="I93" s="405">
        <v>0</v>
      </c>
      <c r="J93" s="401">
        <v>0</v>
      </c>
      <c r="K93" s="403">
        <v>0</v>
      </c>
    </row>
    <row r="94" spans="1:11">
      <c r="A94" s="45" t="s">
        <v>327</v>
      </c>
      <c r="B94" s="1002"/>
      <c r="C94" s="1003"/>
      <c r="D94" s="1004"/>
      <c r="F94" s="404">
        <v>0</v>
      </c>
      <c r="G94" s="404">
        <v>0</v>
      </c>
      <c r="H94" s="401">
        <v>0</v>
      </c>
      <c r="I94" s="405">
        <v>0</v>
      </c>
      <c r="J94" s="401">
        <v>0</v>
      </c>
      <c r="K94" s="403">
        <v>0</v>
      </c>
    </row>
    <row r="95" spans="1:11">
      <c r="A95" s="45" t="s">
        <v>329</v>
      </c>
      <c r="B95" s="1002"/>
      <c r="C95" s="1003"/>
      <c r="D95" s="1004"/>
      <c r="F95" s="404">
        <v>0</v>
      </c>
      <c r="G95" s="404">
        <v>0</v>
      </c>
      <c r="H95" s="401">
        <v>0</v>
      </c>
      <c r="I95" s="405">
        <v>0</v>
      </c>
      <c r="J95" s="401">
        <v>0</v>
      </c>
      <c r="K95" s="403">
        <v>0</v>
      </c>
    </row>
    <row r="96" spans="1:11">
      <c r="A96" s="45" t="s">
        <v>330</v>
      </c>
      <c r="B96" s="1002"/>
      <c r="C96" s="1003"/>
      <c r="D96" s="1004"/>
      <c r="F96" s="404">
        <v>0</v>
      </c>
      <c r="G96" s="404">
        <v>0</v>
      </c>
      <c r="H96" s="401">
        <v>0</v>
      </c>
      <c r="I96" s="405">
        <v>0</v>
      </c>
      <c r="J96" s="401">
        <v>0</v>
      </c>
      <c r="K96" s="403">
        <v>0</v>
      </c>
    </row>
    <row r="97" spans="1:11">
      <c r="A97" s="45"/>
      <c r="B97" s="49"/>
    </row>
    <row r="98" spans="1:11">
      <c r="A98" s="48" t="s">
        <v>331</v>
      </c>
      <c r="B98" s="43" t="s">
        <v>220</v>
      </c>
      <c r="E98" s="43" t="s">
        <v>276</v>
      </c>
      <c r="F98" s="404">
        <f t="shared" ref="F98:K98" si="5">SUM(F86:F96)</f>
        <v>65</v>
      </c>
      <c r="G98" s="404">
        <f t="shared" si="5"/>
        <v>600</v>
      </c>
      <c r="H98" s="401">
        <f t="shared" si="5"/>
        <v>5419.05</v>
      </c>
      <c r="I98" s="405">
        <f t="shared" si="5"/>
        <v>1690.7436</v>
      </c>
      <c r="J98" s="401">
        <f t="shared" si="5"/>
        <v>0</v>
      </c>
      <c r="K98" s="403">
        <f t="shared" si="5"/>
        <v>7109.7936</v>
      </c>
    </row>
    <row r="99" spans="1:11" ht="15.75" thickBot="1">
      <c r="A99" s="397"/>
      <c r="B99" s="43"/>
      <c r="F99" s="410"/>
      <c r="G99" s="410"/>
      <c r="H99" s="410"/>
      <c r="I99" s="410"/>
      <c r="J99" s="410"/>
      <c r="K99" s="410"/>
    </row>
    <row r="100" spans="1:11" ht="39">
      <c r="A100" s="397"/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>
      <c r="A101" s="48" t="s">
        <v>221</v>
      </c>
      <c r="B101" s="43" t="s">
        <v>222</v>
      </c>
    </row>
    <row r="102" spans="1:11">
      <c r="A102" s="45" t="s">
        <v>332</v>
      </c>
      <c r="B102" s="49" t="s">
        <v>224</v>
      </c>
      <c r="F102" s="404">
        <v>1469</v>
      </c>
      <c r="G102" s="404">
        <v>0</v>
      </c>
      <c r="H102" s="401">
        <v>79695.587399999989</v>
      </c>
      <c r="I102" s="405">
        <v>24865.023268799996</v>
      </c>
      <c r="J102" s="401">
        <v>0</v>
      </c>
      <c r="K102" s="403">
        <v>104560.61066879999</v>
      </c>
    </row>
    <row r="103" spans="1:11">
      <c r="A103" s="45" t="s">
        <v>333</v>
      </c>
      <c r="B103" s="49" t="s">
        <v>801</v>
      </c>
      <c r="F103" s="404">
        <v>255</v>
      </c>
      <c r="G103" s="404">
        <v>0</v>
      </c>
      <c r="H103" s="401">
        <v>10632.23775</v>
      </c>
      <c r="I103" s="405">
        <v>3317.258178</v>
      </c>
      <c r="J103" s="401">
        <v>0</v>
      </c>
      <c r="K103" s="403">
        <v>13949.495928</v>
      </c>
    </row>
    <row r="104" spans="1:11">
      <c r="A104" s="45" t="s">
        <v>334</v>
      </c>
      <c r="B104" s="1002"/>
      <c r="C104" s="1003"/>
      <c r="D104" s="1004"/>
      <c r="F104" s="404">
        <v>0</v>
      </c>
      <c r="G104" s="404">
        <v>0</v>
      </c>
      <c r="H104" s="401">
        <v>0</v>
      </c>
      <c r="I104" s="405">
        <v>0</v>
      </c>
      <c r="J104" s="401">
        <v>0</v>
      </c>
      <c r="K104" s="403">
        <v>0</v>
      </c>
    </row>
    <row r="105" spans="1:11">
      <c r="A105" s="45" t="s">
        <v>336</v>
      </c>
      <c r="B105" s="1002"/>
      <c r="C105" s="1003"/>
      <c r="D105" s="1004"/>
      <c r="F105" s="404">
        <v>0</v>
      </c>
      <c r="G105" s="404">
        <v>0</v>
      </c>
      <c r="H105" s="401">
        <v>0</v>
      </c>
      <c r="I105" s="405">
        <v>0</v>
      </c>
      <c r="J105" s="401">
        <v>0</v>
      </c>
      <c r="K105" s="403">
        <v>0</v>
      </c>
    </row>
    <row r="106" spans="1:11">
      <c r="A106" s="45" t="s">
        <v>337</v>
      </c>
      <c r="B106" s="1002"/>
      <c r="C106" s="1003"/>
      <c r="D106" s="1004"/>
      <c r="F106" s="404">
        <v>0</v>
      </c>
      <c r="G106" s="404">
        <v>0</v>
      </c>
      <c r="H106" s="401">
        <v>0</v>
      </c>
      <c r="I106" s="405">
        <v>0</v>
      </c>
      <c r="J106" s="401">
        <v>0</v>
      </c>
      <c r="K106" s="403">
        <v>0</v>
      </c>
    </row>
    <row r="107" spans="1:11">
      <c r="A107" s="397"/>
      <c r="B107" s="43"/>
    </row>
    <row r="108" spans="1:11">
      <c r="A108" s="48" t="s">
        <v>338</v>
      </c>
      <c r="B108" s="43" t="s">
        <v>229</v>
      </c>
      <c r="E108" s="43" t="s">
        <v>276</v>
      </c>
      <c r="F108" s="404">
        <f t="shared" ref="F108:K108" si="6">SUM(F102:F106)</f>
        <v>1724</v>
      </c>
      <c r="G108" s="404">
        <f t="shared" si="6"/>
        <v>0</v>
      </c>
      <c r="H108" s="401">
        <f t="shared" si="6"/>
        <v>90327.82514999999</v>
      </c>
      <c r="I108" s="405">
        <f t="shared" si="6"/>
        <v>28182.281446799996</v>
      </c>
      <c r="J108" s="401">
        <f t="shared" si="6"/>
        <v>0</v>
      </c>
      <c r="K108" s="403">
        <f t="shared" si="6"/>
        <v>118510.10659679999</v>
      </c>
    </row>
    <row r="109" spans="1:11" ht="15.75" thickBot="1">
      <c r="A109" s="425"/>
      <c r="B109" s="92"/>
      <c r="C109" s="426"/>
      <c r="D109" s="426"/>
      <c r="E109" s="426"/>
      <c r="F109" s="410"/>
      <c r="G109" s="410"/>
      <c r="H109" s="410"/>
      <c r="I109" s="410"/>
      <c r="J109" s="410"/>
      <c r="K109" s="410"/>
    </row>
    <row r="110" spans="1:11">
      <c r="A110" s="48" t="s">
        <v>230</v>
      </c>
      <c r="B110" s="43" t="s">
        <v>231</v>
      </c>
    </row>
    <row r="111" spans="1:11">
      <c r="A111" s="48" t="s">
        <v>339</v>
      </c>
      <c r="B111" s="43" t="s">
        <v>232</v>
      </c>
      <c r="E111" s="43" t="s">
        <v>276</v>
      </c>
      <c r="F111" s="401">
        <v>3248000</v>
      </c>
    </row>
    <row r="112" spans="1:11">
      <c r="A112" s="397"/>
      <c r="B112" s="43"/>
      <c r="E112" s="43"/>
    </row>
    <row r="113" spans="1:7">
      <c r="A113" s="48"/>
      <c r="B113" s="43" t="s">
        <v>233</v>
      </c>
    </row>
    <row r="114" spans="1:7">
      <c r="A114" s="45" t="s">
        <v>340</v>
      </c>
      <c r="B114" s="49" t="s">
        <v>341</v>
      </c>
      <c r="F114" s="427">
        <v>0.312</v>
      </c>
    </row>
    <row r="115" spans="1:7">
      <c r="A115" s="45"/>
      <c r="B115" s="43"/>
    </row>
    <row r="116" spans="1:7">
      <c r="A116" s="45" t="s">
        <v>234</v>
      </c>
      <c r="B116" s="43" t="s">
        <v>235</v>
      </c>
    </row>
    <row r="117" spans="1:7">
      <c r="A117" s="45" t="s">
        <v>342</v>
      </c>
      <c r="B117" s="49" t="s">
        <v>236</v>
      </c>
      <c r="F117" s="401">
        <v>97829334.819999993</v>
      </c>
    </row>
    <row r="118" spans="1:7">
      <c r="A118" s="45" t="s">
        <v>343</v>
      </c>
      <c r="B118" s="38" t="s">
        <v>237</v>
      </c>
      <c r="F118" s="401">
        <v>2515486.87</v>
      </c>
    </row>
    <row r="119" spans="1:7">
      <c r="A119" s="45" t="s">
        <v>344</v>
      </c>
      <c r="B119" s="43" t="s">
        <v>238</v>
      </c>
      <c r="F119" s="428">
        <f>SUM(F117:F118)</f>
        <v>100344821.69</v>
      </c>
    </row>
    <row r="120" spans="1:7">
      <c r="A120" s="45"/>
      <c r="B120" s="43"/>
    </row>
    <row r="121" spans="1:7">
      <c r="A121" s="45" t="s">
        <v>345</v>
      </c>
      <c r="B121" s="43" t="s">
        <v>346</v>
      </c>
      <c r="F121" s="401">
        <v>101635160</v>
      </c>
    </row>
    <row r="122" spans="1:7">
      <c r="A122" s="45"/>
    </row>
    <row r="123" spans="1:7">
      <c r="A123" s="45" t="s">
        <v>347</v>
      </c>
      <c r="B123" s="43" t="s">
        <v>348</v>
      </c>
      <c r="F123" s="401">
        <v>-1290338.31</v>
      </c>
    </row>
    <row r="124" spans="1:7">
      <c r="A124" s="45"/>
    </row>
    <row r="125" spans="1:7">
      <c r="A125" s="45" t="s">
        <v>349</v>
      </c>
      <c r="B125" s="43" t="s">
        <v>350</v>
      </c>
      <c r="F125" s="401">
        <v>905000</v>
      </c>
    </row>
    <row r="126" spans="1:7">
      <c r="A126" s="45"/>
    </row>
    <row r="127" spans="1:7">
      <c r="A127" s="45" t="s">
        <v>351</v>
      </c>
      <c r="B127" s="43" t="s">
        <v>352</v>
      </c>
      <c r="F127" s="401">
        <v>-385338.31</v>
      </c>
      <c r="G127" s="17"/>
    </row>
    <row r="128" spans="1:7">
      <c r="A128" s="45"/>
    </row>
    <row r="129" spans="1:11" ht="39">
      <c r="A129" s="397"/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>
      <c r="A130" s="48" t="s">
        <v>239</v>
      </c>
      <c r="B130" s="43" t="s">
        <v>240</v>
      </c>
    </row>
    <row r="131" spans="1:11">
      <c r="A131" s="45" t="s">
        <v>353</v>
      </c>
      <c r="B131" s="38" t="s">
        <v>242</v>
      </c>
      <c r="F131" s="404">
        <v>0</v>
      </c>
      <c r="G131" s="404">
        <v>0</v>
      </c>
      <c r="H131" s="401">
        <v>0</v>
      </c>
      <c r="I131" s="405">
        <v>0</v>
      </c>
      <c r="J131" s="401">
        <v>0</v>
      </c>
      <c r="K131" s="403">
        <v>0</v>
      </c>
    </row>
    <row r="132" spans="1:11">
      <c r="A132" s="45" t="s">
        <v>354</v>
      </c>
      <c r="B132" s="38" t="s">
        <v>128</v>
      </c>
      <c r="F132" s="404">
        <v>0</v>
      </c>
      <c r="G132" s="404">
        <v>0</v>
      </c>
      <c r="H132" s="401">
        <v>0</v>
      </c>
      <c r="I132" s="405">
        <v>0</v>
      </c>
      <c r="J132" s="401">
        <v>0</v>
      </c>
      <c r="K132" s="403">
        <v>0</v>
      </c>
    </row>
    <row r="133" spans="1:11">
      <c r="A133" s="45" t="s">
        <v>355</v>
      </c>
      <c r="B133" s="814"/>
      <c r="C133" s="815"/>
      <c r="D133" s="816"/>
      <c r="F133" s="404">
        <v>0</v>
      </c>
      <c r="G133" s="404">
        <v>0</v>
      </c>
      <c r="H133" s="401">
        <v>0</v>
      </c>
      <c r="I133" s="405">
        <v>0</v>
      </c>
      <c r="J133" s="401">
        <v>0</v>
      </c>
      <c r="K133" s="403">
        <v>0</v>
      </c>
    </row>
    <row r="134" spans="1:11">
      <c r="A134" s="45" t="s">
        <v>356</v>
      </c>
      <c r="B134" s="814"/>
      <c r="C134" s="815"/>
      <c r="D134" s="816"/>
      <c r="F134" s="404">
        <v>0</v>
      </c>
      <c r="G134" s="404">
        <v>0</v>
      </c>
      <c r="H134" s="401">
        <v>0</v>
      </c>
      <c r="I134" s="405">
        <v>0</v>
      </c>
      <c r="J134" s="401">
        <v>0</v>
      </c>
      <c r="K134" s="403">
        <v>0</v>
      </c>
    </row>
    <row r="135" spans="1:11">
      <c r="A135" s="45" t="s">
        <v>357</v>
      </c>
      <c r="B135" s="814"/>
      <c r="C135" s="815"/>
      <c r="D135" s="816"/>
      <c r="F135" s="404">
        <v>0</v>
      </c>
      <c r="G135" s="404">
        <v>0</v>
      </c>
      <c r="H135" s="401">
        <v>0</v>
      </c>
      <c r="I135" s="405">
        <v>0</v>
      </c>
      <c r="J135" s="401">
        <v>0</v>
      </c>
      <c r="K135" s="403">
        <v>0</v>
      </c>
    </row>
    <row r="136" spans="1:11">
      <c r="A136" s="48"/>
    </row>
    <row r="137" spans="1:11">
      <c r="A137" s="48" t="s">
        <v>358</v>
      </c>
      <c r="B137" s="43" t="s">
        <v>359</v>
      </c>
      <c r="F137" s="404">
        <f t="shared" ref="F137:K137" si="7">SUM(F131:F135)</f>
        <v>0</v>
      </c>
      <c r="G137" s="404">
        <f t="shared" si="7"/>
        <v>0</v>
      </c>
      <c r="H137" s="401">
        <f t="shared" si="7"/>
        <v>0</v>
      </c>
      <c r="I137" s="405">
        <f t="shared" si="7"/>
        <v>0</v>
      </c>
      <c r="J137" s="401">
        <f t="shared" si="7"/>
        <v>0</v>
      </c>
      <c r="K137" s="403">
        <f t="shared" si="7"/>
        <v>0</v>
      </c>
    </row>
    <row r="139" spans="1:11" ht="39">
      <c r="A139" s="397"/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>
      <c r="A140" s="48" t="s">
        <v>244</v>
      </c>
      <c r="B140" s="43" t="s">
        <v>245</v>
      </c>
    </row>
    <row r="141" spans="1:11">
      <c r="A141" s="45" t="s">
        <v>275</v>
      </c>
      <c r="B141" s="43" t="s">
        <v>246</v>
      </c>
      <c r="F141" s="404">
        <f t="shared" ref="F141:K141" si="8">F36</f>
        <v>434</v>
      </c>
      <c r="G141" s="404">
        <f t="shared" si="8"/>
        <v>7305</v>
      </c>
      <c r="H141" s="401">
        <f t="shared" si="8"/>
        <v>31945.238250000002</v>
      </c>
      <c r="I141" s="405">
        <f t="shared" si="8"/>
        <v>9966.914334000001</v>
      </c>
      <c r="J141" s="401">
        <f t="shared" si="8"/>
        <v>0</v>
      </c>
      <c r="K141" s="403">
        <f t="shared" si="8"/>
        <v>41912.152584000003</v>
      </c>
    </row>
    <row r="142" spans="1:11">
      <c r="A142" s="45" t="s">
        <v>286</v>
      </c>
      <c r="B142" s="43" t="s">
        <v>125</v>
      </c>
      <c r="F142" s="404">
        <f t="shared" ref="F142:K142" si="9">F49</f>
        <v>96496.1</v>
      </c>
      <c r="G142" s="404">
        <f t="shared" si="9"/>
        <v>884</v>
      </c>
      <c r="H142" s="401">
        <f t="shared" si="9"/>
        <v>5978956.5083226487</v>
      </c>
      <c r="I142" s="405">
        <f t="shared" si="9"/>
        <v>1865434.4305966664</v>
      </c>
      <c r="J142" s="401">
        <f t="shared" si="9"/>
        <v>0</v>
      </c>
      <c r="K142" s="403">
        <f t="shared" si="9"/>
        <v>7844390.9389193151</v>
      </c>
    </row>
    <row r="143" spans="1:11">
      <c r="A143" s="45" t="s">
        <v>305</v>
      </c>
      <c r="B143" s="43" t="s">
        <v>247</v>
      </c>
      <c r="F143" s="404">
        <f t="shared" ref="F143:K143" si="10">F64</f>
        <v>525</v>
      </c>
      <c r="G143" s="404">
        <f t="shared" si="10"/>
        <v>2985</v>
      </c>
      <c r="H143" s="401">
        <f t="shared" si="10"/>
        <v>341401.50723879714</v>
      </c>
      <c r="I143" s="405">
        <f t="shared" si="10"/>
        <v>106517.27025850472</v>
      </c>
      <c r="J143" s="401">
        <f t="shared" si="10"/>
        <v>107975</v>
      </c>
      <c r="K143" s="403">
        <f t="shared" si="10"/>
        <v>339943.77749730193</v>
      </c>
    </row>
    <row r="144" spans="1:11">
      <c r="A144" s="45" t="s">
        <v>311</v>
      </c>
      <c r="B144" s="43" t="s">
        <v>127</v>
      </c>
      <c r="F144" s="404">
        <f t="shared" ref="F144:K144" si="11">F74</f>
        <v>0</v>
      </c>
      <c r="G144" s="404">
        <f t="shared" si="11"/>
        <v>0</v>
      </c>
      <c r="H144" s="401">
        <f t="shared" si="11"/>
        <v>385000</v>
      </c>
      <c r="I144" s="405">
        <f t="shared" si="11"/>
        <v>120120</v>
      </c>
      <c r="J144" s="401">
        <f t="shared" si="11"/>
        <v>0</v>
      </c>
      <c r="K144" s="403">
        <f t="shared" si="11"/>
        <v>505120</v>
      </c>
    </row>
    <row r="145" spans="1:11">
      <c r="A145" s="45" t="s">
        <v>317</v>
      </c>
      <c r="B145" s="43" t="s">
        <v>248</v>
      </c>
      <c r="F145" s="404">
        <f t="shared" ref="F145:K145" si="12">F82</f>
        <v>0</v>
      </c>
      <c r="G145" s="404">
        <f t="shared" si="12"/>
        <v>0</v>
      </c>
      <c r="H145" s="401">
        <f t="shared" si="12"/>
        <v>87275</v>
      </c>
      <c r="I145" s="405">
        <f t="shared" si="12"/>
        <v>27229.800000000003</v>
      </c>
      <c r="J145" s="401">
        <f t="shared" si="12"/>
        <v>0</v>
      </c>
      <c r="K145" s="403">
        <f t="shared" si="12"/>
        <v>114504.79999999999</v>
      </c>
    </row>
    <row r="146" spans="1:11">
      <c r="A146" s="45" t="s">
        <v>331</v>
      </c>
      <c r="B146" s="43" t="s">
        <v>249</v>
      </c>
      <c r="F146" s="404">
        <f t="shared" ref="F146:K146" si="13">F98</f>
        <v>65</v>
      </c>
      <c r="G146" s="404">
        <f t="shared" si="13"/>
        <v>600</v>
      </c>
      <c r="H146" s="401">
        <f t="shared" si="13"/>
        <v>5419.05</v>
      </c>
      <c r="I146" s="405">
        <f t="shared" si="13"/>
        <v>1690.7436</v>
      </c>
      <c r="J146" s="401">
        <f t="shared" si="13"/>
        <v>0</v>
      </c>
      <c r="K146" s="403">
        <f t="shared" si="13"/>
        <v>7109.7936</v>
      </c>
    </row>
    <row r="147" spans="1:11">
      <c r="A147" s="45" t="s">
        <v>338</v>
      </c>
      <c r="B147" s="43" t="s">
        <v>129</v>
      </c>
      <c r="F147" s="404">
        <f t="shared" ref="F147:K147" si="14">F108</f>
        <v>1724</v>
      </c>
      <c r="G147" s="404">
        <f t="shared" si="14"/>
        <v>0</v>
      </c>
      <c r="H147" s="401">
        <f t="shared" si="14"/>
        <v>90327.82514999999</v>
      </c>
      <c r="I147" s="405">
        <f t="shared" si="14"/>
        <v>28182.281446799996</v>
      </c>
      <c r="J147" s="401">
        <f t="shared" si="14"/>
        <v>0</v>
      </c>
      <c r="K147" s="403">
        <f t="shared" si="14"/>
        <v>118510.10659679999</v>
      </c>
    </row>
    <row r="148" spans="1:11">
      <c r="A148" s="45" t="s">
        <v>339</v>
      </c>
      <c r="B148" s="43" t="s">
        <v>131</v>
      </c>
      <c r="F148" s="429" t="s">
        <v>122</v>
      </c>
      <c r="G148" s="429" t="s">
        <v>122</v>
      </c>
      <c r="H148" s="430" t="s">
        <v>122</v>
      </c>
      <c r="I148" s="430" t="s">
        <v>122</v>
      </c>
      <c r="J148" s="430" t="s">
        <v>122</v>
      </c>
      <c r="K148" s="431">
        <f>F111</f>
        <v>3248000</v>
      </c>
    </row>
    <row r="149" spans="1:11">
      <c r="A149" s="45" t="s">
        <v>358</v>
      </c>
      <c r="B149" s="43" t="s">
        <v>250</v>
      </c>
      <c r="F149" s="404">
        <f t="shared" ref="F149:K149" si="15">F137</f>
        <v>0</v>
      </c>
      <c r="G149" s="404">
        <f t="shared" si="15"/>
        <v>0</v>
      </c>
      <c r="H149" s="401">
        <f t="shared" si="15"/>
        <v>0</v>
      </c>
      <c r="I149" s="405">
        <f t="shared" si="15"/>
        <v>0</v>
      </c>
      <c r="J149" s="401">
        <f t="shared" si="15"/>
        <v>0</v>
      </c>
      <c r="K149" s="403">
        <f t="shared" si="15"/>
        <v>0</v>
      </c>
    </row>
    <row r="150" spans="1:11">
      <c r="A150" s="45" t="s">
        <v>259</v>
      </c>
      <c r="B150" s="43" t="s">
        <v>251</v>
      </c>
      <c r="F150" s="429" t="s">
        <v>122</v>
      </c>
      <c r="G150" s="429" t="s">
        <v>122</v>
      </c>
      <c r="H150" s="401">
        <f>H18</f>
        <v>3071935</v>
      </c>
      <c r="I150" s="405" t="str">
        <f>I18</f>
        <v>N/A</v>
      </c>
      <c r="J150" s="401">
        <f>J18</f>
        <v>2626888</v>
      </c>
      <c r="K150" s="403">
        <f>K18</f>
        <v>445047</v>
      </c>
    </row>
    <row r="151" spans="1:11">
      <c r="A151" s="397"/>
      <c r="B151" s="43"/>
      <c r="F151" s="415"/>
      <c r="G151" s="415"/>
      <c r="H151" s="415"/>
      <c r="I151" s="415"/>
      <c r="J151" s="415"/>
      <c r="K151" s="415"/>
    </row>
    <row r="152" spans="1:11">
      <c r="A152" s="48" t="s">
        <v>360</v>
      </c>
      <c r="B152" s="43" t="s">
        <v>245</v>
      </c>
      <c r="F152" s="404">
        <f t="shared" ref="F152:K152" si="16">SUM(F141:F150)</f>
        <v>99244.1</v>
      </c>
      <c r="G152" s="404">
        <f t="shared" si="16"/>
        <v>11774</v>
      </c>
      <c r="H152" s="401">
        <f t="shared" si="16"/>
        <v>9992260.1289614458</v>
      </c>
      <c r="I152" s="405">
        <f t="shared" si="16"/>
        <v>2159141.4402359715</v>
      </c>
      <c r="J152" s="401">
        <f t="shared" si="16"/>
        <v>2734863</v>
      </c>
      <c r="K152" s="403">
        <f t="shared" si="16"/>
        <v>12664538.569197418</v>
      </c>
    </row>
    <row r="153" spans="1:11">
      <c r="A153" s="397"/>
    </row>
    <row r="154" spans="1:11">
      <c r="A154" s="48" t="s">
        <v>361</v>
      </c>
      <c r="B154" s="43" t="s">
        <v>252</v>
      </c>
      <c r="F154" s="432">
        <f>K152/F121</f>
        <v>0.1246078480045431</v>
      </c>
    </row>
    <row r="155" spans="1:11">
      <c r="A155" s="48" t="s">
        <v>362</v>
      </c>
      <c r="B155" s="43" t="s">
        <v>253</v>
      </c>
      <c r="F155" s="432">
        <f>K152/F127</f>
        <v>-32.866025101935541</v>
      </c>
      <c r="G155" s="43"/>
    </row>
    <row r="156" spans="1:11">
      <c r="A156" s="397"/>
      <c r="G156" s="43"/>
    </row>
    <row r="157" spans="1:11">
      <c r="A157" s="397"/>
    </row>
  </sheetData>
  <mergeCells count="27">
    <mergeCell ref="B133:D133"/>
    <mergeCell ref="B134:D134"/>
    <mergeCell ref="B135:D135"/>
    <mergeCell ref="B94:D94"/>
    <mergeCell ref="B95:D95"/>
    <mergeCell ref="B96:D96"/>
    <mergeCell ref="B104:D104"/>
    <mergeCell ref="B105:D105"/>
    <mergeCell ref="B106:D106"/>
    <mergeCell ref="B90:C90"/>
    <mergeCell ref="C11:G11"/>
    <mergeCell ref="B13:H13"/>
    <mergeCell ref="B41:C41"/>
    <mergeCell ref="B44:D44"/>
    <mergeCell ref="B45:D45"/>
    <mergeCell ref="B46:D46"/>
    <mergeCell ref="B47:D47"/>
    <mergeCell ref="B52:C52"/>
    <mergeCell ref="B57:D57"/>
    <mergeCell ref="B59:D59"/>
    <mergeCell ref="B62:D62"/>
    <mergeCell ref="C10:G10"/>
    <mergeCell ref="D2:H2"/>
    <mergeCell ref="C5:G5"/>
    <mergeCell ref="C6:G6"/>
    <mergeCell ref="C7:G7"/>
    <mergeCell ref="C9:G9"/>
  </mergeCells>
  <hyperlinks>
    <hyperlink ref="C11" r:id="rId1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RowHeight="12.75"/>
  <cols>
    <col min="1" max="1" width="8.28515625" style="135" customWidth="1"/>
    <col min="2" max="2" width="55.42578125" style="49" bestFit="1" customWidth="1"/>
    <col min="3" max="3" width="9.5703125" style="49" customWidth="1"/>
    <col min="4" max="4" width="9.140625" style="49"/>
    <col min="5" max="5" width="12.42578125" style="49" customWidth="1"/>
    <col min="6" max="6" width="18.5703125" style="49" customWidth="1"/>
    <col min="7" max="7" width="23.5703125" style="49" customWidth="1"/>
    <col min="8" max="8" width="17.140625" style="49" customWidth="1"/>
    <col min="9" max="9" width="21.140625" style="49" customWidth="1"/>
    <col min="10" max="10" width="19.85546875" style="49" customWidth="1"/>
    <col min="11" max="11" width="17.5703125" style="49" customWidth="1"/>
    <col min="12" max="16384" width="9.140625" style="49"/>
  </cols>
  <sheetData>
    <row r="1" spans="1:11">
      <c r="C1" s="346"/>
      <c r="D1" s="42"/>
      <c r="E1" s="346"/>
      <c r="F1" s="346"/>
      <c r="G1" s="346"/>
      <c r="H1" s="454"/>
      <c r="I1" s="454"/>
      <c r="J1" s="454"/>
      <c r="K1" s="454"/>
    </row>
    <row r="2" spans="1:11" ht="15.75">
      <c r="D2" s="824" t="s">
        <v>133</v>
      </c>
      <c r="E2" s="825"/>
      <c r="F2" s="825"/>
      <c r="G2" s="825"/>
      <c r="H2" s="825"/>
      <c r="I2" s="384"/>
      <c r="J2" s="384"/>
      <c r="K2" s="384"/>
    </row>
    <row r="3" spans="1:11" ht="15">
      <c r="B3" s="43" t="s">
        <v>134</v>
      </c>
      <c r="F3" s="44"/>
      <c r="H3" s="384"/>
      <c r="I3" s="384"/>
      <c r="J3" s="384"/>
      <c r="K3" s="384"/>
    </row>
    <row r="5" spans="1:11">
      <c r="B5" s="45" t="s">
        <v>135</v>
      </c>
      <c r="C5" s="826" t="s">
        <v>690</v>
      </c>
      <c r="D5" s="851"/>
      <c r="E5" s="851"/>
      <c r="F5" s="851"/>
      <c r="G5" s="852"/>
      <c r="H5" s="384"/>
      <c r="I5" s="384"/>
      <c r="J5" s="384"/>
      <c r="K5" s="384"/>
    </row>
    <row r="6" spans="1:11">
      <c r="B6" s="45" t="s">
        <v>136</v>
      </c>
      <c r="C6" s="829">
        <v>2004</v>
      </c>
      <c r="D6" s="854"/>
      <c r="E6" s="854"/>
      <c r="F6" s="854"/>
      <c r="G6" s="855"/>
      <c r="H6" s="384"/>
      <c r="I6" s="384"/>
      <c r="J6" s="384"/>
      <c r="K6" s="384"/>
    </row>
    <row r="7" spans="1:11">
      <c r="B7" s="45" t="s">
        <v>137</v>
      </c>
      <c r="C7" s="878">
        <v>2362</v>
      </c>
      <c r="D7" s="857"/>
      <c r="E7" s="857"/>
      <c r="F7" s="857"/>
      <c r="G7" s="858"/>
      <c r="H7" s="384"/>
      <c r="I7" s="384"/>
      <c r="J7" s="384"/>
      <c r="K7" s="384"/>
    </row>
    <row r="9" spans="1:11">
      <c r="B9" s="45" t="s">
        <v>138</v>
      </c>
      <c r="C9" s="826" t="s">
        <v>139</v>
      </c>
      <c r="D9" s="851"/>
      <c r="E9" s="851"/>
      <c r="F9" s="851"/>
      <c r="G9" s="852"/>
      <c r="H9" s="384"/>
      <c r="I9" s="384"/>
      <c r="J9" s="384"/>
      <c r="K9" s="384"/>
    </row>
    <row r="10" spans="1:11">
      <c r="B10" s="45" t="s">
        <v>140</v>
      </c>
      <c r="C10" s="835" t="s">
        <v>141</v>
      </c>
      <c r="D10" s="860"/>
      <c r="E10" s="860"/>
      <c r="F10" s="860"/>
      <c r="G10" s="861"/>
      <c r="H10" s="384"/>
      <c r="I10" s="384"/>
      <c r="J10" s="384"/>
      <c r="K10" s="384"/>
    </row>
    <row r="11" spans="1:11">
      <c r="B11" s="45" t="s">
        <v>142</v>
      </c>
      <c r="C11" s="838" t="s">
        <v>691</v>
      </c>
      <c r="D11" s="874"/>
      <c r="E11" s="874"/>
      <c r="F11" s="874"/>
      <c r="G11" s="874"/>
      <c r="H11" s="384"/>
      <c r="I11" s="384"/>
      <c r="J11" s="384"/>
      <c r="K11" s="384"/>
    </row>
    <row r="12" spans="1:11">
      <c r="B12" s="45"/>
      <c r="C12" s="45"/>
      <c r="D12" s="45"/>
      <c r="E12" s="45"/>
      <c r="F12" s="45"/>
      <c r="G12" s="45"/>
      <c r="H12" s="384"/>
      <c r="I12" s="384"/>
      <c r="J12" s="384"/>
      <c r="K12" s="384"/>
    </row>
    <row r="13" spans="1:11">
      <c r="B13" s="840"/>
      <c r="C13" s="841"/>
      <c r="D13" s="841"/>
      <c r="E13" s="841"/>
      <c r="F13" s="841"/>
      <c r="G13" s="841"/>
      <c r="H13" s="842"/>
      <c r="I13" s="454"/>
      <c r="J13" s="384"/>
      <c r="K13" s="384"/>
    </row>
    <row r="14" spans="1:11">
      <c r="B14" s="46"/>
      <c r="H14" s="384"/>
      <c r="I14" s="384"/>
      <c r="J14" s="384"/>
      <c r="K14" s="384"/>
    </row>
    <row r="15" spans="1:11">
      <c r="B15" s="46"/>
      <c r="H15" s="384"/>
      <c r="I15" s="384"/>
      <c r="J15" s="384"/>
      <c r="K15" s="384"/>
    </row>
    <row r="16" spans="1:11" ht="25.5">
      <c r="A16" s="42" t="s">
        <v>144</v>
      </c>
      <c r="B16" s="346"/>
      <c r="C16" s="346"/>
      <c r="D16" s="346"/>
      <c r="E16" s="346"/>
      <c r="F16" s="47" t="s">
        <v>145</v>
      </c>
      <c r="G16" s="47" t="s">
        <v>146</v>
      </c>
      <c r="H16" s="113" t="s">
        <v>147</v>
      </c>
      <c r="I16" s="113" t="s">
        <v>148</v>
      </c>
      <c r="J16" s="113" t="s">
        <v>149</v>
      </c>
      <c r="K16" s="113" t="s">
        <v>150</v>
      </c>
    </row>
    <row r="17" spans="1:11">
      <c r="A17" s="48" t="s">
        <v>151</v>
      </c>
      <c r="B17" s="43" t="s">
        <v>152</v>
      </c>
      <c r="H17" s="384"/>
      <c r="I17" s="384"/>
      <c r="J17" s="384"/>
      <c r="K17" s="384"/>
    </row>
    <row r="18" spans="1:11">
      <c r="A18" s="45" t="s">
        <v>259</v>
      </c>
      <c r="B18" s="49" t="s">
        <v>153</v>
      </c>
      <c r="F18" s="57" t="s">
        <v>122</v>
      </c>
      <c r="G18" s="57" t="s">
        <v>122</v>
      </c>
      <c r="H18" s="347">
        <v>8398669</v>
      </c>
      <c r="I18" s="167">
        <v>0</v>
      </c>
      <c r="J18" s="347">
        <v>7181912</v>
      </c>
      <c r="K18" s="348">
        <v>1216757</v>
      </c>
    </row>
    <row r="19" spans="1:11" ht="25.5">
      <c r="A19" s="42" t="s">
        <v>154</v>
      </c>
      <c r="B19" s="346"/>
      <c r="C19" s="346"/>
      <c r="D19" s="346"/>
      <c r="E19" s="346"/>
      <c r="F19" s="47" t="s">
        <v>145</v>
      </c>
      <c r="G19" s="47" t="s">
        <v>146</v>
      </c>
      <c r="H19" s="113" t="s">
        <v>147</v>
      </c>
      <c r="I19" s="113" t="s">
        <v>148</v>
      </c>
      <c r="J19" s="113" t="s">
        <v>149</v>
      </c>
      <c r="K19" s="113" t="s">
        <v>150</v>
      </c>
    </row>
    <row r="20" spans="1:11">
      <c r="A20" s="48" t="s">
        <v>260</v>
      </c>
      <c r="B20" s="43" t="s">
        <v>155</v>
      </c>
      <c r="H20" s="384"/>
      <c r="I20" s="384"/>
      <c r="J20" s="384"/>
      <c r="K20" s="384"/>
    </row>
    <row r="21" spans="1:11">
      <c r="A21" s="45" t="s">
        <v>164</v>
      </c>
      <c r="B21" s="49" t="s">
        <v>156</v>
      </c>
      <c r="F21" s="57">
        <v>1289.5</v>
      </c>
      <c r="G21" s="57">
        <v>8741</v>
      </c>
      <c r="H21" s="347">
        <v>84176</v>
      </c>
      <c r="I21" s="167">
        <v>38817</v>
      </c>
      <c r="J21" s="347">
        <v>10265</v>
      </c>
      <c r="K21" s="348">
        <v>112728</v>
      </c>
    </row>
    <row r="22" spans="1:11">
      <c r="A22" s="45" t="s">
        <v>261</v>
      </c>
      <c r="B22" s="49" t="s">
        <v>157</v>
      </c>
      <c r="F22" s="57">
        <v>0</v>
      </c>
      <c r="G22" s="57">
        <v>0</v>
      </c>
      <c r="H22" s="347">
        <v>0</v>
      </c>
      <c r="I22" s="167">
        <v>0</v>
      </c>
      <c r="J22" s="347">
        <v>0</v>
      </c>
      <c r="K22" s="348">
        <v>0</v>
      </c>
    </row>
    <row r="23" spans="1:11">
      <c r="A23" s="45" t="s">
        <v>262</v>
      </c>
      <c r="B23" s="49" t="s">
        <v>158</v>
      </c>
      <c r="F23" s="57">
        <v>2179</v>
      </c>
      <c r="G23" s="57">
        <v>2637</v>
      </c>
      <c r="H23" s="347">
        <v>83204</v>
      </c>
      <c r="I23" s="167">
        <v>50170</v>
      </c>
      <c r="J23" s="347">
        <v>32970</v>
      </c>
      <c r="K23" s="348">
        <v>100404</v>
      </c>
    </row>
    <row r="24" spans="1:11">
      <c r="A24" s="45" t="s">
        <v>263</v>
      </c>
      <c r="B24" s="49" t="s">
        <v>159</v>
      </c>
      <c r="F24" s="57">
        <v>2551.8000000000002</v>
      </c>
      <c r="G24" s="57">
        <v>5148</v>
      </c>
      <c r="H24" s="347">
        <v>128536</v>
      </c>
      <c r="I24" s="167">
        <v>77506</v>
      </c>
      <c r="J24" s="347">
        <v>1550</v>
      </c>
      <c r="K24" s="348">
        <v>204492</v>
      </c>
    </row>
    <row r="25" spans="1:11">
      <c r="A25" s="45" t="s">
        <v>264</v>
      </c>
      <c r="B25" s="49" t="s">
        <v>160</v>
      </c>
      <c r="F25" s="57">
        <v>955</v>
      </c>
      <c r="G25" s="57">
        <v>382</v>
      </c>
      <c r="H25" s="347">
        <v>100798</v>
      </c>
      <c r="I25" s="167">
        <v>60781</v>
      </c>
      <c r="J25" s="347">
        <v>19100</v>
      </c>
      <c r="K25" s="348">
        <v>142479</v>
      </c>
    </row>
    <row r="26" spans="1:11">
      <c r="A26" s="45" t="s">
        <v>265</v>
      </c>
      <c r="B26" s="49" t="s">
        <v>161</v>
      </c>
      <c r="F26" s="57">
        <v>0</v>
      </c>
      <c r="G26" s="57">
        <v>0</v>
      </c>
      <c r="H26" s="347">
        <v>0</v>
      </c>
      <c r="I26" s="167">
        <v>0</v>
      </c>
      <c r="J26" s="347">
        <v>0</v>
      </c>
      <c r="K26" s="348">
        <v>0</v>
      </c>
    </row>
    <row r="27" spans="1:11">
      <c r="A27" s="45" t="s">
        <v>266</v>
      </c>
      <c r="B27" s="49" t="s">
        <v>162</v>
      </c>
      <c r="F27" s="57">
        <v>0</v>
      </c>
      <c r="G27" s="57">
        <v>0</v>
      </c>
      <c r="H27" s="347">
        <v>0</v>
      </c>
      <c r="I27" s="167">
        <v>0</v>
      </c>
      <c r="J27" s="347">
        <v>0</v>
      </c>
      <c r="K27" s="348">
        <v>0</v>
      </c>
    </row>
    <row r="28" spans="1:11">
      <c r="A28" s="45" t="s">
        <v>267</v>
      </c>
      <c r="B28" s="49" t="s">
        <v>163</v>
      </c>
      <c r="F28" s="57">
        <v>0</v>
      </c>
      <c r="G28" s="57">
        <v>0</v>
      </c>
      <c r="H28" s="347">
        <v>0</v>
      </c>
      <c r="I28" s="167">
        <v>0</v>
      </c>
      <c r="J28" s="347">
        <v>0</v>
      </c>
      <c r="K28" s="348">
        <v>0</v>
      </c>
    </row>
    <row r="29" spans="1:11">
      <c r="A29" s="45" t="s">
        <v>268</v>
      </c>
      <c r="B29" s="49" t="s">
        <v>165</v>
      </c>
      <c r="F29" s="57">
        <v>10408.299999999999</v>
      </c>
      <c r="G29" s="57">
        <v>14900</v>
      </c>
      <c r="H29" s="347">
        <v>292771</v>
      </c>
      <c r="I29" s="167">
        <v>139833</v>
      </c>
      <c r="J29" s="347">
        <v>0</v>
      </c>
      <c r="K29" s="348">
        <v>432604</v>
      </c>
    </row>
    <row r="30" spans="1:11">
      <c r="A30" s="45" t="s">
        <v>269</v>
      </c>
      <c r="B30" s="814"/>
      <c r="C30" s="815"/>
      <c r="D30" s="816"/>
      <c r="F30" s="57">
        <v>0</v>
      </c>
      <c r="G30" s="57">
        <v>0</v>
      </c>
      <c r="H30" s="347">
        <v>0</v>
      </c>
      <c r="I30" s="167">
        <v>0</v>
      </c>
      <c r="J30" s="347">
        <v>0</v>
      </c>
      <c r="K30" s="348">
        <v>0</v>
      </c>
    </row>
    <row r="31" spans="1:11">
      <c r="A31" s="45" t="s">
        <v>270</v>
      </c>
      <c r="B31" s="814"/>
      <c r="C31" s="815"/>
      <c r="D31" s="816"/>
      <c r="F31" s="57"/>
      <c r="G31" s="57"/>
      <c r="H31" s="347"/>
      <c r="I31" s="167"/>
      <c r="J31" s="347"/>
      <c r="K31" s="348"/>
    </row>
    <row r="32" spans="1:11">
      <c r="A32" s="45" t="s">
        <v>271</v>
      </c>
      <c r="B32" s="437"/>
      <c r="C32" s="438"/>
      <c r="D32" s="439"/>
      <c r="F32" s="57"/>
      <c r="G32" s="57"/>
      <c r="H32" s="347"/>
      <c r="I32" s="167"/>
      <c r="J32" s="347"/>
      <c r="K32" s="348"/>
    </row>
    <row r="33" spans="1:11">
      <c r="A33" s="45" t="s">
        <v>273</v>
      </c>
      <c r="B33" s="437"/>
      <c r="C33" s="438"/>
      <c r="D33" s="439"/>
      <c r="F33" s="57"/>
      <c r="G33" s="57"/>
      <c r="H33" s="347"/>
      <c r="I33" s="167"/>
      <c r="J33" s="347"/>
      <c r="K33" s="348"/>
    </row>
    <row r="34" spans="1:11">
      <c r="A34" s="45" t="s">
        <v>274</v>
      </c>
      <c r="B34" s="814"/>
      <c r="C34" s="815"/>
      <c r="D34" s="816"/>
      <c r="F34" s="57"/>
      <c r="G34" s="57"/>
      <c r="H34" s="347"/>
      <c r="I34" s="167"/>
      <c r="J34" s="347"/>
      <c r="K34" s="348"/>
    </row>
    <row r="35" spans="1:11">
      <c r="H35" s="384"/>
      <c r="I35" s="384"/>
      <c r="J35" s="384"/>
      <c r="K35" s="349"/>
    </row>
    <row r="36" spans="1:11">
      <c r="A36" s="48" t="s">
        <v>275</v>
      </c>
      <c r="B36" s="43" t="s">
        <v>166</v>
      </c>
      <c r="E36" s="43" t="s">
        <v>276</v>
      </c>
      <c r="F36" s="350">
        <f t="shared" ref="F36:K36" si="0">SUM(F21:F34)</f>
        <v>17383.599999999999</v>
      </c>
      <c r="G36" s="350">
        <f t="shared" si="0"/>
        <v>31808</v>
      </c>
      <c r="H36" s="348">
        <f t="shared" si="0"/>
        <v>689485</v>
      </c>
      <c r="I36" s="348">
        <f t="shared" si="0"/>
        <v>367107</v>
      </c>
      <c r="J36" s="348">
        <f t="shared" si="0"/>
        <v>63885</v>
      </c>
      <c r="K36" s="348">
        <f t="shared" si="0"/>
        <v>992707</v>
      </c>
    </row>
    <row r="37" spans="1:11" ht="13.5" thickBot="1">
      <c r="B37" s="43"/>
      <c r="F37" s="351"/>
      <c r="G37" s="351"/>
      <c r="H37" s="352"/>
      <c r="I37" s="352"/>
      <c r="J37" s="352"/>
      <c r="K37" s="353"/>
    </row>
    <row r="38" spans="1:11" ht="25.5">
      <c r="F38" s="47" t="s">
        <v>145</v>
      </c>
      <c r="G38" s="47" t="s">
        <v>146</v>
      </c>
      <c r="H38" s="113" t="s">
        <v>147</v>
      </c>
      <c r="I38" s="113" t="s">
        <v>148</v>
      </c>
      <c r="J38" s="113" t="s">
        <v>149</v>
      </c>
      <c r="K38" s="113" t="s">
        <v>150</v>
      </c>
    </row>
    <row r="39" spans="1:11">
      <c r="A39" s="48" t="s">
        <v>167</v>
      </c>
      <c r="B39" s="43" t="s">
        <v>168</v>
      </c>
      <c r="H39" s="384"/>
      <c r="I39" s="384"/>
      <c r="J39" s="384"/>
      <c r="K39" s="384"/>
    </row>
    <row r="40" spans="1:11">
      <c r="A40" s="45" t="s">
        <v>277</v>
      </c>
      <c r="B40" s="49" t="s">
        <v>170</v>
      </c>
      <c r="F40" s="57">
        <v>96293</v>
      </c>
      <c r="G40" s="57">
        <v>0</v>
      </c>
      <c r="H40" s="347">
        <v>4931470</v>
      </c>
      <c r="I40" s="167">
        <v>2973676</v>
      </c>
      <c r="J40" s="347">
        <v>0</v>
      </c>
      <c r="K40" s="348">
        <v>7905146</v>
      </c>
    </row>
    <row r="41" spans="1:11">
      <c r="A41" s="45" t="s">
        <v>278</v>
      </c>
      <c r="B41" s="818" t="s">
        <v>172</v>
      </c>
      <c r="C41" s="818"/>
      <c r="F41" s="57">
        <v>1948</v>
      </c>
      <c r="G41" s="57">
        <v>653</v>
      </c>
      <c r="H41" s="347">
        <v>222721</v>
      </c>
      <c r="I41" s="167">
        <v>4504</v>
      </c>
      <c r="J41" s="347">
        <v>126621</v>
      </c>
      <c r="K41" s="348">
        <v>100604</v>
      </c>
    </row>
    <row r="42" spans="1:11">
      <c r="A42" s="45" t="s">
        <v>279</v>
      </c>
      <c r="B42" s="49" t="s">
        <v>174</v>
      </c>
      <c r="F42" s="57">
        <v>470</v>
      </c>
      <c r="G42" s="57">
        <v>22</v>
      </c>
      <c r="H42" s="347">
        <v>25075</v>
      </c>
      <c r="I42" s="167">
        <v>5791</v>
      </c>
      <c r="J42" s="347">
        <v>0</v>
      </c>
      <c r="K42" s="348">
        <v>30866</v>
      </c>
    </row>
    <row r="43" spans="1:11">
      <c r="A43" s="45" t="s">
        <v>280</v>
      </c>
      <c r="B43" s="49" t="s">
        <v>176</v>
      </c>
      <c r="F43" s="57">
        <v>0</v>
      </c>
      <c r="G43" s="57">
        <v>0</v>
      </c>
      <c r="H43" s="347">
        <v>0</v>
      </c>
      <c r="I43" s="167">
        <v>0</v>
      </c>
      <c r="J43" s="347">
        <v>0</v>
      </c>
      <c r="K43" s="348">
        <v>0</v>
      </c>
    </row>
    <row r="44" spans="1:11">
      <c r="A44" s="45" t="s">
        <v>281</v>
      </c>
      <c r="B44" s="814"/>
      <c r="C44" s="815"/>
      <c r="D44" s="816"/>
      <c r="F44" s="57"/>
      <c r="G44" s="57"/>
      <c r="H44" s="347"/>
      <c r="I44" s="167"/>
      <c r="J44" s="347"/>
      <c r="K44" s="354"/>
    </row>
    <row r="45" spans="1:11">
      <c r="A45" s="45" t="s">
        <v>283</v>
      </c>
      <c r="B45" s="814"/>
      <c r="C45" s="815"/>
      <c r="D45" s="816"/>
      <c r="F45" s="57"/>
      <c r="G45" s="57"/>
      <c r="H45" s="347"/>
      <c r="I45" s="167"/>
      <c r="J45" s="347"/>
      <c r="K45" s="348"/>
    </row>
    <row r="46" spans="1:11">
      <c r="A46" s="45" t="s">
        <v>284</v>
      </c>
      <c r="B46" s="814"/>
      <c r="C46" s="815"/>
      <c r="D46" s="816"/>
      <c r="F46" s="57"/>
      <c r="G46" s="57"/>
      <c r="H46" s="347"/>
      <c r="I46" s="167"/>
      <c r="J46" s="347"/>
      <c r="K46" s="348"/>
    </row>
    <row r="47" spans="1:11">
      <c r="A47" s="45" t="s">
        <v>285</v>
      </c>
      <c r="B47" s="814"/>
      <c r="C47" s="815"/>
      <c r="D47" s="816"/>
      <c r="F47" s="57"/>
      <c r="G47" s="57"/>
      <c r="H47" s="347"/>
      <c r="I47" s="167"/>
      <c r="J47" s="347"/>
      <c r="K47" s="348"/>
    </row>
    <row r="49" spans="1:11">
      <c r="A49" s="48" t="s">
        <v>286</v>
      </c>
      <c r="B49" s="43" t="s">
        <v>177</v>
      </c>
      <c r="E49" s="43" t="s">
        <v>276</v>
      </c>
      <c r="F49" s="355">
        <f t="shared" ref="F49:K49" si="1">SUM(F40:F47)</f>
        <v>98711</v>
      </c>
      <c r="G49" s="355">
        <f t="shared" si="1"/>
        <v>675</v>
      </c>
      <c r="H49" s="348">
        <f t="shared" si="1"/>
        <v>5179266</v>
      </c>
      <c r="I49" s="348">
        <f t="shared" si="1"/>
        <v>2983971</v>
      </c>
      <c r="J49" s="348">
        <f t="shared" si="1"/>
        <v>126621</v>
      </c>
      <c r="K49" s="348">
        <f t="shared" si="1"/>
        <v>8036616</v>
      </c>
    </row>
    <row r="50" spans="1:11" ht="13.5" thickBot="1">
      <c r="G50" s="356"/>
      <c r="H50" s="352"/>
      <c r="I50" s="352"/>
      <c r="J50" s="352"/>
      <c r="K50" s="352"/>
    </row>
    <row r="51" spans="1:11" ht="25.5">
      <c r="F51" s="47" t="s">
        <v>145</v>
      </c>
      <c r="G51" s="47" t="s">
        <v>146</v>
      </c>
      <c r="H51" s="113" t="s">
        <v>147</v>
      </c>
      <c r="I51" s="113" t="s">
        <v>148</v>
      </c>
      <c r="J51" s="113" t="s">
        <v>149</v>
      </c>
      <c r="K51" s="113" t="s">
        <v>150</v>
      </c>
    </row>
    <row r="52" spans="1:11">
      <c r="A52" s="48" t="s">
        <v>178</v>
      </c>
      <c r="B52" s="820" t="s">
        <v>179</v>
      </c>
      <c r="C52" s="866"/>
      <c r="H52" s="384"/>
      <c r="I52" s="384"/>
      <c r="J52" s="384"/>
      <c r="K52" s="384"/>
    </row>
    <row r="53" spans="1:11">
      <c r="A53" s="45" t="s">
        <v>287</v>
      </c>
      <c r="B53" s="822" t="s">
        <v>180</v>
      </c>
      <c r="C53" s="867" t="s">
        <v>180</v>
      </c>
      <c r="D53" s="865" t="s">
        <v>180</v>
      </c>
      <c r="F53" s="57">
        <v>0</v>
      </c>
      <c r="G53" s="57">
        <v>0</v>
      </c>
      <c r="H53" s="347">
        <v>368000</v>
      </c>
      <c r="I53" s="167">
        <v>0</v>
      </c>
      <c r="J53" s="347">
        <v>0</v>
      </c>
      <c r="K53" s="348">
        <v>368000</v>
      </c>
    </row>
    <row r="54" spans="1:11">
      <c r="A54" s="45" t="s">
        <v>289</v>
      </c>
      <c r="B54" s="440" t="s">
        <v>529</v>
      </c>
      <c r="C54" s="443"/>
      <c r="D54" s="444"/>
      <c r="F54" s="57">
        <v>42802</v>
      </c>
      <c r="G54" s="57">
        <v>5666</v>
      </c>
      <c r="H54" s="347">
        <v>4493381</v>
      </c>
      <c r="I54" s="167">
        <v>0</v>
      </c>
      <c r="J54" s="347">
        <v>2080267</v>
      </c>
      <c r="K54" s="348">
        <v>2413114</v>
      </c>
    </row>
    <row r="55" spans="1:11">
      <c r="A55" s="45" t="s">
        <v>291</v>
      </c>
      <c r="B55" s="817" t="s">
        <v>530</v>
      </c>
      <c r="C55" s="864" t="s">
        <v>530</v>
      </c>
      <c r="D55" s="865" t="s">
        <v>530</v>
      </c>
      <c r="F55" s="57">
        <v>208890</v>
      </c>
      <c r="G55" s="57">
        <v>665</v>
      </c>
      <c r="H55" s="347">
        <v>14036900</v>
      </c>
      <c r="I55" s="167">
        <v>3727971</v>
      </c>
      <c r="J55" s="347">
        <v>15108471</v>
      </c>
      <c r="K55" s="348">
        <v>2656400</v>
      </c>
    </row>
    <row r="56" spans="1:11">
      <c r="A56" s="45" t="s">
        <v>293</v>
      </c>
      <c r="B56" s="817" t="s">
        <v>427</v>
      </c>
      <c r="C56" s="864" t="s">
        <v>427</v>
      </c>
      <c r="D56" s="865" t="s">
        <v>427</v>
      </c>
      <c r="F56" s="57">
        <v>0</v>
      </c>
      <c r="G56" s="57">
        <v>0</v>
      </c>
      <c r="H56" s="347">
        <v>61837</v>
      </c>
      <c r="I56" s="167">
        <v>0</v>
      </c>
      <c r="J56" s="347">
        <v>0</v>
      </c>
      <c r="K56" s="348">
        <v>61837</v>
      </c>
    </row>
    <row r="57" spans="1:11">
      <c r="A57" s="45" t="s">
        <v>295</v>
      </c>
      <c r="B57" s="817" t="s">
        <v>546</v>
      </c>
      <c r="C57" s="864" t="s">
        <v>546</v>
      </c>
      <c r="D57" s="865" t="s">
        <v>546</v>
      </c>
      <c r="F57" s="70">
        <v>0</v>
      </c>
      <c r="G57" s="57">
        <v>0</v>
      </c>
      <c r="H57" s="347">
        <v>4877400</v>
      </c>
      <c r="I57" s="167">
        <v>2257272</v>
      </c>
      <c r="J57" s="347">
        <v>5541688</v>
      </c>
      <c r="K57" s="348">
        <v>1592984</v>
      </c>
    </row>
    <row r="58" spans="1:11">
      <c r="A58" s="45" t="s">
        <v>298</v>
      </c>
      <c r="B58" s="440"/>
      <c r="C58" s="443"/>
      <c r="D58" s="444"/>
      <c r="F58" s="70">
        <v>0</v>
      </c>
      <c r="G58" s="70">
        <v>0</v>
      </c>
      <c r="H58" s="347">
        <v>0</v>
      </c>
      <c r="I58" s="167">
        <v>0</v>
      </c>
      <c r="J58" s="347">
        <v>0</v>
      </c>
      <c r="K58" s="348">
        <v>0</v>
      </c>
    </row>
    <row r="59" spans="1:11">
      <c r="A59" s="45" t="s">
        <v>300</v>
      </c>
      <c r="B59" s="817"/>
      <c r="C59" s="864"/>
      <c r="D59" s="865"/>
      <c r="F59" s="70"/>
      <c r="G59" s="70"/>
      <c r="H59" s="347"/>
      <c r="I59" s="167"/>
      <c r="J59" s="347"/>
      <c r="K59" s="348"/>
    </row>
    <row r="60" spans="1:11">
      <c r="A60" s="45" t="s">
        <v>302</v>
      </c>
      <c r="B60" s="440"/>
      <c r="C60" s="443"/>
      <c r="D60" s="444"/>
      <c r="F60" s="57"/>
      <c r="G60" s="57"/>
      <c r="H60" s="347"/>
      <c r="I60" s="167"/>
      <c r="J60" s="347"/>
      <c r="K60" s="348"/>
    </row>
    <row r="61" spans="1:11">
      <c r="A61" s="45" t="s">
        <v>303</v>
      </c>
      <c r="B61" s="440"/>
      <c r="C61" s="443"/>
      <c r="D61" s="444"/>
      <c r="F61" s="57"/>
      <c r="G61" s="57"/>
      <c r="H61" s="347"/>
      <c r="I61" s="167"/>
      <c r="J61" s="347"/>
      <c r="K61" s="348"/>
    </row>
    <row r="62" spans="1:11">
      <c r="A62" s="45" t="s">
        <v>304</v>
      </c>
      <c r="B62" s="817"/>
      <c r="C62" s="864"/>
      <c r="D62" s="865"/>
      <c r="F62" s="57"/>
      <c r="G62" s="57"/>
      <c r="H62" s="347"/>
      <c r="I62" s="167"/>
      <c r="J62" s="347"/>
      <c r="K62" s="348"/>
    </row>
    <row r="63" spans="1:11">
      <c r="A63" s="45"/>
      <c r="H63" s="384"/>
      <c r="I63" s="357"/>
      <c r="J63" s="384"/>
      <c r="K63" s="384"/>
    </row>
    <row r="64" spans="1:11">
      <c r="A64" s="45" t="s">
        <v>305</v>
      </c>
      <c r="B64" s="43" t="s">
        <v>184</v>
      </c>
      <c r="E64" s="43" t="s">
        <v>276</v>
      </c>
      <c r="F64" s="350">
        <f t="shared" ref="F64:K64" si="2">SUM(F53:F62)</f>
        <v>251692</v>
      </c>
      <c r="G64" s="350">
        <f t="shared" si="2"/>
        <v>6331</v>
      </c>
      <c r="H64" s="348">
        <f t="shared" si="2"/>
        <v>23837518</v>
      </c>
      <c r="I64" s="348">
        <f t="shared" si="2"/>
        <v>5985243</v>
      </c>
      <c r="J64" s="348">
        <f t="shared" si="2"/>
        <v>22730426</v>
      </c>
      <c r="K64" s="348">
        <f t="shared" si="2"/>
        <v>7092335</v>
      </c>
    </row>
    <row r="65" spans="1:11">
      <c r="F65" s="358"/>
      <c r="G65" s="358"/>
      <c r="H65" s="394"/>
      <c r="I65" s="394"/>
      <c r="J65" s="394"/>
      <c r="K65" s="394"/>
    </row>
    <row r="66" spans="1:11" ht="25.5">
      <c r="F66" s="47" t="s">
        <v>145</v>
      </c>
      <c r="G66" s="47" t="s">
        <v>146</v>
      </c>
      <c r="H66" s="113" t="s">
        <v>147</v>
      </c>
      <c r="I66" s="113" t="s">
        <v>148</v>
      </c>
      <c r="J66" s="113" t="s">
        <v>149</v>
      </c>
      <c r="K66" s="113" t="s">
        <v>150</v>
      </c>
    </row>
    <row r="67" spans="1:11">
      <c r="A67" s="48" t="s">
        <v>185</v>
      </c>
      <c r="B67" s="43" t="s">
        <v>186</v>
      </c>
      <c r="F67" s="359"/>
      <c r="G67" s="359"/>
      <c r="H67" s="361"/>
      <c r="I67" s="360"/>
      <c r="J67" s="361"/>
      <c r="K67" s="361"/>
    </row>
    <row r="68" spans="1:11">
      <c r="A68" s="45" t="s">
        <v>306</v>
      </c>
      <c r="B68" s="49" t="s">
        <v>188</v>
      </c>
      <c r="F68" s="362">
        <v>0</v>
      </c>
      <c r="G68" s="362">
        <v>0</v>
      </c>
      <c r="H68" s="347">
        <v>0</v>
      </c>
      <c r="I68" s="167">
        <v>0</v>
      </c>
      <c r="J68" s="347">
        <v>0</v>
      </c>
      <c r="K68" s="348">
        <v>0</v>
      </c>
    </row>
    <row r="69" spans="1:11">
      <c r="A69" s="45" t="s">
        <v>307</v>
      </c>
      <c r="B69" s="49" t="s">
        <v>190</v>
      </c>
      <c r="F69" s="362">
        <v>0</v>
      </c>
      <c r="G69" s="362">
        <v>0</v>
      </c>
      <c r="H69" s="347">
        <v>0</v>
      </c>
      <c r="I69" s="167">
        <v>0</v>
      </c>
      <c r="J69" s="347">
        <v>0</v>
      </c>
      <c r="K69" s="348">
        <v>0</v>
      </c>
    </row>
    <row r="70" spans="1:11">
      <c r="A70" s="45" t="s">
        <v>308</v>
      </c>
      <c r="B70" s="440"/>
      <c r="C70" s="443"/>
      <c r="D70" s="444"/>
      <c r="E70" s="43"/>
      <c r="F70" s="364"/>
      <c r="G70" s="364"/>
      <c r="H70" s="363"/>
      <c r="I70" s="167"/>
      <c r="J70" s="363"/>
      <c r="K70" s="348"/>
    </row>
    <row r="71" spans="1:11">
      <c r="A71" s="45" t="s">
        <v>309</v>
      </c>
      <c r="B71" s="440"/>
      <c r="C71" s="443"/>
      <c r="D71" s="444"/>
      <c r="E71" s="43"/>
      <c r="F71" s="364"/>
      <c r="G71" s="364"/>
      <c r="H71" s="363"/>
      <c r="I71" s="167"/>
      <c r="J71" s="363"/>
      <c r="K71" s="348"/>
    </row>
    <row r="72" spans="1:11">
      <c r="A72" s="45" t="s">
        <v>310</v>
      </c>
      <c r="B72" s="442"/>
      <c r="C72" s="445"/>
      <c r="D72" s="365"/>
      <c r="E72" s="43"/>
      <c r="F72" s="57"/>
      <c r="G72" s="57"/>
      <c r="H72" s="347"/>
      <c r="I72" s="167"/>
      <c r="J72" s="347"/>
      <c r="K72" s="348"/>
    </row>
    <row r="73" spans="1:11">
      <c r="A73" s="45"/>
      <c r="E73" s="43"/>
      <c r="F73" s="366"/>
      <c r="G73" s="366"/>
      <c r="H73" s="367"/>
      <c r="I73" s="360"/>
      <c r="J73" s="367"/>
      <c r="K73" s="361"/>
    </row>
    <row r="74" spans="1:11">
      <c r="A74" s="48" t="s">
        <v>311</v>
      </c>
      <c r="B74" s="43" t="s">
        <v>191</v>
      </c>
      <c r="E74" s="43" t="s">
        <v>276</v>
      </c>
      <c r="F74" s="368">
        <f t="shared" ref="F74:K74" si="3">SUM(F68:F72)</f>
        <v>0</v>
      </c>
      <c r="G74" s="368">
        <f t="shared" si="3"/>
        <v>0</v>
      </c>
      <c r="H74" s="354">
        <f t="shared" si="3"/>
        <v>0</v>
      </c>
      <c r="I74" s="370">
        <f t="shared" si="3"/>
        <v>0</v>
      </c>
      <c r="J74" s="354">
        <f t="shared" si="3"/>
        <v>0</v>
      </c>
      <c r="K74" s="354">
        <f t="shared" si="3"/>
        <v>0</v>
      </c>
    </row>
    <row r="75" spans="1:11" ht="25.5">
      <c r="F75" s="47" t="s">
        <v>145</v>
      </c>
      <c r="G75" s="47" t="s">
        <v>146</v>
      </c>
      <c r="H75" s="113" t="s">
        <v>147</v>
      </c>
      <c r="I75" s="113" t="s">
        <v>148</v>
      </c>
      <c r="J75" s="113" t="s">
        <v>149</v>
      </c>
      <c r="K75" s="113" t="s">
        <v>150</v>
      </c>
    </row>
    <row r="76" spans="1:11">
      <c r="A76" s="48" t="s">
        <v>192</v>
      </c>
      <c r="B76" s="43" t="s">
        <v>193</v>
      </c>
      <c r="H76" s="384"/>
      <c r="I76" s="384"/>
      <c r="J76" s="384"/>
      <c r="K76" s="384"/>
    </row>
    <row r="77" spans="1:11">
      <c r="A77" s="45" t="s">
        <v>312</v>
      </c>
      <c r="B77" s="49" t="s">
        <v>195</v>
      </c>
      <c r="F77" s="57">
        <v>0</v>
      </c>
      <c r="G77" s="57">
        <v>0</v>
      </c>
      <c r="H77" s="347">
        <v>27996</v>
      </c>
      <c r="I77" s="167">
        <v>0</v>
      </c>
      <c r="J77" s="347">
        <v>0</v>
      </c>
      <c r="K77" s="348">
        <v>27996</v>
      </c>
    </row>
    <row r="78" spans="1:11">
      <c r="A78" s="45" t="s">
        <v>313</v>
      </c>
      <c r="B78" s="49" t="s">
        <v>197</v>
      </c>
      <c r="F78" s="57">
        <v>0</v>
      </c>
      <c r="G78" s="57">
        <v>0</v>
      </c>
      <c r="H78" s="347">
        <v>0</v>
      </c>
      <c r="I78" s="167">
        <v>0</v>
      </c>
      <c r="J78" s="347">
        <v>0</v>
      </c>
      <c r="K78" s="348">
        <v>0</v>
      </c>
    </row>
    <row r="79" spans="1:11">
      <c r="A79" s="45" t="s">
        <v>314</v>
      </c>
      <c r="B79" s="49" t="s">
        <v>199</v>
      </c>
      <c r="F79" s="57">
        <v>12</v>
      </c>
      <c r="G79" s="57">
        <v>1100</v>
      </c>
      <c r="H79" s="347">
        <v>6010</v>
      </c>
      <c r="I79" s="167">
        <v>3624</v>
      </c>
      <c r="J79" s="347">
        <v>0</v>
      </c>
      <c r="K79" s="348">
        <v>9634</v>
      </c>
    </row>
    <row r="80" spans="1:11">
      <c r="A80" s="45" t="s">
        <v>315</v>
      </c>
      <c r="B80" s="49" t="s">
        <v>316</v>
      </c>
      <c r="F80" s="57">
        <v>0</v>
      </c>
      <c r="G80" s="57">
        <v>0</v>
      </c>
      <c r="H80" s="347">
        <v>0</v>
      </c>
      <c r="I80" s="167">
        <v>0</v>
      </c>
      <c r="J80" s="347">
        <v>0</v>
      </c>
      <c r="K80" s="348">
        <v>0</v>
      </c>
    </row>
    <row r="81" spans="1:11">
      <c r="A81" s="45"/>
      <c r="H81" s="384"/>
      <c r="I81" s="384"/>
      <c r="J81" s="384"/>
      <c r="K81" s="371"/>
    </row>
    <row r="82" spans="1:11">
      <c r="A82" s="45" t="s">
        <v>317</v>
      </c>
      <c r="B82" s="43" t="s">
        <v>318</v>
      </c>
      <c r="E82" s="43" t="s">
        <v>276</v>
      </c>
      <c r="F82" s="455">
        <f t="shared" ref="F82:K82" si="4">SUM(F77:F80)</f>
        <v>12</v>
      </c>
      <c r="G82" s="455">
        <f t="shared" si="4"/>
        <v>1100</v>
      </c>
      <c r="H82" s="354">
        <f t="shared" si="4"/>
        <v>34006</v>
      </c>
      <c r="I82" s="354">
        <f t="shared" si="4"/>
        <v>3624</v>
      </c>
      <c r="J82" s="354">
        <f t="shared" si="4"/>
        <v>0</v>
      </c>
      <c r="K82" s="354">
        <f t="shared" si="4"/>
        <v>37630</v>
      </c>
    </row>
    <row r="83" spans="1:11" ht="13.5" thickBot="1">
      <c r="A83" s="45"/>
      <c r="F83" s="356"/>
      <c r="G83" s="356"/>
      <c r="H83" s="352"/>
      <c r="I83" s="352"/>
      <c r="J83" s="352"/>
      <c r="K83" s="352"/>
    </row>
    <row r="84" spans="1:11" ht="25.5">
      <c r="F84" s="47" t="s">
        <v>145</v>
      </c>
      <c r="G84" s="47" t="s">
        <v>146</v>
      </c>
      <c r="H84" s="113" t="s">
        <v>147</v>
      </c>
      <c r="I84" s="113" t="s">
        <v>148</v>
      </c>
      <c r="J84" s="113" t="s">
        <v>149</v>
      </c>
      <c r="K84" s="113" t="s">
        <v>150</v>
      </c>
    </row>
    <row r="85" spans="1:11">
      <c r="A85" s="48" t="s">
        <v>201</v>
      </c>
      <c r="B85" s="43" t="s">
        <v>202</v>
      </c>
      <c r="H85" s="384"/>
      <c r="I85" s="384"/>
      <c r="J85" s="384"/>
      <c r="K85" s="384"/>
    </row>
    <row r="86" spans="1:11">
      <c r="A86" s="45" t="s">
        <v>319</v>
      </c>
      <c r="B86" s="49" t="s">
        <v>204</v>
      </c>
      <c r="F86" s="57">
        <v>0</v>
      </c>
      <c r="G86" s="57">
        <v>0</v>
      </c>
      <c r="H86" s="347">
        <v>0</v>
      </c>
      <c r="I86" s="167">
        <v>0</v>
      </c>
      <c r="J86" s="347">
        <v>0</v>
      </c>
      <c r="K86" s="348">
        <v>0</v>
      </c>
    </row>
    <row r="87" spans="1:11">
      <c r="A87" s="45" t="s">
        <v>320</v>
      </c>
      <c r="B87" s="49" t="s">
        <v>206</v>
      </c>
      <c r="F87" s="57">
        <v>0</v>
      </c>
      <c r="G87" s="57">
        <v>0</v>
      </c>
      <c r="H87" s="347">
        <v>0</v>
      </c>
      <c r="I87" s="167">
        <v>0</v>
      </c>
      <c r="J87" s="347">
        <v>0</v>
      </c>
      <c r="K87" s="348">
        <v>0</v>
      </c>
    </row>
    <row r="88" spans="1:11">
      <c r="A88" s="45" t="s">
        <v>321</v>
      </c>
      <c r="B88" s="49" t="s">
        <v>208</v>
      </c>
      <c r="F88" s="57">
        <v>30950</v>
      </c>
      <c r="G88" s="57">
        <v>45</v>
      </c>
      <c r="H88" s="347">
        <v>543910</v>
      </c>
      <c r="I88" s="167">
        <v>172963</v>
      </c>
      <c r="J88" s="347">
        <v>517486</v>
      </c>
      <c r="K88" s="348">
        <v>199387</v>
      </c>
    </row>
    <row r="89" spans="1:11">
      <c r="A89" s="45" t="s">
        <v>322</v>
      </c>
      <c r="B89" s="49" t="s">
        <v>210</v>
      </c>
      <c r="F89" s="57">
        <v>0</v>
      </c>
      <c r="G89" s="57">
        <v>0</v>
      </c>
      <c r="H89" s="347">
        <v>0</v>
      </c>
      <c r="I89" s="167">
        <v>0</v>
      </c>
      <c r="J89" s="347">
        <v>0</v>
      </c>
      <c r="K89" s="348">
        <v>0</v>
      </c>
    </row>
    <row r="90" spans="1:11">
      <c r="A90" s="45" t="s">
        <v>323</v>
      </c>
      <c r="B90" s="818" t="s">
        <v>212</v>
      </c>
      <c r="C90" s="818"/>
      <c r="F90" s="57">
        <v>0</v>
      </c>
      <c r="G90" s="57">
        <v>0</v>
      </c>
      <c r="H90" s="347">
        <v>0</v>
      </c>
      <c r="I90" s="167">
        <v>0</v>
      </c>
      <c r="J90" s="347">
        <v>0</v>
      </c>
      <c r="K90" s="348">
        <v>0</v>
      </c>
    </row>
    <row r="91" spans="1:11">
      <c r="A91" s="45" t="s">
        <v>324</v>
      </c>
      <c r="B91" s="49" t="s">
        <v>214</v>
      </c>
      <c r="F91" s="57">
        <v>0</v>
      </c>
      <c r="G91" s="57">
        <v>0</v>
      </c>
      <c r="H91" s="347">
        <v>0</v>
      </c>
      <c r="I91" s="167">
        <v>0</v>
      </c>
      <c r="J91" s="347">
        <v>0</v>
      </c>
      <c r="K91" s="348">
        <v>0</v>
      </c>
    </row>
    <row r="92" spans="1:11">
      <c r="A92" s="45" t="s">
        <v>325</v>
      </c>
      <c r="B92" s="49" t="s">
        <v>216</v>
      </c>
      <c r="F92" s="372">
        <v>0</v>
      </c>
      <c r="G92" s="372">
        <v>0</v>
      </c>
      <c r="H92" s="373">
        <v>29317</v>
      </c>
      <c r="I92" s="167">
        <v>0</v>
      </c>
      <c r="J92" s="373">
        <v>0</v>
      </c>
      <c r="K92" s="348">
        <v>29317</v>
      </c>
    </row>
    <row r="93" spans="1:11">
      <c r="A93" s="45" t="s">
        <v>326</v>
      </c>
      <c r="B93" s="49" t="s">
        <v>218</v>
      </c>
      <c r="F93" s="57">
        <v>40</v>
      </c>
      <c r="G93" s="57">
        <v>4</v>
      </c>
      <c r="H93" s="347">
        <v>1915</v>
      </c>
      <c r="I93" s="167">
        <v>1155</v>
      </c>
      <c r="J93" s="347">
        <v>0</v>
      </c>
      <c r="K93" s="348">
        <v>3070</v>
      </c>
    </row>
    <row r="94" spans="1:11">
      <c r="A94" s="45" t="s">
        <v>327</v>
      </c>
      <c r="B94" s="817"/>
      <c r="C94" s="864"/>
      <c r="D94" s="865"/>
      <c r="F94" s="57"/>
      <c r="G94" s="57"/>
      <c r="H94" s="347"/>
      <c r="I94" s="167"/>
      <c r="J94" s="347"/>
      <c r="K94" s="348"/>
    </row>
    <row r="95" spans="1:11">
      <c r="A95" s="45" t="s">
        <v>329</v>
      </c>
      <c r="B95" s="817"/>
      <c r="C95" s="864"/>
      <c r="D95" s="865"/>
      <c r="F95" s="57"/>
      <c r="G95" s="57"/>
      <c r="H95" s="347"/>
      <c r="I95" s="167"/>
      <c r="J95" s="347"/>
      <c r="K95" s="348"/>
    </row>
    <row r="96" spans="1:11">
      <c r="A96" s="45" t="s">
        <v>330</v>
      </c>
      <c r="B96" s="817"/>
      <c r="C96" s="864"/>
      <c r="D96" s="865"/>
      <c r="F96" s="57"/>
      <c r="G96" s="57"/>
      <c r="H96" s="347"/>
      <c r="I96" s="167"/>
      <c r="J96" s="347"/>
      <c r="K96" s="348"/>
    </row>
    <row r="97" spans="1:11">
      <c r="A97" s="45"/>
      <c r="H97" s="384"/>
      <c r="I97" s="384"/>
      <c r="J97" s="384"/>
      <c r="K97" s="384"/>
    </row>
    <row r="98" spans="1:11">
      <c r="A98" s="48" t="s">
        <v>331</v>
      </c>
      <c r="B98" s="43" t="s">
        <v>220</v>
      </c>
      <c r="E98" s="43" t="s">
        <v>276</v>
      </c>
      <c r="F98" s="350">
        <f t="shared" ref="F98:K98" si="5">SUM(F86:F96)</f>
        <v>30990</v>
      </c>
      <c r="G98" s="350">
        <f t="shared" si="5"/>
        <v>49</v>
      </c>
      <c r="H98" s="348">
        <f t="shared" si="5"/>
        <v>575142</v>
      </c>
      <c r="I98" s="348">
        <f t="shared" si="5"/>
        <v>174118</v>
      </c>
      <c r="J98" s="348">
        <f t="shared" si="5"/>
        <v>517486</v>
      </c>
      <c r="K98" s="348">
        <f t="shared" si="5"/>
        <v>231774</v>
      </c>
    </row>
    <row r="99" spans="1:11" ht="13.5" thickBot="1">
      <c r="B99" s="43"/>
      <c r="F99" s="356"/>
      <c r="G99" s="356"/>
      <c r="H99" s="352"/>
      <c r="I99" s="352"/>
      <c r="J99" s="352"/>
      <c r="K99" s="352"/>
    </row>
    <row r="100" spans="1:11" ht="25.5">
      <c r="F100" s="47" t="s">
        <v>145</v>
      </c>
      <c r="G100" s="47" t="s">
        <v>146</v>
      </c>
      <c r="H100" s="113" t="s">
        <v>147</v>
      </c>
      <c r="I100" s="113" t="s">
        <v>148</v>
      </c>
      <c r="J100" s="113" t="s">
        <v>149</v>
      </c>
      <c r="K100" s="113" t="s">
        <v>150</v>
      </c>
    </row>
    <row r="101" spans="1:11">
      <c r="A101" s="48" t="s">
        <v>221</v>
      </c>
      <c r="B101" s="43" t="s">
        <v>222</v>
      </c>
      <c r="H101" s="384"/>
      <c r="I101" s="384"/>
      <c r="J101" s="384"/>
      <c r="K101" s="384"/>
    </row>
    <row r="102" spans="1:11">
      <c r="A102" s="45" t="s">
        <v>332</v>
      </c>
      <c r="B102" s="49" t="s">
        <v>224</v>
      </c>
      <c r="F102" s="57">
        <v>2233</v>
      </c>
      <c r="G102" s="57">
        <v>0</v>
      </c>
      <c r="H102" s="347">
        <v>150370</v>
      </c>
      <c r="I102" s="167">
        <v>65058</v>
      </c>
      <c r="J102" s="347">
        <v>0</v>
      </c>
      <c r="K102" s="348">
        <v>215428</v>
      </c>
    </row>
    <row r="103" spans="1:11">
      <c r="A103" s="45" t="s">
        <v>333</v>
      </c>
      <c r="B103" s="818" t="s">
        <v>226</v>
      </c>
      <c r="C103" s="818"/>
      <c r="F103" s="57">
        <v>0</v>
      </c>
      <c r="G103" s="57">
        <v>0</v>
      </c>
      <c r="H103" s="347">
        <v>0</v>
      </c>
      <c r="I103" s="167">
        <v>0</v>
      </c>
      <c r="J103" s="347">
        <v>0</v>
      </c>
      <c r="K103" s="348">
        <v>0</v>
      </c>
    </row>
    <row r="104" spans="1:11">
      <c r="A104" s="45" t="s">
        <v>334</v>
      </c>
      <c r="B104" s="817"/>
      <c r="C104" s="864"/>
      <c r="D104" s="865"/>
      <c r="F104" s="57">
        <v>0</v>
      </c>
      <c r="G104" s="57">
        <v>0</v>
      </c>
      <c r="H104" s="347">
        <v>37888</v>
      </c>
      <c r="I104" s="167">
        <v>0</v>
      </c>
      <c r="J104" s="347">
        <v>0</v>
      </c>
      <c r="K104" s="348">
        <v>37888</v>
      </c>
    </row>
    <row r="105" spans="1:11">
      <c r="A105" s="45" t="s">
        <v>336</v>
      </c>
      <c r="B105" s="817"/>
      <c r="C105" s="864"/>
      <c r="D105" s="865"/>
      <c r="F105" s="57">
        <v>0</v>
      </c>
      <c r="G105" s="57">
        <v>0</v>
      </c>
      <c r="H105" s="347">
        <v>0</v>
      </c>
      <c r="I105" s="167">
        <v>0</v>
      </c>
      <c r="J105" s="347">
        <v>0</v>
      </c>
      <c r="K105" s="348">
        <v>0</v>
      </c>
    </row>
    <row r="106" spans="1:11">
      <c r="A106" s="45" t="s">
        <v>337</v>
      </c>
      <c r="B106" s="817"/>
      <c r="C106" s="864"/>
      <c r="D106" s="865"/>
      <c r="F106" s="57"/>
      <c r="G106" s="57"/>
      <c r="H106" s="347"/>
      <c r="I106" s="167"/>
      <c r="J106" s="347"/>
      <c r="K106" s="348"/>
    </row>
    <row r="107" spans="1:11">
      <c r="B107" s="43"/>
      <c r="H107" s="384"/>
      <c r="I107" s="384"/>
      <c r="J107" s="384"/>
      <c r="K107" s="384"/>
    </row>
    <row r="108" spans="1:11">
      <c r="A108" s="48" t="s">
        <v>338</v>
      </c>
      <c r="B108" s="43" t="s">
        <v>229</v>
      </c>
      <c r="E108" s="43" t="s">
        <v>276</v>
      </c>
      <c r="F108" s="350">
        <f t="shared" ref="F108:K108" si="6">SUM(F102:F106)</f>
        <v>2233</v>
      </c>
      <c r="G108" s="350">
        <f t="shared" si="6"/>
        <v>0</v>
      </c>
      <c r="H108" s="348">
        <f t="shared" si="6"/>
        <v>188258</v>
      </c>
      <c r="I108" s="348">
        <f t="shared" si="6"/>
        <v>65058</v>
      </c>
      <c r="J108" s="348">
        <f t="shared" si="6"/>
        <v>0</v>
      </c>
      <c r="K108" s="348">
        <f t="shared" si="6"/>
        <v>253316</v>
      </c>
    </row>
    <row r="109" spans="1:11" ht="13.5" thickBot="1">
      <c r="A109" s="374"/>
      <c r="B109" s="92"/>
      <c r="C109" s="375"/>
      <c r="D109" s="375"/>
      <c r="E109" s="375"/>
      <c r="F109" s="356"/>
      <c r="G109" s="356"/>
      <c r="H109" s="352"/>
      <c r="I109" s="352"/>
      <c r="J109" s="352"/>
      <c r="K109" s="352"/>
    </row>
    <row r="110" spans="1:11">
      <c r="A110" s="48" t="s">
        <v>230</v>
      </c>
      <c r="B110" s="43" t="s">
        <v>231</v>
      </c>
      <c r="H110" s="384"/>
      <c r="I110" s="384"/>
      <c r="J110" s="384"/>
      <c r="K110" s="384"/>
    </row>
    <row r="111" spans="1:11">
      <c r="A111" s="48" t="s">
        <v>339</v>
      </c>
      <c r="B111" s="43" t="s">
        <v>232</v>
      </c>
      <c r="E111" s="43" t="s">
        <v>276</v>
      </c>
      <c r="F111" s="347">
        <v>7360438</v>
      </c>
      <c r="H111" s="384"/>
      <c r="I111" s="384"/>
      <c r="J111" s="384"/>
      <c r="K111" s="384"/>
    </row>
    <row r="112" spans="1:11">
      <c r="B112" s="43"/>
      <c r="E112" s="43"/>
      <c r="H112" s="384"/>
      <c r="I112" s="384"/>
      <c r="J112" s="384"/>
      <c r="K112" s="384"/>
    </row>
    <row r="113" spans="1:11">
      <c r="A113" s="48"/>
      <c r="B113" s="43" t="s">
        <v>233</v>
      </c>
      <c r="H113" s="384"/>
      <c r="I113" s="384"/>
      <c r="J113" s="384"/>
      <c r="K113" s="384"/>
    </row>
    <row r="114" spans="1:11">
      <c r="A114" s="45" t="s">
        <v>340</v>
      </c>
      <c r="B114" s="49" t="s">
        <v>341</v>
      </c>
      <c r="F114" s="376">
        <v>0.6</v>
      </c>
      <c r="H114" s="384"/>
      <c r="I114" s="384"/>
      <c r="J114" s="384"/>
      <c r="K114" s="384"/>
    </row>
    <row r="115" spans="1:11">
      <c r="A115" s="45"/>
      <c r="B115" s="43"/>
      <c r="H115" s="384"/>
      <c r="I115" s="384"/>
      <c r="J115" s="384"/>
      <c r="K115" s="384"/>
    </row>
    <row r="116" spans="1:11">
      <c r="A116" s="45" t="s">
        <v>234</v>
      </c>
      <c r="B116" s="43" t="s">
        <v>235</v>
      </c>
      <c r="H116" s="384"/>
      <c r="I116" s="384"/>
      <c r="J116" s="384"/>
      <c r="K116" s="384"/>
    </row>
    <row r="117" spans="1:11">
      <c r="A117" s="45" t="s">
        <v>342</v>
      </c>
      <c r="B117" s="49" t="s">
        <v>236</v>
      </c>
      <c r="F117" s="347">
        <v>288705318</v>
      </c>
      <c r="H117" s="384"/>
      <c r="I117" s="384"/>
      <c r="J117" s="384"/>
      <c r="K117" s="384"/>
    </row>
    <row r="118" spans="1:11">
      <c r="A118" s="45" t="s">
        <v>343</v>
      </c>
      <c r="B118" s="49" t="s">
        <v>237</v>
      </c>
      <c r="F118" s="347">
        <v>10880915</v>
      </c>
      <c r="H118" s="384"/>
      <c r="I118" s="384"/>
      <c r="J118" s="384"/>
      <c r="K118" s="384"/>
    </row>
    <row r="119" spans="1:11">
      <c r="A119" s="45" t="s">
        <v>344</v>
      </c>
      <c r="B119" s="43" t="s">
        <v>238</v>
      </c>
      <c r="F119" s="354">
        <f>SUM(F117:F118)</f>
        <v>299586233</v>
      </c>
      <c r="H119" s="384"/>
      <c r="I119" s="384"/>
      <c r="J119" s="384"/>
      <c r="K119" s="384"/>
    </row>
    <row r="120" spans="1:11">
      <c r="A120" s="45"/>
      <c r="B120" s="43"/>
      <c r="H120" s="384"/>
      <c r="I120" s="384"/>
      <c r="J120" s="384"/>
      <c r="K120" s="384"/>
    </row>
    <row r="121" spans="1:11">
      <c r="A121" s="45" t="s">
        <v>345</v>
      </c>
      <c r="B121" s="43" t="s">
        <v>346</v>
      </c>
      <c r="F121" s="347">
        <v>307783651</v>
      </c>
      <c r="H121" s="384"/>
      <c r="I121" s="384"/>
      <c r="J121" s="384"/>
      <c r="K121" s="384"/>
    </row>
    <row r="122" spans="1:11">
      <c r="A122" s="45"/>
      <c r="H122" s="384"/>
      <c r="I122" s="384"/>
      <c r="J122" s="384"/>
      <c r="K122" s="384"/>
    </row>
    <row r="123" spans="1:11">
      <c r="A123" s="45" t="s">
        <v>347</v>
      </c>
      <c r="B123" s="43" t="s">
        <v>348</v>
      </c>
      <c r="F123" s="347">
        <v>-8197418</v>
      </c>
      <c r="H123" s="384"/>
      <c r="I123" s="384"/>
      <c r="J123" s="384"/>
      <c r="K123" s="384"/>
    </row>
    <row r="124" spans="1:11">
      <c r="A124" s="45"/>
      <c r="H124" s="384"/>
      <c r="I124" s="384"/>
      <c r="J124" s="384"/>
      <c r="K124" s="384"/>
    </row>
    <row r="125" spans="1:11">
      <c r="A125" s="45" t="s">
        <v>349</v>
      </c>
      <c r="B125" s="43" t="s">
        <v>350</v>
      </c>
      <c r="F125" s="347">
        <v>71034</v>
      </c>
      <c r="H125" s="384"/>
      <c r="I125" s="384"/>
      <c r="J125" s="384"/>
      <c r="K125" s="384"/>
    </row>
    <row r="126" spans="1:11">
      <c r="A126" s="45"/>
      <c r="H126" s="384"/>
      <c r="I126" s="384"/>
      <c r="J126" s="384"/>
      <c r="K126" s="384"/>
    </row>
    <row r="127" spans="1:11">
      <c r="A127" s="45" t="s">
        <v>351</v>
      </c>
      <c r="B127" s="43" t="s">
        <v>352</v>
      </c>
      <c r="F127" s="347">
        <v>-8126384</v>
      </c>
      <c r="H127" s="384"/>
      <c r="I127" s="384"/>
      <c r="J127" s="384"/>
      <c r="K127" s="384"/>
    </row>
    <row r="128" spans="1:11">
      <c r="A128" s="45"/>
      <c r="H128" s="384"/>
      <c r="I128" s="384"/>
      <c r="J128" s="384"/>
      <c r="K128" s="384"/>
    </row>
    <row r="129" spans="1:11" ht="25.5">
      <c r="F129" s="47" t="s">
        <v>145</v>
      </c>
      <c r="G129" s="47" t="s">
        <v>146</v>
      </c>
      <c r="H129" s="113" t="s">
        <v>147</v>
      </c>
      <c r="I129" s="113" t="s">
        <v>148</v>
      </c>
      <c r="J129" s="113" t="s">
        <v>149</v>
      </c>
      <c r="K129" s="113" t="s">
        <v>150</v>
      </c>
    </row>
    <row r="130" spans="1:11">
      <c r="A130" s="48" t="s">
        <v>239</v>
      </c>
      <c r="B130" s="43" t="s">
        <v>240</v>
      </c>
      <c r="H130" s="384"/>
      <c r="I130" s="384"/>
      <c r="J130" s="384"/>
      <c r="K130" s="384"/>
    </row>
    <row r="131" spans="1:11">
      <c r="A131" s="45" t="s">
        <v>353</v>
      </c>
      <c r="B131" s="49" t="s">
        <v>242</v>
      </c>
      <c r="F131" s="57">
        <v>0</v>
      </c>
      <c r="G131" s="57">
        <v>0</v>
      </c>
      <c r="H131" s="347">
        <v>0</v>
      </c>
      <c r="I131" s="167">
        <v>0</v>
      </c>
      <c r="J131" s="347">
        <v>0</v>
      </c>
      <c r="K131" s="348">
        <v>0</v>
      </c>
    </row>
    <row r="132" spans="1:11">
      <c r="A132" s="45" t="s">
        <v>354</v>
      </c>
      <c r="B132" s="49" t="s">
        <v>128</v>
      </c>
      <c r="F132" s="57">
        <v>0</v>
      </c>
      <c r="G132" s="57">
        <v>0</v>
      </c>
      <c r="H132" s="347">
        <v>0</v>
      </c>
      <c r="I132" s="167">
        <v>0</v>
      </c>
      <c r="J132" s="347">
        <v>0</v>
      </c>
      <c r="K132" s="348">
        <v>0</v>
      </c>
    </row>
    <row r="133" spans="1:11">
      <c r="A133" s="45" t="s">
        <v>355</v>
      </c>
      <c r="B133" s="814"/>
      <c r="C133" s="815"/>
      <c r="D133" s="816"/>
      <c r="F133" s="57"/>
      <c r="G133" s="57"/>
      <c r="H133" s="347"/>
      <c r="I133" s="167"/>
      <c r="J133" s="347"/>
      <c r="K133" s="348"/>
    </row>
    <row r="134" spans="1:11">
      <c r="A134" s="45" t="s">
        <v>356</v>
      </c>
      <c r="B134" s="814"/>
      <c r="C134" s="815"/>
      <c r="D134" s="816"/>
      <c r="F134" s="57"/>
      <c r="G134" s="57"/>
      <c r="H134" s="347"/>
      <c r="I134" s="167"/>
      <c r="J134" s="347"/>
      <c r="K134" s="348"/>
    </row>
    <row r="135" spans="1:11">
      <c r="A135" s="45" t="s">
        <v>357</v>
      </c>
      <c r="B135" s="814"/>
      <c r="C135" s="815"/>
      <c r="D135" s="816"/>
      <c r="F135" s="57"/>
      <c r="G135" s="57"/>
      <c r="H135" s="347"/>
      <c r="I135" s="167"/>
      <c r="J135" s="347"/>
      <c r="K135" s="348"/>
    </row>
    <row r="136" spans="1:11">
      <c r="A136" s="48"/>
      <c r="H136" s="384"/>
      <c r="I136" s="384"/>
      <c r="J136" s="384"/>
      <c r="K136" s="384"/>
    </row>
    <row r="137" spans="1:11">
      <c r="A137" s="48" t="s">
        <v>358</v>
      </c>
      <c r="B137" s="43" t="s">
        <v>359</v>
      </c>
      <c r="F137" s="350">
        <f t="shared" ref="F137:K137" si="7">SUM(F131:F135)</f>
        <v>0</v>
      </c>
      <c r="G137" s="350">
        <f t="shared" si="7"/>
        <v>0</v>
      </c>
      <c r="H137" s="348">
        <f t="shared" si="7"/>
        <v>0</v>
      </c>
      <c r="I137" s="348">
        <f t="shared" si="7"/>
        <v>0</v>
      </c>
      <c r="J137" s="348">
        <f t="shared" si="7"/>
        <v>0</v>
      </c>
      <c r="K137" s="348">
        <f t="shared" si="7"/>
        <v>0</v>
      </c>
    </row>
    <row r="138" spans="1:11">
      <c r="A138" s="49"/>
      <c r="H138" s="384"/>
      <c r="I138" s="384"/>
      <c r="J138" s="384"/>
      <c r="K138" s="384"/>
    </row>
    <row r="139" spans="1:11" ht="25.5">
      <c r="F139" s="47" t="s">
        <v>145</v>
      </c>
      <c r="G139" s="47" t="s">
        <v>146</v>
      </c>
      <c r="H139" s="113" t="s">
        <v>147</v>
      </c>
      <c r="I139" s="113" t="s">
        <v>148</v>
      </c>
      <c r="J139" s="113" t="s">
        <v>149</v>
      </c>
      <c r="K139" s="113" t="s">
        <v>150</v>
      </c>
    </row>
    <row r="140" spans="1:11">
      <c r="A140" s="48" t="s">
        <v>244</v>
      </c>
      <c r="B140" s="43" t="s">
        <v>245</v>
      </c>
      <c r="H140" s="384"/>
      <c r="I140" s="384"/>
      <c r="J140" s="384"/>
      <c r="K140" s="384"/>
    </row>
    <row r="141" spans="1:11">
      <c r="A141" s="45" t="s">
        <v>275</v>
      </c>
      <c r="B141" s="43" t="s">
        <v>246</v>
      </c>
      <c r="F141" s="377">
        <f t="shared" ref="F141:K141" si="8">F36</f>
        <v>17383.599999999999</v>
      </c>
      <c r="G141" s="377">
        <f t="shared" si="8"/>
        <v>31808</v>
      </c>
      <c r="H141" s="380">
        <f t="shared" si="8"/>
        <v>689485</v>
      </c>
      <c r="I141" s="380">
        <f t="shared" si="8"/>
        <v>367107</v>
      </c>
      <c r="J141" s="380">
        <f t="shared" si="8"/>
        <v>63885</v>
      </c>
      <c r="K141" s="380">
        <f t="shared" si="8"/>
        <v>992707</v>
      </c>
    </row>
    <row r="142" spans="1:11">
      <c r="A142" s="45" t="s">
        <v>286</v>
      </c>
      <c r="B142" s="43" t="s">
        <v>125</v>
      </c>
      <c r="F142" s="456">
        <f t="shared" ref="F142:K142" si="9">F49</f>
        <v>98711</v>
      </c>
      <c r="G142" s="456">
        <f t="shared" si="9"/>
        <v>675</v>
      </c>
      <c r="H142" s="380">
        <f t="shared" si="9"/>
        <v>5179266</v>
      </c>
      <c r="I142" s="380">
        <f t="shared" si="9"/>
        <v>2983971</v>
      </c>
      <c r="J142" s="380">
        <f t="shared" si="9"/>
        <v>126621</v>
      </c>
      <c r="K142" s="380">
        <f t="shared" si="9"/>
        <v>8036616</v>
      </c>
    </row>
    <row r="143" spans="1:11">
      <c r="A143" s="45" t="s">
        <v>305</v>
      </c>
      <c r="B143" s="43" t="s">
        <v>247</v>
      </c>
      <c r="F143" s="377">
        <f t="shared" ref="F143:K143" si="10">F64</f>
        <v>251692</v>
      </c>
      <c r="G143" s="377">
        <f t="shared" si="10"/>
        <v>6331</v>
      </c>
      <c r="H143" s="380">
        <f t="shared" si="10"/>
        <v>23837518</v>
      </c>
      <c r="I143" s="380">
        <f t="shared" si="10"/>
        <v>5985243</v>
      </c>
      <c r="J143" s="380">
        <f t="shared" si="10"/>
        <v>22730426</v>
      </c>
      <c r="K143" s="380">
        <f t="shared" si="10"/>
        <v>7092335</v>
      </c>
    </row>
    <row r="144" spans="1:11">
      <c r="A144" s="45" t="s">
        <v>311</v>
      </c>
      <c r="B144" s="43" t="s">
        <v>127</v>
      </c>
      <c r="F144" s="377">
        <f t="shared" ref="F144:K144" si="11">F74</f>
        <v>0</v>
      </c>
      <c r="G144" s="377">
        <f t="shared" si="11"/>
        <v>0</v>
      </c>
      <c r="H144" s="380">
        <f t="shared" si="11"/>
        <v>0</v>
      </c>
      <c r="I144" s="380">
        <f t="shared" si="11"/>
        <v>0</v>
      </c>
      <c r="J144" s="380">
        <f t="shared" si="11"/>
        <v>0</v>
      </c>
      <c r="K144" s="380">
        <f t="shared" si="11"/>
        <v>0</v>
      </c>
    </row>
    <row r="145" spans="1:11">
      <c r="A145" s="45" t="s">
        <v>317</v>
      </c>
      <c r="B145" s="43" t="s">
        <v>248</v>
      </c>
      <c r="F145" s="377">
        <f t="shared" ref="F145:K145" si="12">F82</f>
        <v>12</v>
      </c>
      <c r="G145" s="377">
        <f t="shared" si="12"/>
        <v>1100</v>
      </c>
      <c r="H145" s="380">
        <f t="shared" si="12"/>
        <v>34006</v>
      </c>
      <c r="I145" s="380">
        <f t="shared" si="12"/>
        <v>3624</v>
      </c>
      <c r="J145" s="380">
        <f t="shared" si="12"/>
        <v>0</v>
      </c>
      <c r="K145" s="380">
        <f t="shared" si="12"/>
        <v>37630</v>
      </c>
    </row>
    <row r="146" spans="1:11">
      <c r="A146" s="45" t="s">
        <v>331</v>
      </c>
      <c r="B146" s="43" t="s">
        <v>249</v>
      </c>
      <c r="F146" s="377">
        <f t="shared" ref="F146:K146" si="13">F98</f>
        <v>30990</v>
      </c>
      <c r="G146" s="377">
        <f t="shared" si="13"/>
        <v>49</v>
      </c>
      <c r="H146" s="380">
        <f t="shared" si="13"/>
        <v>575142</v>
      </c>
      <c r="I146" s="380">
        <f t="shared" si="13"/>
        <v>174118</v>
      </c>
      <c r="J146" s="380">
        <f t="shared" si="13"/>
        <v>517486</v>
      </c>
      <c r="K146" s="380">
        <f t="shared" si="13"/>
        <v>231774</v>
      </c>
    </row>
    <row r="147" spans="1:11">
      <c r="A147" s="45" t="s">
        <v>338</v>
      </c>
      <c r="B147" s="43" t="s">
        <v>129</v>
      </c>
      <c r="F147" s="350">
        <f t="shared" ref="F147:K147" si="14">F108</f>
        <v>2233</v>
      </c>
      <c r="G147" s="350">
        <f t="shared" si="14"/>
        <v>0</v>
      </c>
      <c r="H147" s="348">
        <f t="shared" si="14"/>
        <v>188258</v>
      </c>
      <c r="I147" s="348">
        <f t="shared" si="14"/>
        <v>65058</v>
      </c>
      <c r="J147" s="348">
        <f t="shared" si="14"/>
        <v>0</v>
      </c>
      <c r="K147" s="348">
        <f t="shared" si="14"/>
        <v>253316</v>
      </c>
    </row>
    <row r="148" spans="1:11">
      <c r="A148" s="45" t="s">
        <v>339</v>
      </c>
      <c r="B148" s="43" t="s">
        <v>131</v>
      </c>
      <c r="F148" s="378" t="s">
        <v>122</v>
      </c>
      <c r="G148" s="378" t="s">
        <v>122</v>
      </c>
      <c r="H148" s="379" t="s">
        <v>122</v>
      </c>
      <c r="I148" s="379" t="s">
        <v>122</v>
      </c>
      <c r="J148" s="379" t="s">
        <v>122</v>
      </c>
      <c r="K148" s="380">
        <f>F111</f>
        <v>7360438</v>
      </c>
    </row>
    <row r="149" spans="1:11">
      <c r="A149" s="45" t="s">
        <v>358</v>
      </c>
      <c r="B149" s="43" t="s">
        <v>250</v>
      </c>
      <c r="F149" s="350">
        <f t="shared" ref="F149:K149" si="15">F137</f>
        <v>0</v>
      </c>
      <c r="G149" s="350">
        <f t="shared" si="15"/>
        <v>0</v>
      </c>
      <c r="H149" s="348">
        <f t="shared" si="15"/>
        <v>0</v>
      </c>
      <c r="I149" s="348">
        <f t="shared" si="15"/>
        <v>0</v>
      </c>
      <c r="J149" s="348">
        <f t="shared" si="15"/>
        <v>0</v>
      </c>
      <c r="K149" s="348">
        <f t="shared" si="15"/>
        <v>0</v>
      </c>
    </row>
    <row r="150" spans="1:11">
      <c r="A150" s="45" t="s">
        <v>259</v>
      </c>
      <c r="B150" s="43" t="s">
        <v>251</v>
      </c>
      <c r="F150" s="378" t="s">
        <v>122</v>
      </c>
      <c r="G150" s="378" t="s">
        <v>122</v>
      </c>
      <c r="H150" s="348">
        <f>H18</f>
        <v>8398669</v>
      </c>
      <c r="I150" s="348">
        <f>I18</f>
        <v>0</v>
      </c>
      <c r="J150" s="348">
        <f>J18</f>
        <v>7181912</v>
      </c>
      <c r="K150" s="348">
        <f>K18</f>
        <v>1216757</v>
      </c>
    </row>
    <row r="151" spans="1:11">
      <c r="B151" s="43"/>
      <c r="F151" s="358"/>
      <c r="G151" s="358"/>
      <c r="H151" s="394"/>
      <c r="I151" s="394"/>
      <c r="J151" s="394"/>
      <c r="K151" s="394"/>
    </row>
    <row r="152" spans="1:11">
      <c r="A152" s="48" t="s">
        <v>360</v>
      </c>
      <c r="B152" s="43" t="s">
        <v>245</v>
      </c>
      <c r="F152" s="381">
        <f t="shared" ref="F152:K152" si="16">SUM(F141:F150)</f>
        <v>401021.6</v>
      </c>
      <c r="G152" s="381">
        <f t="shared" si="16"/>
        <v>39963</v>
      </c>
      <c r="H152" s="457">
        <f t="shared" si="16"/>
        <v>38902344</v>
      </c>
      <c r="I152" s="457">
        <f t="shared" si="16"/>
        <v>9579121</v>
      </c>
      <c r="J152" s="457">
        <f t="shared" si="16"/>
        <v>30620330</v>
      </c>
      <c r="K152" s="457">
        <f t="shared" si="16"/>
        <v>25221573</v>
      </c>
    </row>
    <row r="154" spans="1:11">
      <c r="A154" s="48" t="s">
        <v>361</v>
      </c>
      <c r="B154" s="43" t="s">
        <v>252</v>
      </c>
      <c r="F154" s="459">
        <f>K152/F121</f>
        <v>8.1945785352971853E-2</v>
      </c>
      <c r="H154" s="384"/>
      <c r="I154" s="384"/>
      <c r="J154" s="384"/>
      <c r="K154" s="384"/>
    </row>
    <row r="155" spans="1:11">
      <c r="A155" s="48" t="s">
        <v>362</v>
      </c>
      <c r="B155" s="43" t="s">
        <v>253</v>
      </c>
      <c r="F155" s="459">
        <f>K152/F127</f>
        <v>-3.1036649264912906</v>
      </c>
      <c r="G155" s="43"/>
      <c r="H155" s="384"/>
      <c r="I155" s="384"/>
      <c r="J155" s="384"/>
      <c r="K155" s="384"/>
    </row>
    <row r="156" spans="1:11">
      <c r="G156" s="43"/>
      <c r="H156" s="384"/>
      <c r="I156" s="384"/>
      <c r="J156" s="384"/>
      <c r="K156" s="384"/>
    </row>
  </sheetData>
  <mergeCells count="34">
    <mergeCell ref="B134:D134"/>
    <mergeCell ref="B135:D135"/>
    <mergeCell ref="B103:C103"/>
    <mergeCell ref="B104:D104"/>
    <mergeCell ref="B105:D105"/>
    <mergeCell ref="B106:D106"/>
    <mergeCell ref="B133:D133"/>
    <mergeCell ref="B62:D62"/>
    <mergeCell ref="B90:C90"/>
    <mergeCell ref="B94:D94"/>
    <mergeCell ref="B95:D95"/>
    <mergeCell ref="B96:D96"/>
    <mergeCell ref="B53:D53"/>
    <mergeCell ref="B55:D55"/>
    <mergeCell ref="B56:D56"/>
    <mergeCell ref="B57:D57"/>
    <mergeCell ref="B59:D59"/>
    <mergeCell ref="B44:D44"/>
    <mergeCell ref="B45:D45"/>
    <mergeCell ref="B46:D46"/>
    <mergeCell ref="B47:D47"/>
    <mergeCell ref="B52:C52"/>
    <mergeCell ref="B13:H13"/>
    <mergeCell ref="B30:D30"/>
    <mergeCell ref="B31:D31"/>
    <mergeCell ref="B34:D34"/>
    <mergeCell ref="B41:C41"/>
    <mergeCell ref="C11:G11"/>
    <mergeCell ref="D2:H2"/>
    <mergeCell ref="C5:G5"/>
    <mergeCell ref="C6:G6"/>
    <mergeCell ref="C7:G7"/>
    <mergeCell ref="C9:G9"/>
    <mergeCell ref="C10:G10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selection activeCell="B43" sqref="B43"/>
    </sheetView>
  </sheetViews>
  <sheetFormatPr defaultRowHeight="12.75"/>
  <cols>
    <col min="1" max="1" width="8.28515625" style="39" customWidth="1"/>
    <col min="2" max="2" width="55.42578125" style="40" bestFit="1" customWidth="1"/>
    <col min="3" max="3" width="9.5703125" style="40" customWidth="1"/>
    <col min="4" max="4" width="9.140625" style="40"/>
    <col min="5" max="5" width="12.42578125" style="40" customWidth="1"/>
    <col min="6" max="6" width="18.5703125" style="40" customWidth="1"/>
    <col min="7" max="7" width="23.5703125" style="40" customWidth="1"/>
    <col min="8" max="8" width="17.140625" style="40" customWidth="1"/>
    <col min="9" max="9" width="21.140625" style="40" customWidth="1"/>
    <col min="10" max="10" width="19.85546875" style="40" customWidth="1"/>
    <col min="11" max="11" width="17.5703125" style="40" customWidth="1"/>
    <col min="12" max="16384" width="9.140625" style="40"/>
  </cols>
  <sheetData>
    <row r="1" spans="1:11" ht="18" customHeight="1">
      <c r="C1" s="41"/>
      <c r="D1" s="42"/>
      <c r="E1" s="41"/>
      <c r="F1" s="41"/>
      <c r="G1" s="41"/>
      <c r="H1" s="41"/>
      <c r="I1" s="41"/>
      <c r="J1" s="41"/>
      <c r="K1" s="41"/>
    </row>
    <row r="2" spans="1:11" ht="18" customHeight="1">
      <c r="D2" s="824" t="s">
        <v>133</v>
      </c>
      <c r="E2" s="825"/>
      <c r="F2" s="825"/>
      <c r="G2" s="825"/>
      <c r="H2" s="825"/>
    </row>
    <row r="3" spans="1:11" ht="18" customHeight="1">
      <c r="B3" s="43" t="s">
        <v>134</v>
      </c>
    </row>
    <row r="5" spans="1:11" ht="18" customHeight="1">
      <c r="B5" s="45" t="s">
        <v>135</v>
      </c>
      <c r="C5" s="826" t="s">
        <v>429</v>
      </c>
      <c r="D5" s="827"/>
      <c r="E5" s="827"/>
      <c r="F5" s="827"/>
      <c r="G5" s="828"/>
    </row>
    <row r="6" spans="1:11" ht="18" customHeight="1">
      <c r="B6" s="45" t="s">
        <v>136</v>
      </c>
      <c r="C6" s="886">
        <v>5034</v>
      </c>
      <c r="D6" s="830"/>
      <c r="E6" s="830"/>
      <c r="F6" s="830"/>
      <c r="G6" s="831"/>
    </row>
    <row r="7" spans="1:11" ht="18" customHeight="1">
      <c r="B7" s="45" t="s">
        <v>137</v>
      </c>
      <c r="C7" s="832">
        <v>600</v>
      </c>
      <c r="D7" s="833"/>
      <c r="E7" s="833"/>
      <c r="F7" s="833"/>
      <c r="G7" s="834"/>
    </row>
    <row r="9" spans="1:11" ht="18" customHeight="1">
      <c r="B9" s="45" t="s">
        <v>138</v>
      </c>
      <c r="C9" s="843"/>
      <c r="D9" s="827"/>
      <c r="E9" s="827"/>
      <c r="F9" s="827"/>
      <c r="G9" s="828"/>
    </row>
    <row r="10" spans="1:11" ht="18" customHeight="1">
      <c r="B10" s="45" t="s">
        <v>140</v>
      </c>
      <c r="C10" s="848"/>
      <c r="D10" s="836"/>
      <c r="E10" s="836"/>
      <c r="F10" s="836"/>
      <c r="G10" s="837"/>
    </row>
    <row r="11" spans="1:11" ht="18" customHeight="1">
      <c r="B11" s="45" t="s">
        <v>142</v>
      </c>
      <c r="C11" s="843"/>
      <c r="D11" s="839"/>
      <c r="E11" s="839"/>
      <c r="F11" s="839"/>
      <c r="G11" s="839"/>
    </row>
    <row r="12" spans="1:11" ht="18" customHeight="1">
      <c r="B12" s="45"/>
      <c r="C12" s="45"/>
      <c r="D12" s="45"/>
      <c r="E12" s="45"/>
      <c r="F12" s="45"/>
      <c r="G12" s="45"/>
    </row>
    <row r="13" spans="1:11" ht="24.6" customHeight="1">
      <c r="B13" s="840"/>
      <c r="C13" s="841"/>
      <c r="D13" s="841"/>
      <c r="E13" s="841"/>
      <c r="F13" s="841"/>
      <c r="G13" s="841"/>
      <c r="H13" s="842"/>
      <c r="I13" s="41"/>
    </row>
    <row r="14" spans="1:11" ht="18" customHeight="1">
      <c r="B14" s="46"/>
    </row>
    <row r="15" spans="1:11" ht="18" customHeight="1">
      <c r="B15" s="46"/>
    </row>
    <row r="16" spans="1:11" ht="45" customHeight="1">
      <c r="A16" s="42" t="s">
        <v>144</v>
      </c>
      <c r="B16" s="41"/>
      <c r="C16" s="41"/>
      <c r="D16" s="41"/>
      <c r="E16" s="41"/>
      <c r="F16" s="47" t="s">
        <v>145</v>
      </c>
      <c r="G16" s="47" t="s">
        <v>146</v>
      </c>
      <c r="H16" s="47" t="s">
        <v>147</v>
      </c>
      <c r="I16" s="47" t="s">
        <v>148</v>
      </c>
      <c r="J16" s="47" t="s">
        <v>149</v>
      </c>
      <c r="K16" s="47" t="s">
        <v>150</v>
      </c>
    </row>
    <row r="17" spans="1:11" ht="18" customHeight="1">
      <c r="A17" s="48" t="s">
        <v>151</v>
      </c>
      <c r="B17" s="43" t="s">
        <v>152</v>
      </c>
    </row>
    <row r="18" spans="1:11" ht="18" customHeight="1">
      <c r="A18" s="45" t="s">
        <v>259</v>
      </c>
      <c r="B18" s="49" t="s">
        <v>153</v>
      </c>
      <c r="F18" s="50" t="s">
        <v>122</v>
      </c>
      <c r="G18" s="50" t="s">
        <v>122</v>
      </c>
      <c r="H18" s="51">
        <v>0</v>
      </c>
      <c r="I18" s="52">
        <v>0</v>
      </c>
      <c r="J18" s="51">
        <v>0</v>
      </c>
      <c r="K18" s="53">
        <f>(H18+I18)-J18</f>
        <v>0</v>
      </c>
    </row>
    <row r="19" spans="1:11" ht="45" customHeight="1">
      <c r="A19" s="42" t="s">
        <v>154</v>
      </c>
      <c r="B19" s="41"/>
      <c r="C19" s="41"/>
      <c r="D19" s="41"/>
      <c r="E19" s="41"/>
      <c r="F19" s="47" t="s">
        <v>145</v>
      </c>
      <c r="G19" s="47" t="s">
        <v>146</v>
      </c>
      <c r="H19" s="47" t="s">
        <v>147</v>
      </c>
      <c r="I19" s="47" t="s">
        <v>148</v>
      </c>
      <c r="J19" s="47" t="s">
        <v>149</v>
      </c>
      <c r="K19" s="47" t="s">
        <v>150</v>
      </c>
    </row>
    <row r="20" spans="1:11" ht="18" customHeight="1">
      <c r="A20" s="48" t="s">
        <v>260</v>
      </c>
      <c r="B20" s="43" t="s">
        <v>155</v>
      </c>
    </row>
    <row r="21" spans="1:11" ht="18" customHeight="1">
      <c r="A21" s="45" t="s">
        <v>164</v>
      </c>
      <c r="B21" s="49" t="s">
        <v>156</v>
      </c>
      <c r="F21" s="50">
        <v>1795.5</v>
      </c>
      <c r="G21" s="50">
        <v>252523</v>
      </c>
      <c r="H21" s="51">
        <v>73252.73000000001</v>
      </c>
      <c r="I21" s="52">
        <f t="shared" ref="I21:I34" si="0">H21*F$114</f>
        <v>36626.365000000005</v>
      </c>
      <c r="J21" s="51">
        <v>0</v>
      </c>
      <c r="K21" s="53">
        <f t="shared" ref="K21:K34" si="1">(H21+I21)-J21</f>
        <v>109879.09500000002</v>
      </c>
    </row>
    <row r="22" spans="1:11" ht="18" customHeight="1">
      <c r="A22" s="45" t="s">
        <v>261</v>
      </c>
      <c r="B22" s="40" t="s">
        <v>157</v>
      </c>
      <c r="F22" s="50">
        <v>24</v>
      </c>
      <c r="G22" s="50">
        <v>6</v>
      </c>
      <c r="H22" s="51">
        <v>724.31999999999994</v>
      </c>
      <c r="I22" s="52">
        <f t="shared" si="0"/>
        <v>362.15999999999997</v>
      </c>
      <c r="J22" s="51">
        <v>0</v>
      </c>
      <c r="K22" s="53">
        <f t="shared" si="1"/>
        <v>1086.48</v>
      </c>
    </row>
    <row r="23" spans="1:11" ht="18" customHeight="1">
      <c r="A23" s="45" t="s">
        <v>262</v>
      </c>
      <c r="B23" s="40" t="s">
        <v>158</v>
      </c>
      <c r="F23" s="50">
        <v>0</v>
      </c>
      <c r="G23" s="50">
        <v>0</v>
      </c>
      <c r="H23" s="51">
        <v>0</v>
      </c>
      <c r="I23" s="52">
        <f t="shared" si="0"/>
        <v>0</v>
      </c>
      <c r="J23" s="51">
        <v>0</v>
      </c>
      <c r="K23" s="53">
        <f t="shared" si="1"/>
        <v>0</v>
      </c>
    </row>
    <row r="24" spans="1:11" ht="18" customHeight="1">
      <c r="A24" s="45" t="s">
        <v>263</v>
      </c>
      <c r="B24" s="40" t="s">
        <v>159</v>
      </c>
      <c r="F24" s="50">
        <v>0</v>
      </c>
      <c r="G24" s="50">
        <v>0</v>
      </c>
      <c r="H24" s="51">
        <v>0</v>
      </c>
      <c r="I24" s="52">
        <f t="shared" si="0"/>
        <v>0</v>
      </c>
      <c r="J24" s="51">
        <v>0</v>
      </c>
      <c r="K24" s="53">
        <f t="shared" si="1"/>
        <v>0</v>
      </c>
    </row>
    <row r="25" spans="1:11" ht="18" customHeight="1">
      <c r="A25" s="45" t="s">
        <v>264</v>
      </c>
      <c r="B25" s="40" t="s">
        <v>160</v>
      </c>
      <c r="F25" s="50">
        <v>0</v>
      </c>
      <c r="G25" s="50">
        <v>0</v>
      </c>
      <c r="H25" s="51">
        <v>0</v>
      </c>
      <c r="I25" s="52">
        <f t="shared" si="0"/>
        <v>0</v>
      </c>
      <c r="J25" s="51">
        <v>0</v>
      </c>
      <c r="K25" s="53">
        <f t="shared" si="1"/>
        <v>0</v>
      </c>
    </row>
    <row r="26" spans="1:11" ht="18" customHeight="1">
      <c r="A26" s="45" t="s">
        <v>265</v>
      </c>
      <c r="B26" s="40" t="s">
        <v>161</v>
      </c>
      <c r="F26" s="50">
        <v>0</v>
      </c>
      <c r="G26" s="50">
        <v>0</v>
      </c>
      <c r="H26" s="51">
        <v>0</v>
      </c>
      <c r="I26" s="52">
        <f t="shared" si="0"/>
        <v>0</v>
      </c>
      <c r="J26" s="51">
        <v>0</v>
      </c>
      <c r="K26" s="53">
        <f t="shared" si="1"/>
        <v>0</v>
      </c>
    </row>
    <row r="27" spans="1:11" ht="18" customHeight="1">
      <c r="A27" s="45" t="s">
        <v>266</v>
      </c>
      <c r="B27" s="40" t="s">
        <v>162</v>
      </c>
      <c r="F27" s="50">
        <v>0</v>
      </c>
      <c r="G27" s="50">
        <v>0</v>
      </c>
      <c r="H27" s="51">
        <v>0</v>
      </c>
      <c r="I27" s="52">
        <f t="shared" si="0"/>
        <v>0</v>
      </c>
      <c r="J27" s="51">
        <v>0</v>
      </c>
      <c r="K27" s="53">
        <f t="shared" si="1"/>
        <v>0</v>
      </c>
    </row>
    <row r="28" spans="1:11" ht="18" customHeight="1">
      <c r="A28" s="45" t="s">
        <v>267</v>
      </c>
      <c r="B28" s="40" t="s">
        <v>163</v>
      </c>
      <c r="F28" s="50">
        <v>0</v>
      </c>
      <c r="G28" s="50">
        <v>0</v>
      </c>
      <c r="H28" s="51">
        <v>0</v>
      </c>
      <c r="I28" s="52">
        <f t="shared" si="0"/>
        <v>0</v>
      </c>
      <c r="J28" s="51">
        <v>0</v>
      </c>
      <c r="K28" s="53">
        <f t="shared" si="1"/>
        <v>0</v>
      </c>
    </row>
    <row r="29" spans="1:11" ht="18" customHeight="1">
      <c r="A29" s="45" t="s">
        <v>268</v>
      </c>
      <c r="B29" s="40" t="s">
        <v>165</v>
      </c>
      <c r="F29" s="50">
        <v>1</v>
      </c>
      <c r="G29" s="50">
        <v>0</v>
      </c>
      <c r="H29" s="51">
        <v>46.620000000000005</v>
      </c>
      <c r="I29" s="52">
        <f t="shared" si="0"/>
        <v>23.310000000000002</v>
      </c>
      <c r="J29" s="51">
        <v>0</v>
      </c>
      <c r="K29" s="53">
        <f t="shared" si="1"/>
        <v>69.930000000000007</v>
      </c>
    </row>
    <row r="30" spans="1:11" ht="18" customHeight="1">
      <c r="A30" s="45" t="s">
        <v>269</v>
      </c>
      <c r="B30" s="814"/>
      <c r="C30" s="815"/>
      <c r="D30" s="816"/>
      <c r="F30" s="50"/>
      <c r="G30" s="50"/>
      <c r="H30" s="51"/>
      <c r="I30" s="52">
        <f t="shared" si="0"/>
        <v>0</v>
      </c>
      <c r="J30" s="51"/>
      <c r="K30" s="53">
        <f t="shared" si="1"/>
        <v>0</v>
      </c>
    </row>
    <row r="31" spans="1:11" ht="18" customHeight="1">
      <c r="A31" s="45" t="s">
        <v>270</v>
      </c>
      <c r="B31" s="814"/>
      <c r="C31" s="815"/>
      <c r="D31" s="816"/>
      <c r="F31" s="50"/>
      <c r="G31" s="50"/>
      <c r="H31" s="51"/>
      <c r="I31" s="52">
        <f t="shared" si="0"/>
        <v>0</v>
      </c>
      <c r="J31" s="51"/>
      <c r="K31" s="53">
        <f t="shared" si="1"/>
        <v>0</v>
      </c>
    </row>
    <row r="32" spans="1:11" ht="18" customHeight="1">
      <c r="A32" s="45" t="s">
        <v>271</v>
      </c>
      <c r="B32" s="107"/>
      <c r="C32" s="108"/>
      <c r="D32" s="109"/>
      <c r="F32" s="50"/>
      <c r="G32" s="57" t="s">
        <v>272</v>
      </c>
      <c r="H32" s="51"/>
      <c r="I32" s="52">
        <f t="shared" si="0"/>
        <v>0</v>
      </c>
      <c r="J32" s="51"/>
      <c r="K32" s="53">
        <f t="shared" si="1"/>
        <v>0</v>
      </c>
    </row>
    <row r="33" spans="1:11" ht="18" customHeight="1">
      <c r="A33" s="45" t="s">
        <v>273</v>
      </c>
      <c r="B33" s="107"/>
      <c r="C33" s="108"/>
      <c r="D33" s="109"/>
      <c r="F33" s="50"/>
      <c r="G33" s="57" t="s">
        <v>272</v>
      </c>
      <c r="H33" s="51"/>
      <c r="I33" s="52">
        <f t="shared" si="0"/>
        <v>0</v>
      </c>
      <c r="J33" s="51"/>
      <c r="K33" s="53">
        <f t="shared" si="1"/>
        <v>0</v>
      </c>
    </row>
    <row r="34" spans="1:11" ht="18" customHeight="1">
      <c r="A34" s="45" t="s">
        <v>274</v>
      </c>
      <c r="B34" s="814"/>
      <c r="C34" s="815"/>
      <c r="D34" s="816"/>
      <c r="F34" s="50"/>
      <c r="G34" s="57" t="s">
        <v>272</v>
      </c>
      <c r="H34" s="51"/>
      <c r="I34" s="52">
        <f t="shared" si="0"/>
        <v>0</v>
      </c>
      <c r="J34" s="51"/>
      <c r="K34" s="53">
        <f t="shared" si="1"/>
        <v>0</v>
      </c>
    </row>
    <row r="35" spans="1:11" ht="18" customHeight="1">
      <c r="K35" s="58"/>
    </row>
    <row r="36" spans="1:11" ht="18" customHeight="1">
      <c r="A36" s="48" t="s">
        <v>275</v>
      </c>
      <c r="B36" s="43" t="s">
        <v>166</v>
      </c>
      <c r="E36" s="43" t="s">
        <v>276</v>
      </c>
      <c r="F36" s="59">
        <f t="shared" ref="F36:K36" si="2">SUM(F21:F34)</f>
        <v>1820.5</v>
      </c>
      <c r="G36" s="59">
        <f t="shared" si="2"/>
        <v>252529</v>
      </c>
      <c r="H36" s="59">
        <f t="shared" si="2"/>
        <v>74023.670000000013</v>
      </c>
      <c r="I36" s="53">
        <f t="shared" si="2"/>
        <v>37011.835000000006</v>
      </c>
      <c r="J36" s="53">
        <f t="shared" si="2"/>
        <v>0</v>
      </c>
      <c r="K36" s="53">
        <f t="shared" si="2"/>
        <v>111035.505</v>
      </c>
    </row>
    <row r="37" spans="1:11" ht="18" customHeight="1" thickBot="1">
      <c r="B37" s="43"/>
      <c r="F37" s="60"/>
      <c r="G37" s="60"/>
      <c r="H37" s="61"/>
      <c r="I37" s="61"/>
      <c r="J37" s="61"/>
      <c r="K37" s="62"/>
    </row>
    <row r="38" spans="1:11" ht="42.75" customHeight="1">
      <c r="F38" s="47" t="s">
        <v>145</v>
      </c>
      <c r="G38" s="47" t="s">
        <v>146</v>
      </c>
      <c r="H38" s="47" t="s">
        <v>147</v>
      </c>
      <c r="I38" s="47" t="s">
        <v>148</v>
      </c>
      <c r="J38" s="47" t="s">
        <v>149</v>
      </c>
      <c r="K38" s="47" t="s">
        <v>150</v>
      </c>
    </row>
    <row r="39" spans="1:11" ht="18.75" customHeight="1">
      <c r="A39" s="48" t="s">
        <v>167</v>
      </c>
      <c r="B39" s="43" t="s">
        <v>168</v>
      </c>
    </row>
    <row r="40" spans="1:11" ht="18" customHeight="1">
      <c r="A40" s="45" t="s">
        <v>277</v>
      </c>
      <c r="B40" s="40" t="s">
        <v>170</v>
      </c>
      <c r="F40" s="50">
        <v>0</v>
      </c>
      <c r="G40" s="50">
        <v>0</v>
      </c>
      <c r="H40" s="51">
        <v>0</v>
      </c>
      <c r="I40" s="52">
        <f t="shared" ref="I40:I47" si="3">H40*F$114</f>
        <v>0</v>
      </c>
      <c r="J40" s="51">
        <v>0</v>
      </c>
      <c r="K40" s="53">
        <f t="shared" ref="K40:K47" si="4">(H40+I40)-J40</f>
        <v>0</v>
      </c>
    </row>
    <row r="41" spans="1:11" ht="18" customHeight="1">
      <c r="A41" s="45" t="s">
        <v>278</v>
      </c>
      <c r="B41" s="818" t="s">
        <v>172</v>
      </c>
      <c r="C41" s="819"/>
      <c r="F41" s="50">
        <v>2</v>
      </c>
      <c r="G41" s="50">
        <v>80</v>
      </c>
      <c r="H41" s="51">
        <v>15</v>
      </c>
      <c r="I41" s="52">
        <f t="shared" si="3"/>
        <v>7.5</v>
      </c>
      <c r="J41" s="51">
        <v>0</v>
      </c>
      <c r="K41" s="53">
        <f t="shared" si="4"/>
        <v>22.5</v>
      </c>
    </row>
    <row r="42" spans="1:11" ht="18" customHeight="1">
      <c r="A42" s="45" t="s">
        <v>279</v>
      </c>
      <c r="B42" s="49" t="s">
        <v>174</v>
      </c>
      <c r="F42" s="50">
        <v>1074</v>
      </c>
      <c r="G42" s="50">
        <v>0</v>
      </c>
      <c r="H42" s="51">
        <v>54129.599999999999</v>
      </c>
      <c r="I42" s="52">
        <f t="shared" si="3"/>
        <v>27064.799999999999</v>
      </c>
      <c r="J42" s="51">
        <v>0</v>
      </c>
      <c r="K42" s="53">
        <f t="shared" si="4"/>
        <v>81194.399999999994</v>
      </c>
    </row>
    <row r="43" spans="1:11" ht="18" customHeight="1">
      <c r="A43" s="45" t="s">
        <v>280</v>
      </c>
      <c r="B43" s="49" t="s">
        <v>176</v>
      </c>
      <c r="F43" s="50">
        <v>0</v>
      </c>
      <c r="G43" s="50">
        <v>0</v>
      </c>
      <c r="H43" s="51">
        <v>0</v>
      </c>
      <c r="I43" s="52">
        <f t="shared" si="3"/>
        <v>0</v>
      </c>
      <c r="J43" s="51">
        <v>0</v>
      </c>
      <c r="K43" s="53">
        <f t="shared" si="4"/>
        <v>0</v>
      </c>
    </row>
    <row r="44" spans="1:11" ht="18" customHeight="1">
      <c r="A44" s="45" t="s">
        <v>281</v>
      </c>
      <c r="B44" s="814" t="s">
        <v>181</v>
      </c>
      <c r="C44" s="815"/>
      <c r="D44" s="816"/>
      <c r="F44" s="50">
        <v>3853</v>
      </c>
      <c r="G44" s="50">
        <v>82</v>
      </c>
      <c r="H44" s="50">
        <v>182625.53999999995</v>
      </c>
      <c r="I44" s="52">
        <f t="shared" si="3"/>
        <v>91312.769999999975</v>
      </c>
      <c r="J44" s="50">
        <v>2500</v>
      </c>
      <c r="K44" s="63">
        <f t="shared" si="4"/>
        <v>271438.30999999994</v>
      </c>
    </row>
    <row r="45" spans="1:11" ht="18" customHeight="1">
      <c r="A45" s="45" t="s">
        <v>283</v>
      </c>
      <c r="B45" s="814"/>
      <c r="C45" s="815"/>
      <c r="D45" s="816"/>
      <c r="F45" s="50"/>
      <c r="G45" s="50"/>
      <c r="H45" s="51"/>
      <c r="I45" s="52">
        <f t="shared" si="3"/>
        <v>0</v>
      </c>
      <c r="J45" s="51"/>
      <c r="K45" s="53">
        <f t="shared" si="4"/>
        <v>0</v>
      </c>
    </row>
    <row r="46" spans="1:11" ht="18" customHeight="1">
      <c r="A46" s="45" t="s">
        <v>284</v>
      </c>
      <c r="B46" s="814"/>
      <c r="C46" s="815"/>
      <c r="D46" s="816"/>
      <c r="F46" s="50"/>
      <c r="G46" s="50"/>
      <c r="H46" s="51"/>
      <c r="I46" s="52">
        <f t="shared" si="3"/>
        <v>0</v>
      </c>
      <c r="J46" s="51"/>
      <c r="K46" s="53">
        <f t="shared" si="4"/>
        <v>0</v>
      </c>
    </row>
    <row r="47" spans="1:11" ht="18" customHeight="1">
      <c r="A47" s="45" t="s">
        <v>285</v>
      </c>
      <c r="B47" s="814"/>
      <c r="C47" s="815"/>
      <c r="D47" s="816"/>
      <c r="F47" s="50"/>
      <c r="G47" s="50"/>
      <c r="H47" s="51"/>
      <c r="I47" s="52">
        <f t="shared" si="3"/>
        <v>0</v>
      </c>
      <c r="J47" s="51"/>
      <c r="K47" s="53">
        <f t="shared" si="4"/>
        <v>0</v>
      </c>
    </row>
    <row r="49" spans="1:11" ht="18" customHeight="1">
      <c r="A49" s="48" t="s">
        <v>286</v>
      </c>
      <c r="B49" s="43" t="s">
        <v>177</v>
      </c>
      <c r="E49" s="43" t="s">
        <v>276</v>
      </c>
      <c r="F49" s="64">
        <f t="shared" ref="F49:K49" si="5">SUM(F40:F47)</f>
        <v>4929</v>
      </c>
      <c r="G49" s="64">
        <f t="shared" si="5"/>
        <v>162</v>
      </c>
      <c r="H49" s="53">
        <f t="shared" si="5"/>
        <v>236770.13999999996</v>
      </c>
      <c r="I49" s="53">
        <f t="shared" si="5"/>
        <v>118385.06999999998</v>
      </c>
      <c r="J49" s="53">
        <f t="shared" si="5"/>
        <v>2500</v>
      </c>
      <c r="K49" s="53">
        <f t="shared" si="5"/>
        <v>352655.20999999996</v>
      </c>
    </row>
    <row r="50" spans="1:11" ht="18" customHeight="1" thickBot="1">
      <c r="G50" s="65"/>
      <c r="H50" s="65"/>
      <c r="I50" s="65"/>
      <c r="J50" s="65"/>
      <c r="K50" s="65"/>
    </row>
    <row r="51" spans="1:11" ht="42.75" customHeight="1">
      <c r="F51" s="47" t="s">
        <v>145</v>
      </c>
      <c r="G51" s="47" t="s">
        <v>146</v>
      </c>
      <c r="H51" s="47" t="s">
        <v>147</v>
      </c>
      <c r="I51" s="47" t="s">
        <v>148</v>
      </c>
      <c r="J51" s="47" t="s">
        <v>149</v>
      </c>
      <c r="K51" s="47" t="s">
        <v>150</v>
      </c>
    </row>
    <row r="52" spans="1:11" ht="18" customHeight="1">
      <c r="A52" s="48" t="s">
        <v>178</v>
      </c>
      <c r="B52" s="820" t="s">
        <v>179</v>
      </c>
      <c r="C52" s="821"/>
    </row>
    <row r="53" spans="1:11" ht="18" customHeight="1">
      <c r="A53" s="45" t="s">
        <v>287</v>
      </c>
      <c r="B53" s="822" t="s">
        <v>430</v>
      </c>
      <c r="C53" s="823"/>
      <c r="D53" s="813"/>
      <c r="F53" s="50"/>
      <c r="G53" s="50">
        <v>1223</v>
      </c>
      <c r="H53" s="51">
        <v>829449</v>
      </c>
      <c r="I53" s="52">
        <f t="shared" ref="I53:I62" si="6">H53*F$114</f>
        <v>414724.5</v>
      </c>
      <c r="J53" s="51">
        <v>491211.04667515727</v>
      </c>
      <c r="K53" s="53">
        <f t="shared" ref="K53:K62" si="7">(H53+I53)-J53</f>
        <v>752962.45332484273</v>
      </c>
    </row>
    <row r="54" spans="1:11" ht="18" customHeight="1">
      <c r="A54" s="45" t="s">
        <v>289</v>
      </c>
      <c r="B54" s="104"/>
      <c r="C54" s="105"/>
      <c r="D54" s="106"/>
      <c r="F54" s="50"/>
      <c r="G54" s="50"/>
      <c r="H54" s="51"/>
      <c r="I54" s="52">
        <f t="shared" si="6"/>
        <v>0</v>
      </c>
      <c r="J54" s="51"/>
      <c r="K54" s="53">
        <f t="shared" si="7"/>
        <v>0</v>
      </c>
    </row>
    <row r="55" spans="1:11" ht="18" customHeight="1">
      <c r="A55" s="45" t="s">
        <v>291</v>
      </c>
      <c r="B55" s="811"/>
      <c r="C55" s="812"/>
      <c r="D55" s="813"/>
      <c r="F55" s="50"/>
      <c r="G55" s="50"/>
      <c r="H55" s="51"/>
      <c r="I55" s="52">
        <f t="shared" si="6"/>
        <v>0</v>
      </c>
      <c r="J55" s="51"/>
      <c r="K55" s="53">
        <f t="shared" si="7"/>
        <v>0</v>
      </c>
    </row>
    <row r="56" spans="1:11" ht="18" customHeight="1">
      <c r="A56" s="45" t="s">
        <v>293</v>
      </c>
      <c r="B56" s="811"/>
      <c r="C56" s="812"/>
      <c r="D56" s="813"/>
      <c r="F56" s="50"/>
      <c r="G56" s="50"/>
      <c r="H56" s="51"/>
      <c r="I56" s="52">
        <f t="shared" si="6"/>
        <v>0</v>
      </c>
      <c r="J56" s="51"/>
      <c r="K56" s="53">
        <f t="shared" si="7"/>
        <v>0</v>
      </c>
    </row>
    <row r="57" spans="1:11" ht="18" customHeight="1">
      <c r="A57" s="45" t="s">
        <v>295</v>
      </c>
      <c r="B57" s="811"/>
      <c r="C57" s="812"/>
      <c r="D57" s="813"/>
      <c r="F57" s="50"/>
      <c r="G57" s="50"/>
      <c r="H57" s="51"/>
      <c r="I57" s="52">
        <f t="shared" si="6"/>
        <v>0</v>
      </c>
      <c r="J57" s="51"/>
      <c r="K57" s="53">
        <f t="shared" si="7"/>
        <v>0</v>
      </c>
    </row>
    <row r="58" spans="1:11" ht="18" customHeight="1">
      <c r="A58" s="45" t="s">
        <v>298</v>
      </c>
      <c r="B58" s="104"/>
      <c r="C58" s="105"/>
      <c r="D58" s="106"/>
      <c r="F58" s="50"/>
      <c r="G58" s="50"/>
      <c r="H58" s="51"/>
      <c r="I58" s="52">
        <f t="shared" si="6"/>
        <v>0</v>
      </c>
      <c r="J58" s="51"/>
      <c r="K58" s="53">
        <f t="shared" si="7"/>
        <v>0</v>
      </c>
    </row>
    <row r="59" spans="1:11" ht="18" customHeight="1">
      <c r="A59" s="45" t="s">
        <v>300</v>
      </c>
      <c r="B59" s="811"/>
      <c r="C59" s="812"/>
      <c r="D59" s="813"/>
      <c r="F59" s="50"/>
      <c r="G59" s="50"/>
      <c r="H59" s="51"/>
      <c r="I59" s="52">
        <f t="shared" si="6"/>
        <v>0</v>
      </c>
      <c r="J59" s="51"/>
      <c r="K59" s="53">
        <f t="shared" si="7"/>
        <v>0</v>
      </c>
    </row>
    <row r="60" spans="1:11" ht="18" customHeight="1">
      <c r="A60" s="45" t="s">
        <v>302</v>
      </c>
      <c r="B60" s="104"/>
      <c r="C60" s="105"/>
      <c r="D60" s="106"/>
      <c r="F60" s="50"/>
      <c r="G60" s="50"/>
      <c r="H60" s="51"/>
      <c r="I60" s="52">
        <f t="shared" si="6"/>
        <v>0</v>
      </c>
      <c r="J60" s="51"/>
      <c r="K60" s="53">
        <f t="shared" si="7"/>
        <v>0</v>
      </c>
    </row>
    <row r="61" spans="1:11" ht="18" customHeight="1">
      <c r="A61" s="45" t="s">
        <v>303</v>
      </c>
      <c r="B61" s="104"/>
      <c r="C61" s="105"/>
      <c r="D61" s="106"/>
      <c r="F61" s="50"/>
      <c r="G61" s="50"/>
      <c r="H61" s="51"/>
      <c r="I61" s="52">
        <f t="shared" si="6"/>
        <v>0</v>
      </c>
      <c r="J61" s="51"/>
      <c r="K61" s="53">
        <f t="shared" si="7"/>
        <v>0</v>
      </c>
    </row>
    <row r="62" spans="1:11" ht="18" customHeight="1">
      <c r="A62" s="45" t="s">
        <v>304</v>
      </c>
      <c r="B62" s="811"/>
      <c r="C62" s="812"/>
      <c r="D62" s="813"/>
      <c r="F62" s="50"/>
      <c r="G62" s="50"/>
      <c r="H62" s="51"/>
      <c r="I62" s="52">
        <f t="shared" si="6"/>
        <v>0</v>
      </c>
      <c r="J62" s="51"/>
      <c r="K62" s="53">
        <f t="shared" si="7"/>
        <v>0</v>
      </c>
    </row>
    <row r="63" spans="1:11" ht="18" customHeight="1">
      <c r="A63" s="45"/>
      <c r="I63" s="73"/>
    </row>
    <row r="64" spans="1:11" ht="18" customHeight="1">
      <c r="A64" s="45" t="s">
        <v>305</v>
      </c>
      <c r="B64" s="43" t="s">
        <v>184</v>
      </c>
      <c r="E64" s="43" t="s">
        <v>276</v>
      </c>
      <c r="F64" s="59">
        <f t="shared" ref="F64:K64" si="8">SUM(F53:F62)</f>
        <v>0</v>
      </c>
      <c r="G64" s="59">
        <f t="shared" si="8"/>
        <v>1223</v>
      </c>
      <c r="H64" s="53">
        <f t="shared" si="8"/>
        <v>829449</v>
      </c>
      <c r="I64" s="53">
        <f t="shared" si="8"/>
        <v>414724.5</v>
      </c>
      <c r="J64" s="53">
        <f t="shared" si="8"/>
        <v>491211.04667515727</v>
      </c>
      <c r="K64" s="53">
        <f t="shared" si="8"/>
        <v>752962.45332484273</v>
      </c>
    </row>
    <row r="65" spans="1:11" ht="18" customHeight="1">
      <c r="F65" s="74"/>
      <c r="G65" s="74"/>
      <c r="H65" s="74"/>
      <c r="I65" s="74"/>
      <c r="J65" s="74"/>
      <c r="K65" s="74"/>
    </row>
    <row r="66" spans="1:11" ht="42.75" customHeight="1">
      <c r="F66" s="47" t="s">
        <v>145</v>
      </c>
      <c r="G66" s="47" t="s">
        <v>146</v>
      </c>
      <c r="H66" s="47" t="s">
        <v>147</v>
      </c>
      <c r="I66" s="47" t="s">
        <v>148</v>
      </c>
      <c r="J66" s="47" t="s">
        <v>149</v>
      </c>
      <c r="K66" s="47" t="s">
        <v>150</v>
      </c>
    </row>
    <row r="67" spans="1:11" ht="18" customHeight="1">
      <c r="A67" s="48" t="s">
        <v>185</v>
      </c>
      <c r="B67" s="43" t="s">
        <v>186</v>
      </c>
      <c r="F67" s="75"/>
      <c r="G67" s="75"/>
      <c r="H67" s="75"/>
      <c r="I67" s="76"/>
      <c r="J67" s="75"/>
      <c r="K67" s="77"/>
    </row>
    <row r="68" spans="1:11" ht="18" customHeight="1">
      <c r="A68" s="45" t="s">
        <v>306</v>
      </c>
      <c r="B68" s="40" t="s">
        <v>188</v>
      </c>
      <c r="F68" s="78">
        <v>0</v>
      </c>
      <c r="G68" s="78">
        <v>0</v>
      </c>
      <c r="H68" s="78">
        <v>0</v>
      </c>
      <c r="I68" s="52">
        <f t="shared" ref="I68:I72" si="9">H68*F$114</f>
        <v>0</v>
      </c>
      <c r="J68" s="78">
        <v>0</v>
      </c>
      <c r="K68" s="53">
        <f>(H68+I68)-J68</f>
        <v>0</v>
      </c>
    </row>
    <row r="69" spans="1:11" ht="18" customHeight="1">
      <c r="A69" s="45" t="s">
        <v>307</v>
      </c>
      <c r="B69" s="49" t="s">
        <v>190</v>
      </c>
      <c r="F69" s="78">
        <v>0</v>
      </c>
      <c r="G69" s="78">
        <v>0</v>
      </c>
      <c r="H69" s="78">
        <v>0</v>
      </c>
      <c r="I69" s="52">
        <f t="shared" si="9"/>
        <v>0</v>
      </c>
      <c r="J69" s="78">
        <v>0</v>
      </c>
      <c r="K69" s="53">
        <f>(H69+I69)-J69</f>
        <v>0</v>
      </c>
    </row>
    <row r="70" spans="1:11" ht="18" customHeight="1">
      <c r="A70" s="45" t="s">
        <v>308</v>
      </c>
      <c r="B70" s="104"/>
      <c r="C70" s="105"/>
      <c r="D70" s="106"/>
      <c r="E70" s="43"/>
      <c r="F70" s="79"/>
      <c r="G70" s="79"/>
      <c r="H70" s="80"/>
      <c r="I70" s="52">
        <f t="shared" si="9"/>
        <v>0</v>
      </c>
      <c r="J70" s="80"/>
      <c r="K70" s="53">
        <f>(H70+I70)-J70</f>
        <v>0</v>
      </c>
    </row>
    <row r="71" spans="1:11" ht="18" customHeight="1">
      <c r="A71" s="45" t="s">
        <v>309</v>
      </c>
      <c r="B71" s="104"/>
      <c r="C71" s="105"/>
      <c r="D71" s="106"/>
      <c r="E71" s="43"/>
      <c r="F71" s="79"/>
      <c r="G71" s="79"/>
      <c r="H71" s="80"/>
      <c r="I71" s="52">
        <f t="shared" si="9"/>
        <v>0</v>
      </c>
      <c r="J71" s="80"/>
      <c r="K71" s="53">
        <f>(H71+I71)-J71</f>
        <v>0</v>
      </c>
    </row>
    <row r="72" spans="1:11" ht="18" customHeight="1">
      <c r="A72" s="45" t="s">
        <v>310</v>
      </c>
      <c r="B72" s="112"/>
      <c r="C72" s="111"/>
      <c r="D72" s="83"/>
      <c r="E72" s="43"/>
      <c r="F72" s="50"/>
      <c r="G72" s="50"/>
      <c r="H72" s="51"/>
      <c r="I72" s="52">
        <f t="shared" si="9"/>
        <v>0</v>
      </c>
      <c r="J72" s="51"/>
      <c r="K72" s="53">
        <f>(H72+I72)-J72</f>
        <v>0</v>
      </c>
    </row>
    <row r="73" spans="1:11" ht="18" customHeight="1">
      <c r="A73" s="45"/>
      <c r="B73" s="49"/>
      <c r="E73" s="43"/>
      <c r="F73" s="84"/>
      <c r="G73" s="84"/>
      <c r="H73" s="85"/>
      <c r="I73" s="76"/>
      <c r="J73" s="85"/>
      <c r="K73" s="77"/>
    </row>
    <row r="74" spans="1:11" ht="18" customHeight="1">
      <c r="A74" s="48" t="s">
        <v>311</v>
      </c>
      <c r="B74" s="43" t="s">
        <v>191</v>
      </c>
      <c r="E74" s="43" t="s">
        <v>276</v>
      </c>
      <c r="F74" s="86">
        <f t="shared" ref="F74:K74" si="10">SUM(F68:F72)</f>
        <v>0</v>
      </c>
      <c r="G74" s="86">
        <f t="shared" si="10"/>
        <v>0</v>
      </c>
      <c r="H74" s="86">
        <f t="shared" si="10"/>
        <v>0</v>
      </c>
      <c r="I74" s="87">
        <f t="shared" si="10"/>
        <v>0</v>
      </c>
      <c r="J74" s="86">
        <f t="shared" si="10"/>
        <v>0</v>
      </c>
      <c r="K74" s="63">
        <f t="shared" si="10"/>
        <v>0</v>
      </c>
    </row>
    <row r="75" spans="1:11" ht="42.75" customHeight="1">
      <c r="F75" s="47" t="s">
        <v>145</v>
      </c>
      <c r="G75" s="47" t="s">
        <v>146</v>
      </c>
      <c r="H75" s="47" t="s">
        <v>147</v>
      </c>
      <c r="I75" s="47" t="s">
        <v>148</v>
      </c>
      <c r="J75" s="47" t="s">
        <v>149</v>
      </c>
      <c r="K75" s="47" t="s">
        <v>150</v>
      </c>
    </row>
    <row r="76" spans="1:11" ht="18" customHeight="1">
      <c r="A76" s="48" t="s">
        <v>192</v>
      </c>
      <c r="B76" s="43" t="s">
        <v>193</v>
      </c>
    </row>
    <row r="77" spans="1:11" ht="18" customHeight="1">
      <c r="A77" s="45" t="s">
        <v>312</v>
      </c>
      <c r="B77" s="49" t="s">
        <v>195</v>
      </c>
      <c r="F77" s="50">
        <v>0</v>
      </c>
      <c r="G77" s="50">
        <v>15983</v>
      </c>
      <c r="H77" s="51">
        <v>37530</v>
      </c>
      <c r="I77" s="52">
        <f t="shared" ref="I77:I80" si="11">H77*F$114</f>
        <v>18765</v>
      </c>
      <c r="J77" s="51">
        <v>0</v>
      </c>
      <c r="K77" s="53">
        <f>(H77+I77)-J77</f>
        <v>56295</v>
      </c>
    </row>
    <row r="78" spans="1:11" ht="18" customHeight="1">
      <c r="A78" s="45" t="s">
        <v>313</v>
      </c>
      <c r="B78" s="49" t="s">
        <v>197</v>
      </c>
      <c r="F78" s="50">
        <v>100</v>
      </c>
      <c r="G78" s="50">
        <v>0</v>
      </c>
      <c r="H78" s="51">
        <v>4662</v>
      </c>
      <c r="I78" s="52">
        <f t="shared" si="11"/>
        <v>2331</v>
      </c>
      <c r="J78" s="51">
        <v>0</v>
      </c>
      <c r="K78" s="53">
        <f>(H78+I78)-J78</f>
        <v>6993</v>
      </c>
    </row>
    <row r="79" spans="1:11" ht="18" customHeight="1">
      <c r="A79" s="45" t="s">
        <v>314</v>
      </c>
      <c r="B79" s="49" t="s">
        <v>199</v>
      </c>
      <c r="F79" s="50">
        <v>0</v>
      </c>
      <c r="G79" s="50">
        <v>36</v>
      </c>
      <c r="H79" s="51">
        <v>360</v>
      </c>
      <c r="I79" s="52">
        <f t="shared" si="11"/>
        <v>180</v>
      </c>
      <c r="J79" s="51">
        <v>0</v>
      </c>
      <c r="K79" s="53">
        <f>(H79+I79)-J79</f>
        <v>540</v>
      </c>
    </row>
    <row r="80" spans="1:11" ht="18" customHeight="1">
      <c r="A80" s="45" t="s">
        <v>315</v>
      </c>
      <c r="B80" s="49" t="s">
        <v>316</v>
      </c>
      <c r="F80" s="50">
        <v>50</v>
      </c>
      <c r="G80" s="50">
        <v>0</v>
      </c>
      <c r="H80" s="51">
        <v>2331</v>
      </c>
      <c r="I80" s="52">
        <f t="shared" si="11"/>
        <v>1165.5</v>
      </c>
      <c r="J80" s="51">
        <v>0</v>
      </c>
      <c r="K80" s="53">
        <f>(H80+I80)-J80</f>
        <v>3496.5</v>
      </c>
    </row>
    <row r="81" spans="1:11" ht="18" customHeight="1">
      <c r="A81" s="45"/>
      <c r="K81" s="88"/>
    </row>
    <row r="82" spans="1:11" ht="18" customHeight="1">
      <c r="A82" s="45" t="s">
        <v>317</v>
      </c>
      <c r="B82" s="43" t="s">
        <v>318</v>
      </c>
      <c r="E82" s="43" t="s">
        <v>276</v>
      </c>
      <c r="F82" s="86">
        <f t="shared" ref="F82:K82" si="12">SUM(F77:F80)</f>
        <v>150</v>
      </c>
      <c r="G82" s="86">
        <f t="shared" si="12"/>
        <v>16019</v>
      </c>
      <c r="H82" s="63">
        <f t="shared" si="12"/>
        <v>44883</v>
      </c>
      <c r="I82" s="63">
        <f t="shared" si="12"/>
        <v>22441.5</v>
      </c>
      <c r="J82" s="63">
        <f t="shared" si="12"/>
        <v>0</v>
      </c>
      <c r="K82" s="63">
        <f t="shared" si="12"/>
        <v>67324.5</v>
      </c>
    </row>
    <row r="83" spans="1:11" ht="18" customHeight="1" thickBot="1">
      <c r="A83" s="45"/>
      <c r="F83" s="65"/>
      <c r="G83" s="65"/>
      <c r="H83" s="65"/>
      <c r="I83" s="65"/>
      <c r="J83" s="65"/>
      <c r="K83" s="65"/>
    </row>
    <row r="84" spans="1:11" ht="42.75" customHeight="1">
      <c r="F84" s="47" t="s">
        <v>145</v>
      </c>
      <c r="G84" s="47" t="s">
        <v>146</v>
      </c>
      <c r="H84" s="47" t="s">
        <v>147</v>
      </c>
      <c r="I84" s="47" t="s">
        <v>148</v>
      </c>
      <c r="J84" s="47" t="s">
        <v>149</v>
      </c>
      <c r="K84" s="47" t="s">
        <v>150</v>
      </c>
    </row>
    <row r="85" spans="1:11" ht="18" customHeight="1">
      <c r="A85" s="48" t="s">
        <v>201</v>
      </c>
      <c r="B85" s="43" t="s">
        <v>202</v>
      </c>
    </row>
    <row r="86" spans="1:11" ht="18" customHeight="1">
      <c r="A86" s="45" t="s">
        <v>319</v>
      </c>
      <c r="B86" s="49" t="s">
        <v>204</v>
      </c>
      <c r="F86" s="50">
        <v>0</v>
      </c>
      <c r="G86" s="50">
        <v>0</v>
      </c>
      <c r="H86" s="51">
        <v>0</v>
      </c>
      <c r="I86" s="52">
        <f t="shared" ref="I86:I96" si="13">H86*F$114</f>
        <v>0</v>
      </c>
      <c r="J86" s="51">
        <v>0</v>
      </c>
      <c r="K86" s="53">
        <f t="shared" ref="K86:K96" si="14">(H86+I86)-J86</f>
        <v>0</v>
      </c>
    </row>
    <row r="87" spans="1:11" ht="18" customHeight="1">
      <c r="A87" s="45" t="s">
        <v>320</v>
      </c>
      <c r="B87" s="49" t="s">
        <v>206</v>
      </c>
      <c r="F87" s="50">
        <v>0</v>
      </c>
      <c r="G87" s="50">
        <v>0</v>
      </c>
      <c r="H87" s="51">
        <v>0</v>
      </c>
      <c r="I87" s="52">
        <f t="shared" si="13"/>
        <v>0</v>
      </c>
      <c r="J87" s="51">
        <v>0</v>
      </c>
      <c r="K87" s="53">
        <f t="shared" si="14"/>
        <v>0</v>
      </c>
    </row>
    <row r="88" spans="1:11" ht="18" customHeight="1">
      <c r="A88" s="45" t="s">
        <v>321</v>
      </c>
      <c r="B88" s="49" t="s">
        <v>208</v>
      </c>
      <c r="F88" s="50">
        <v>2</v>
      </c>
      <c r="G88" s="50">
        <v>1</v>
      </c>
      <c r="H88" s="51">
        <v>47.88</v>
      </c>
      <c r="I88" s="52">
        <f t="shared" si="13"/>
        <v>23.94</v>
      </c>
      <c r="J88" s="51">
        <v>0</v>
      </c>
      <c r="K88" s="53">
        <f t="shared" si="14"/>
        <v>71.820000000000007</v>
      </c>
    </row>
    <row r="89" spans="1:11" ht="18" customHeight="1">
      <c r="A89" s="45" t="s">
        <v>322</v>
      </c>
      <c r="B89" s="49" t="s">
        <v>210</v>
      </c>
      <c r="F89" s="50">
        <v>0</v>
      </c>
      <c r="G89" s="50">
        <v>0</v>
      </c>
      <c r="H89" s="51">
        <v>0</v>
      </c>
      <c r="I89" s="52">
        <f t="shared" si="13"/>
        <v>0</v>
      </c>
      <c r="J89" s="51">
        <v>0</v>
      </c>
      <c r="K89" s="53">
        <f t="shared" si="14"/>
        <v>0</v>
      </c>
    </row>
    <row r="90" spans="1:11" ht="18" customHeight="1">
      <c r="A90" s="45" t="s">
        <v>323</v>
      </c>
      <c r="B90" s="818" t="s">
        <v>212</v>
      </c>
      <c r="C90" s="819"/>
      <c r="F90" s="50">
        <v>0</v>
      </c>
      <c r="G90" s="50">
        <v>0</v>
      </c>
      <c r="H90" s="51">
        <v>0</v>
      </c>
      <c r="I90" s="52">
        <f t="shared" si="13"/>
        <v>0</v>
      </c>
      <c r="J90" s="51">
        <v>0</v>
      </c>
      <c r="K90" s="53">
        <f t="shared" si="14"/>
        <v>0</v>
      </c>
    </row>
    <row r="91" spans="1:11" ht="18" customHeight="1">
      <c r="A91" s="45" t="s">
        <v>324</v>
      </c>
      <c r="B91" s="49" t="s">
        <v>214</v>
      </c>
      <c r="F91" s="50">
        <v>182</v>
      </c>
      <c r="G91" s="50">
        <v>45</v>
      </c>
      <c r="H91" s="51">
        <v>10014.48</v>
      </c>
      <c r="I91" s="52">
        <f t="shared" si="13"/>
        <v>5007.24</v>
      </c>
      <c r="J91" s="51">
        <v>0</v>
      </c>
      <c r="K91" s="53">
        <f t="shared" si="14"/>
        <v>15021.72</v>
      </c>
    </row>
    <row r="92" spans="1:11" ht="18" customHeight="1">
      <c r="A92" s="45" t="s">
        <v>325</v>
      </c>
      <c r="B92" s="49" t="s">
        <v>216</v>
      </c>
      <c r="F92" s="89">
        <v>89</v>
      </c>
      <c r="G92" s="89">
        <v>12</v>
      </c>
      <c r="H92" s="90">
        <v>9997.9</v>
      </c>
      <c r="I92" s="52">
        <f t="shared" si="13"/>
        <v>4998.95</v>
      </c>
      <c r="J92" s="90">
        <v>0</v>
      </c>
      <c r="K92" s="53">
        <f t="shared" si="14"/>
        <v>14996.849999999999</v>
      </c>
    </row>
    <row r="93" spans="1:11" ht="18" customHeight="1">
      <c r="A93" s="45" t="s">
        <v>326</v>
      </c>
      <c r="B93" s="49" t="s">
        <v>218</v>
      </c>
      <c r="F93" s="50">
        <v>0</v>
      </c>
      <c r="G93" s="50">
        <v>0</v>
      </c>
      <c r="H93" s="51">
        <v>0</v>
      </c>
      <c r="I93" s="52">
        <f t="shared" si="13"/>
        <v>0</v>
      </c>
      <c r="J93" s="51">
        <v>0</v>
      </c>
      <c r="K93" s="53">
        <f t="shared" si="14"/>
        <v>0</v>
      </c>
    </row>
    <row r="94" spans="1:11" ht="18" customHeight="1">
      <c r="A94" s="45" t="s">
        <v>327</v>
      </c>
      <c r="B94" s="811"/>
      <c r="C94" s="812"/>
      <c r="D94" s="813"/>
      <c r="F94" s="50"/>
      <c r="G94" s="50"/>
      <c r="H94" s="51"/>
      <c r="I94" s="52">
        <f t="shared" si="13"/>
        <v>0</v>
      </c>
      <c r="J94" s="51"/>
      <c r="K94" s="53">
        <f t="shared" si="14"/>
        <v>0</v>
      </c>
    </row>
    <row r="95" spans="1:11" ht="18" customHeight="1">
      <c r="A95" s="45" t="s">
        <v>329</v>
      </c>
      <c r="B95" s="811"/>
      <c r="C95" s="812"/>
      <c r="D95" s="813"/>
      <c r="F95" s="50"/>
      <c r="G95" s="50"/>
      <c r="H95" s="51"/>
      <c r="I95" s="52">
        <f t="shared" si="13"/>
        <v>0</v>
      </c>
      <c r="J95" s="51"/>
      <c r="K95" s="53">
        <f t="shared" si="14"/>
        <v>0</v>
      </c>
    </row>
    <row r="96" spans="1:11" ht="18" customHeight="1">
      <c r="A96" s="45" t="s">
        <v>330</v>
      </c>
      <c r="B96" s="811"/>
      <c r="C96" s="812"/>
      <c r="D96" s="813"/>
      <c r="F96" s="50"/>
      <c r="G96" s="50"/>
      <c r="H96" s="51"/>
      <c r="I96" s="52">
        <f t="shared" si="13"/>
        <v>0</v>
      </c>
      <c r="J96" s="51"/>
      <c r="K96" s="53">
        <f t="shared" si="14"/>
        <v>0</v>
      </c>
    </row>
    <row r="97" spans="1:11" ht="18" customHeight="1">
      <c r="A97" s="45"/>
      <c r="B97" s="49"/>
    </row>
    <row r="98" spans="1:11" ht="18" customHeight="1">
      <c r="A98" s="48" t="s">
        <v>331</v>
      </c>
      <c r="B98" s="43" t="s">
        <v>220</v>
      </c>
      <c r="E98" s="43" t="s">
        <v>276</v>
      </c>
      <c r="F98" s="59">
        <f t="shared" ref="F98:K98" si="15">SUM(F86:F96)</f>
        <v>273</v>
      </c>
      <c r="G98" s="59">
        <f t="shared" si="15"/>
        <v>58</v>
      </c>
      <c r="H98" s="59">
        <f t="shared" si="15"/>
        <v>20060.259999999998</v>
      </c>
      <c r="I98" s="59">
        <f t="shared" si="15"/>
        <v>10030.129999999999</v>
      </c>
      <c r="J98" s="59">
        <f t="shared" si="15"/>
        <v>0</v>
      </c>
      <c r="K98" s="59">
        <f t="shared" si="15"/>
        <v>30090.39</v>
      </c>
    </row>
    <row r="99" spans="1:11" ht="18" customHeight="1" thickBot="1">
      <c r="B99" s="43"/>
      <c r="F99" s="65"/>
      <c r="G99" s="65"/>
      <c r="H99" s="65"/>
      <c r="I99" s="65"/>
      <c r="J99" s="65"/>
      <c r="K99" s="65"/>
    </row>
    <row r="100" spans="1:11" ht="42.75" customHeight="1">
      <c r="F100" s="47" t="s">
        <v>145</v>
      </c>
      <c r="G100" s="47" t="s">
        <v>146</v>
      </c>
      <c r="H100" s="47" t="s">
        <v>147</v>
      </c>
      <c r="I100" s="47" t="s">
        <v>148</v>
      </c>
      <c r="J100" s="47" t="s">
        <v>149</v>
      </c>
      <c r="K100" s="47" t="s">
        <v>150</v>
      </c>
    </row>
    <row r="101" spans="1:11" ht="18" customHeight="1">
      <c r="A101" s="48" t="s">
        <v>221</v>
      </c>
      <c r="B101" s="43" t="s">
        <v>222</v>
      </c>
    </row>
    <row r="102" spans="1:11" ht="18" customHeight="1">
      <c r="A102" s="45" t="s">
        <v>332</v>
      </c>
      <c r="B102" s="49" t="s">
        <v>224</v>
      </c>
      <c r="F102" s="50">
        <v>2092</v>
      </c>
      <c r="G102" s="50">
        <v>3</v>
      </c>
      <c r="H102" s="51">
        <v>67795</v>
      </c>
      <c r="I102" s="52">
        <f>H102*F$114</f>
        <v>33897.5</v>
      </c>
      <c r="J102" s="51">
        <v>0</v>
      </c>
      <c r="K102" s="53">
        <f>(H102+I102)-J102</f>
        <v>101692.5</v>
      </c>
    </row>
    <row r="103" spans="1:11" ht="18" customHeight="1">
      <c r="A103" s="45" t="s">
        <v>333</v>
      </c>
      <c r="B103" s="818" t="s">
        <v>226</v>
      </c>
      <c r="C103" s="818"/>
      <c r="F103" s="50">
        <v>0</v>
      </c>
      <c r="G103" s="50">
        <v>0</v>
      </c>
      <c r="H103" s="51">
        <v>0</v>
      </c>
      <c r="I103" s="52">
        <f>H103*F$114</f>
        <v>0</v>
      </c>
      <c r="J103" s="51">
        <v>0</v>
      </c>
      <c r="K103" s="53">
        <f>(H103+I103)-J103</f>
        <v>0</v>
      </c>
    </row>
    <row r="104" spans="1:11" ht="18" customHeight="1">
      <c r="A104" s="45" t="s">
        <v>334</v>
      </c>
      <c r="B104" s="817" t="s">
        <v>181</v>
      </c>
      <c r="C104" s="812"/>
      <c r="D104" s="813"/>
      <c r="F104" s="50">
        <v>0</v>
      </c>
      <c r="G104" s="50">
        <v>0</v>
      </c>
      <c r="H104" s="51">
        <v>6000</v>
      </c>
      <c r="I104" s="52">
        <f>H104*F$114</f>
        <v>3000</v>
      </c>
      <c r="J104" s="51">
        <v>0</v>
      </c>
      <c r="K104" s="53">
        <f>(H104+I104)-J104</f>
        <v>9000</v>
      </c>
    </row>
    <row r="105" spans="1:11" ht="18" customHeight="1">
      <c r="A105" s="45" t="s">
        <v>336</v>
      </c>
      <c r="B105" s="811"/>
      <c r="C105" s="812"/>
      <c r="D105" s="813"/>
      <c r="F105" s="50"/>
      <c r="G105" s="50"/>
      <c r="H105" s="51"/>
      <c r="I105" s="52">
        <f>H105*F$114</f>
        <v>0</v>
      </c>
      <c r="J105" s="51"/>
      <c r="K105" s="53">
        <f>(H105+I105)-J105</f>
        <v>0</v>
      </c>
    </row>
    <row r="106" spans="1:11" ht="18" customHeight="1">
      <c r="A106" s="45" t="s">
        <v>337</v>
      </c>
      <c r="B106" s="811"/>
      <c r="C106" s="812"/>
      <c r="D106" s="813"/>
      <c r="F106" s="50"/>
      <c r="G106" s="50"/>
      <c r="H106" s="51"/>
      <c r="I106" s="52">
        <f>H106*F$114</f>
        <v>0</v>
      </c>
      <c r="J106" s="51"/>
      <c r="K106" s="53">
        <f>(H106+I106)-J106</f>
        <v>0</v>
      </c>
    </row>
    <row r="107" spans="1:11" ht="18" customHeight="1">
      <c r="B107" s="43"/>
    </row>
    <row r="108" spans="1:11" ht="18" customHeight="1">
      <c r="A108" s="48" t="s">
        <v>338</v>
      </c>
      <c r="B108" s="43" t="s">
        <v>229</v>
      </c>
      <c r="E108" s="43" t="s">
        <v>276</v>
      </c>
      <c r="F108" s="59">
        <f t="shared" ref="F108:K108" si="16">SUM(F102:F106)</f>
        <v>2092</v>
      </c>
      <c r="G108" s="59">
        <f t="shared" si="16"/>
        <v>3</v>
      </c>
      <c r="H108" s="53">
        <f t="shared" si="16"/>
        <v>73795</v>
      </c>
      <c r="I108" s="53">
        <f t="shared" si="16"/>
        <v>36897.5</v>
      </c>
      <c r="J108" s="53">
        <f t="shared" si="16"/>
        <v>0</v>
      </c>
      <c r="K108" s="53">
        <f t="shared" si="16"/>
        <v>110692.5</v>
      </c>
    </row>
    <row r="109" spans="1:11" ht="18" customHeight="1" thickBot="1">
      <c r="A109" s="91"/>
      <c r="B109" s="92"/>
      <c r="C109" s="93"/>
      <c r="D109" s="93"/>
      <c r="E109" s="93"/>
      <c r="F109" s="65"/>
      <c r="G109" s="65"/>
      <c r="H109" s="65"/>
      <c r="I109" s="65"/>
      <c r="J109" s="65"/>
      <c r="K109" s="65"/>
    </row>
    <row r="110" spans="1:11" ht="18" customHeight="1">
      <c r="A110" s="48" t="s">
        <v>230</v>
      </c>
      <c r="B110" s="43" t="s">
        <v>231</v>
      </c>
    </row>
    <row r="111" spans="1:11" ht="18" customHeight="1">
      <c r="A111" s="48" t="s">
        <v>339</v>
      </c>
      <c r="B111" s="43" t="s">
        <v>232</v>
      </c>
      <c r="E111" s="43" t="s">
        <v>276</v>
      </c>
      <c r="F111" s="51">
        <v>106878</v>
      </c>
    </row>
    <row r="112" spans="1:11" ht="18" customHeight="1">
      <c r="B112" s="43"/>
      <c r="E112" s="43"/>
    </row>
    <row r="113" spans="1:6">
      <c r="A113" s="48"/>
      <c r="B113" s="43" t="s">
        <v>233</v>
      </c>
    </row>
    <row r="114" spans="1:6">
      <c r="A114" s="45" t="s">
        <v>340</v>
      </c>
      <c r="B114" s="49" t="s">
        <v>341</v>
      </c>
      <c r="F114" s="94">
        <v>0.5</v>
      </c>
    </row>
    <row r="115" spans="1:6">
      <c r="A115" s="45"/>
      <c r="B115" s="43"/>
    </row>
    <row r="116" spans="1:6">
      <c r="A116" s="45" t="s">
        <v>234</v>
      </c>
      <c r="B116" s="43" t="s">
        <v>235</v>
      </c>
    </row>
    <row r="117" spans="1:6">
      <c r="A117" s="45" t="s">
        <v>342</v>
      </c>
      <c r="B117" s="49" t="s">
        <v>236</v>
      </c>
      <c r="F117" s="51">
        <v>52120000</v>
      </c>
    </row>
    <row r="118" spans="1:6">
      <c r="A118" s="45" t="s">
        <v>343</v>
      </c>
      <c r="B118" s="40" t="s">
        <v>237</v>
      </c>
      <c r="F118" s="51">
        <v>2912000</v>
      </c>
    </row>
    <row r="119" spans="1:6">
      <c r="A119" s="45" t="s">
        <v>344</v>
      </c>
      <c r="B119" s="43" t="s">
        <v>238</v>
      </c>
      <c r="F119" s="63">
        <f>SUM(F117:F118)</f>
        <v>55032000</v>
      </c>
    </row>
    <row r="120" spans="1:6">
      <c r="A120" s="45"/>
      <c r="B120" s="43"/>
    </row>
    <row r="121" spans="1:6">
      <c r="A121" s="45" t="s">
        <v>345</v>
      </c>
      <c r="B121" s="43" t="s">
        <v>346</v>
      </c>
      <c r="F121" s="51">
        <v>49158000</v>
      </c>
    </row>
    <row r="122" spans="1:6">
      <c r="A122" s="45"/>
    </row>
    <row r="123" spans="1:6">
      <c r="A123" s="45" t="s">
        <v>347</v>
      </c>
      <c r="B123" s="43" t="s">
        <v>348</v>
      </c>
      <c r="F123" s="51">
        <v>5874000</v>
      </c>
    </row>
    <row r="124" spans="1:6">
      <c r="A124" s="45"/>
    </row>
    <row r="125" spans="1:6">
      <c r="A125" s="45" t="s">
        <v>349</v>
      </c>
      <c r="B125" s="43" t="s">
        <v>350</v>
      </c>
      <c r="F125" s="51">
        <v>1813000</v>
      </c>
    </row>
    <row r="126" spans="1:6">
      <c r="A126" s="45"/>
    </row>
    <row r="127" spans="1:6">
      <c r="A127" s="45" t="s">
        <v>351</v>
      </c>
      <c r="B127" s="43" t="s">
        <v>352</v>
      </c>
      <c r="F127" s="51">
        <f>F123+F125</f>
        <v>7687000</v>
      </c>
    </row>
    <row r="128" spans="1:6">
      <c r="A128" s="45"/>
    </row>
    <row r="129" spans="1:11" ht="42.75" customHeight="1">
      <c r="F129" s="47" t="s">
        <v>145</v>
      </c>
      <c r="G129" s="47" t="s">
        <v>146</v>
      </c>
      <c r="H129" s="47" t="s">
        <v>147</v>
      </c>
      <c r="I129" s="47" t="s">
        <v>148</v>
      </c>
      <c r="J129" s="47" t="s">
        <v>149</v>
      </c>
      <c r="K129" s="47" t="s">
        <v>150</v>
      </c>
    </row>
    <row r="130" spans="1:11" ht="18" customHeight="1">
      <c r="A130" s="48" t="s">
        <v>239</v>
      </c>
      <c r="B130" s="43" t="s">
        <v>240</v>
      </c>
    </row>
    <row r="131" spans="1:11" ht="18" customHeight="1">
      <c r="A131" s="45" t="s">
        <v>353</v>
      </c>
      <c r="B131" s="40" t="s">
        <v>242</v>
      </c>
      <c r="F131" s="50"/>
      <c r="G131" s="50"/>
      <c r="H131" s="51"/>
      <c r="I131" s="52">
        <v>0</v>
      </c>
      <c r="J131" s="51"/>
      <c r="K131" s="53">
        <f>(H131+I131)-J131</f>
        <v>0</v>
      </c>
    </row>
    <row r="132" spans="1:11" ht="18" customHeight="1">
      <c r="A132" s="45" t="s">
        <v>354</v>
      </c>
      <c r="B132" s="40" t="s">
        <v>128</v>
      </c>
      <c r="F132" s="50"/>
      <c r="G132" s="50"/>
      <c r="H132" s="51"/>
      <c r="I132" s="52">
        <v>0</v>
      </c>
      <c r="J132" s="51"/>
      <c r="K132" s="53">
        <f>(H132+I132)-J132</f>
        <v>0</v>
      </c>
    </row>
    <row r="133" spans="1:11" ht="18" customHeight="1">
      <c r="A133" s="45" t="s">
        <v>355</v>
      </c>
      <c r="B133" s="814"/>
      <c r="C133" s="815"/>
      <c r="D133" s="816"/>
      <c r="F133" s="50"/>
      <c r="G133" s="50"/>
      <c r="H133" s="51"/>
      <c r="I133" s="52">
        <v>0</v>
      </c>
      <c r="J133" s="51"/>
      <c r="K133" s="53">
        <f>(H133+I133)-J133</f>
        <v>0</v>
      </c>
    </row>
    <row r="134" spans="1:11" ht="18" customHeight="1">
      <c r="A134" s="45" t="s">
        <v>356</v>
      </c>
      <c r="B134" s="814"/>
      <c r="C134" s="815"/>
      <c r="D134" s="816"/>
      <c r="F134" s="50"/>
      <c r="G134" s="50"/>
      <c r="H134" s="51"/>
      <c r="I134" s="52">
        <v>0</v>
      </c>
      <c r="J134" s="51"/>
      <c r="K134" s="53">
        <f>(H134+I134)-J134</f>
        <v>0</v>
      </c>
    </row>
    <row r="135" spans="1:11" ht="18" customHeight="1">
      <c r="A135" s="45" t="s">
        <v>357</v>
      </c>
      <c r="B135" s="814"/>
      <c r="C135" s="815"/>
      <c r="D135" s="816"/>
      <c r="F135" s="50"/>
      <c r="G135" s="50"/>
      <c r="H135" s="51"/>
      <c r="I135" s="52">
        <v>0</v>
      </c>
      <c r="J135" s="51"/>
      <c r="K135" s="53">
        <f>(H135+I135)-J135</f>
        <v>0</v>
      </c>
    </row>
    <row r="136" spans="1:11" ht="18" customHeight="1">
      <c r="A136" s="48"/>
    </row>
    <row r="137" spans="1:11" ht="18" customHeight="1">
      <c r="A137" s="48" t="s">
        <v>358</v>
      </c>
      <c r="B137" s="43" t="s">
        <v>359</v>
      </c>
      <c r="F137" s="59">
        <f t="shared" ref="F137:K137" si="17">SUM(F131:F135)</f>
        <v>0</v>
      </c>
      <c r="G137" s="59">
        <f t="shared" si="17"/>
        <v>0</v>
      </c>
      <c r="H137" s="53">
        <f t="shared" si="17"/>
        <v>0</v>
      </c>
      <c r="I137" s="53">
        <f t="shared" si="17"/>
        <v>0</v>
      </c>
      <c r="J137" s="53">
        <f t="shared" si="17"/>
        <v>0</v>
      </c>
      <c r="K137" s="53">
        <f t="shared" si="17"/>
        <v>0</v>
      </c>
    </row>
    <row r="138" spans="1:11" ht="18" customHeight="1">
      <c r="A138" s="40"/>
    </row>
    <row r="139" spans="1:11" ht="42.75" customHeight="1">
      <c r="F139" s="47" t="s">
        <v>145</v>
      </c>
      <c r="G139" s="47" t="s">
        <v>146</v>
      </c>
      <c r="H139" s="47" t="s">
        <v>147</v>
      </c>
      <c r="I139" s="47" t="s">
        <v>148</v>
      </c>
      <c r="J139" s="47" t="s">
        <v>149</v>
      </c>
      <c r="K139" s="47" t="s">
        <v>150</v>
      </c>
    </row>
    <row r="140" spans="1:11" ht="18" customHeight="1">
      <c r="A140" s="48" t="s">
        <v>244</v>
      </c>
      <c r="B140" s="43" t="s">
        <v>245</v>
      </c>
    </row>
    <row r="141" spans="1:11" ht="18" customHeight="1">
      <c r="A141" s="45" t="s">
        <v>275</v>
      </c>
      <c r="B141" s="43" t="s">
        <v>246</v>
      </c>
      <c r="F141" s="95">
        <f t="shared" ref="F141:K141" si="18">F36</f>
        <v>1820.5</v>
      </c>
      <c r="G141" s="95">
        <f t="shared" si="18"/>
        <v>252529</v>
      </c>
      <c r="H141" s="95">
        <f t="shared" si="18"/>
        <v>74023.670000000013</v>
      </c>
      <c r="I141" s="95">
        <f t="shared" si="18"/>
        <v>37011.835000000006</v>
      </c>
      <c r="J141" s="95">
        <f t="shared" si="18"/>
        <v>0</v>
      </c>
      <c r="K141" s="95">
        <f t="shared" si="18"/>
        <v>111035.505</v>
      </c>
    </row>
    <row r="142" spans="1:11" ht="18" customHeight="1">
      <c r="A142" s="45" t="s">
        <v>286</v>
      </c>
      <c r="B142" s="43" t="s">
        <v>125</v>
      </c>
      <c r="F142" s="95">
        <f t="shared" ref="F142:K142" si="19">F49</f>
        <v>4929</v>
      </c>
      <c r="G142" s="95">
        <f t="shared" si="19"/>
        <v>162</v>
      </c>
      <c r="H142" s="95">
        <f t="shared" si="19"/>
        <v>236770.13999999996</v>
      </c>
      <c r="I142" s="95">
        <f t="shared" si="19"/>
        <v>118385.06999999998</v>
      </c>
      <c r="J142" s="95">
        <f t="shared" si="19"/>
        <v>2500</v>
      </c>
      <c r="K142" s="95">
        <f t="shared" si="19"/>
        <v>352655.20999999996</v>
      </c>
    </row>
    <row r="143" spans="1:11" ht="18" customHeight="1">
      <c r="A143" s="45" t="s">
        <v>305</v>
      </c>
      <c r="B143" s="43" t="s">
        <v>247</v>
      </c>
      <c r="F143" s="95">
        <f t="shared" ref="F143:K143" si="20">F64</f>
        <v>0</v>
      </c>
      <c r="G143" s="95">
        <f t="shared" si="20"/>
        <v>1223</v>
      </c>
      <c r="H143" s="95">
        <f t="shared" si="20"/>
        <v>829449</v>
      </c>
      <c r="I143" s="95">
        <f t="shared" si="20"/>
        <v>414724.5</v>
      </c>
      <c r="J143" s="95">
        <f t="shared" si="20"/>
        <v>491211.04667515727</v>
      </c>
      <c r="K143" s="95">
        <f t="shared" si="20"/>
        <v>752962.45332484273</v>
      </c>
    </row>
    <row r="144" spans="1:11" ht="18" customHeight="1">
      <c r="A144" s="45" t="s">
        <v>311</v>
      </c>
      <c r="B144" s="43" t="s">
        <v>127</v>
      </c>
      <c r="F144" s="95">
        <f t="shared" ref="F144:K144" si="21">F74</f>
        <v>0</v>
      </c>
      <c r="G144" s="95">
        <f t="shared" si="21"/>
        <v>0</v>
      </c>
      <c r="H144" s="95">
        <f t="shared" si="21"/>
        <v>0</v>
      </c>
      <c r="I144" s="95">
        <f t="shared" si="21"/>
        <v>0</v>
      </c>
      <c r="J144" s="95">
        <f t="shared" si="21"/>
        <v>0</v>
      </c>
      <c r="K144" s="95">
        <f t="shared" si="21"/>
        <v>0</v>
      </c>
    </row>
    <row r="145" spans="1:11" ht="18" customHeight="1">
      <c r="A145" s="45" t="s">
        <v>317</v>
      </c>
      <c r="B145" s="43" t="s">
        <v>248</v>
      </c>
      <c r="F145" s="95">
        <f t="shared" ref="F145:K145" si="22">F82</f>
        <v>150</v>
      </c>
      <c r="G145" s="95">
        <f t="shared" si="22"/>
        <v>16019</v>
      </c>
      <c r="H145" s="95">
        <f t="shared" si="22"/>
        <v>44883</v>
      </c>
      <c r="I145" s="95">
        <f t="shared" si="22"/>
        <v>22441.5</v>
      </c>
      <c r="J145" s="95">
        <f t="shared" si="22"/>
        <v>0</v>
      </c>
      <c r="K145" s="95">
        <f t="shared" si="22"/>
        <v>67324.5</v>
      </c>
    </row>
    <row r="146" spans="1:11" ht="18" customHeight="1">
      <c r="A146" s="45" t="s">
        <v>331</v>
      </c>
      <c r="B146" s="43" t="s">
        <v>249</v>
      </c>
      <c r="F146" s="95">
        <f t="shared" ref="F146:K146" si="23">F98</f>
        <v>273</v>
      </c>
      <c r="G146" s="95">
        <f t="shared" si="23"/>
        <v>58</v>
      </c>
      <c r="H146" s="95">
        <f t="shared" si="23"/>
        <v>20060.259999999998</v>
      </c>
      <c r="I146" s="95">
        <f t="shared" si="23"/>
        <v>10030.129999999999</v>
      </c>
      <c r="J146" s="95">
        <f t="shared" si="23"/>
        <v>0</v>
      </c>
      <c r="K146" s="95">
        <f t="shared" si="23"/>
        <v>30090.39</v>
      </c>
    </row>
    <row r="147" spans="1:11" ht="18" customHeight="1">
      <c r="A147" s="45" t="s">
        <v>338</v>
      </c>
      <c r="B147" s="43" t="s">
        <v>129</v>
      </c>
      <c r="F147" s="59">
        <f t="shared" ref="F147:K147" si="24">F108</f>
        <v>2092</v>
      </c>
      <c r="G147" s="59">
        <f t="shared" si="24"/>
        <v>3</v>
      </c>
      <c r="H147" s="59">
        <f t="shared" si="24"/>
        <v>73795</v>
      </c>
      <c r="I147" s="59">
        <f t="shared" si="24"/>
        <v>36897.5</v>
      </c>
      <c r="J147" s="59">
        <f t="shared" si="24"/>
        <v>0</v>
      </c>
      <c r="K147" s="59">
        <f t="shared" si="24"/>
        <v>110692.5</v>
      </c>
    </row>
    <row r="148" spans="1:11" ht="18" customHeight="1">
      <c r="A148" s="45" t="s">
        <v>339</v>
      </c>
      <c r="B148" s="43" t="s">
        <v>131</v>
      </c>
      <c r="F148" s="96" t="s">
        <v>122</v>
      </c>
      <c r="G148" s="96" t="s">
        <v>122</v>
      </c>
      <c r="H148" s="97" t="s">
        <v>122</v>
      </c>
      <c r="I148" s="97" t="s">
        <v>122</v>
      </c>
      <c r="J148" s="97" t="s">
        <v>122</v>
      </c>
      <c r="K148" s="98">
        <f>F111</f>
        <v>106878</v>
      </c>
    </row>
    <row r="149" spans="1:11" ht="18" customHeight="1">
      <c r="A149" s="45" t="s">
        <v>358</v>
      </c>
      <c r="B149" s="43" t="s">
        <v>250</v>
      </c>
      <c r="F149" s="59">
        <f t="shared" ref="F149:K149" si="25">F137</f>
        <v>0</v>
      </c>
      <c r="G149" s="59">
        <f t="shared" si="25"/>
        <v>0</v>
      </c>
      <c r="H149" s="59">
        <f t="shared" si="25"/>
        <v>0</v>
      </c>
      <c r="I149" s="59">
        <f t="shared" si="25"/>
        <v>0</v>
      </c>
      <c r="J149" s="59">
        <f t="shared" si="25"/>
        <v>0</v>
      </c>
      <c r="K149" s="59">
        <f t="shared" si="25"/>
        <v>0</v>
      </c>
    </row>
    <row r="150" spans="1:11" ht="18" customHeight="1">
      <c r="A150" s="45" t="s">
        <v>259</v>
      </c>
      <c r="B150" s="43" t="s">
        <v>251</v>
      </c>
      <c r="F150" s="96" t="s">
        <v>122</v>
      </c>
      <c r="G150" s="96" t="s">
        <v>122</v>
      </c>
      <c r="H150" s="59">
        <f>H18</f>
        <v>0</v>
      </c>
      <c r="I150" s="59">
        <f>I18</f>
        <v>0</v>
      </c>
      <c r="J150" s="59">
        <f>J18</f>
        <v>0</v>
      </c>
      <c r="K150" s="59">
        <f>K18</f>
        <v>0</v>
      </c>
    </row>
    <row r="151" spans="1:11" ht="18" customHeight="1">
      <c r="B151" s="43"/>
      <c r="F151" s="74"/>
      <c r="G151" s="74"/>
      <c r="H151" s="74"/>
      <c r="I151" s="74"/>
      <c r="J151" s="74"/>
      <c r="K151" s="74"/>
    </row>
    <row r="152" spans="1:11" ht="18" customHeight="1">
      <c r="A152" s="48" t="s">
        <v>360</v>
      </c>
      <c r="B152" s="43" t="s">
        <v>245</v>
      </c>
      <c r="F152" s="99">
        <f t="shared" ref="F152:K152" si="26">SUM(F141:F150)</f>
        <v>9264.5</v>
      </c>
      <c r="G152" s="99">
        <f t="shared" si="26"/>
        <v>269994</v>
      </c>
      <c r="H152" s="99">
        <f t="shared" si="26"/>
        <v>1278981.07</v>
      </c>
      <c r="I152" s="99">
        <f t="shared" si="26"/>
        <v>639490.53500000003</v>
      </c>
      <c r="J152" s="99">
        <f t="shared" si="26"/>
        <v>493711.04667515727</v>
      </c>
      <c r="K152" s="99">
        <f t="shared" si="26"/>
        <v>1531638.5583248425</v>
      </c>
    </row>
    <row r="154" spans="1:11" ht="18" customHeight="1">
      <c r="A154" s="48" t="s">
        <v>361</v>
      </c>
      <c r="B154" s="43" t="s">
        <v>252</v>
      </c>
      <c r="F154" s="166">
        <f>K152/F121</f>
        <v>3.1157462840734822E-2</v>
      </c>
    </row>
    <row r="155" spans="1:11" ht="18" customHeight="1">
      <c r="A155" s="48" t="s">
        <v>362</v>
      </c>
      <c r="B155" s="43" t="s">
        <v>253</v>
      </c>
      <c r="F155" s="166">
        <f>K152/F127</f>
        <v>0.19925049542407214</v>
      </c>
      <c r="G155" s="43"/>
      <c r="K155" s="131"/>
    </row>
    <row r="156" spans="1:11" ht="18" customHeight="1">
      <c r="G156" s="43"/>
    </row>
  </sheetData>
  <mergeCells count="34">
    <mergeCell ref="B41:C41"/>
    <mergeCell ref="D2:H2"/>
    <mergeCell ref="C5:G5"/>
    <mergeCell ref="C6:G6"/>
    <mergeCell ref="C7:G7"/>
    <mergeCell ref="C9:G9"/>
    <mergeCell ref="C10:G10"/>
    <mergeCell ref="C11:G11"/>
    <mergeCell ref="B13:H13"/>
    <mergeCell ref="B30:D30"/>
    <mergeCell ref="B31:D31"/>
    <mergeCell ref="B34:D34"/>
    <mergeCell ref="B90:C90"/>
    <mergeCell ref="B44:D44"/>
    <mergeCell ref="B45:D45"/>
    <mergeCell ref="B46:D46"/>
    <mergeCell ref="B47:D47"/>
    <mergeCell ref="B52:C52"/>
    <mergeCell ref="B53:D53"/>
    <mergeCell ref="B55:D55"/>
    <mergeCell ref="B56:D56"/>
    <mergeCell ref="B57:D57"/>
    <mergeCell ref="B59:D59"/>
    <mergeCell ref="B62:D62"/>
    <mergeCell ref="B106:D106"/>
    <mergeCell ref="B133:D133"/>
    <mergeCell ref="B134:D134"/>
    <mergeCell ref="B135:D135"/>
    <mergeCell ref="B94:D94"/>
    <mergeCell ref="B95:D95"/>
    <mergeCell ref="B96:D96"/>
    <mergeCell ref="B103:C103"/>
    <mergeCell ref="B104:D104"/>
    <mergeCell ref="B105:D105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workbookViewId="0">
      <selection activeCell="B43" sqref="B43"/>
    </sheetView>
  </sheetViews>
  <sheetFormatPr defaultColWidth="8.85546875" defaultRowHeight="15"/>
  <cols>
    <col min="1" max="1" width="8.28515625" style="593" customWidth="1"/>
    <col min="2" max="2" width="55.42578125" bestFit="1" customWidth="1"/>
    <col min="3" max="3" width="9.42578125" customWidth="1"/>
    <col min="5" max="5" width="12.42578125" customWidth="1"/>
    <col min="6" max="6" width="18.42578125" customWidth="1"/>
    <col min="7" max="7" width="23.42578125" customWidth="1"/>
    <col min="8" max="8" width="17.140625" customWidth="1"/>
    <col min="9" max="9" width="21.140625" customWidth="1"/>
    <col min="10" max="10" width="19.85546875" customWidth="1"/>
    <col min="11" max="11" width="17.42578125" customWidth="1"/>
    <col min="12" max="12" width="13" customWidth="1"/>
  </cols>
  <sheetData>
    <row r="1" spans="1:11" ht="18" customHeight="1">
      <c r="C1" s="594"/>
      <c r="D1" s="595"/>
      <c r="E1" s="594"/>
      <c r="F1" s="594"/>
      <c r="G1" s="594"/>
      <c r="H1" s="594"/>
      <c r="I1" s="594"/>
      <c r="J1" s="594"/>
      <c r="K1" s="594"/>
    </row>
    <row r="2" spans="1:11" ht="18" customHeight="1">
      <c r="D2" s="596" t="s">
        <v>133</v>
      </c>
      <c r="E2" s="597"/>
      <c r="F2" s="597"/>
      <c r="G2" s="597"/>
      <c r="H2" s="597"/>
    </row>
    <row r="3" spans="1:11" ht="18" customHeight="1">
      <c r="B3" s="598" t="s">
        <v>134</v>
      </c>
    </row>
    <row r="5" spans="1:11" ht="18" customHeight="1">
      <c r="B5" s="599" t="s">
        <v>135</v>
      </c>
      <c r="C5" s="1008" t="s">
        <v>802</v>
      </c>
      <c r="D5" s="1009"/>
      <c r="E5" s="1009"/>
      <c r="F5" s="1009"/>
      <c r="G5" s="1010"/>
    </row>
    <row r="6" spans="1:11" ht="18" customHeight="1">
      <c r="B6" s="599" t="s">
        <v>136</v>
      </c>
      <c r="C6" s="1011" t="s">
        <v>803</v>
      </c>
      <c r="D6" s="1012"/>
      <c r="E6" s="1012"/>
      <c r="F6" s="1012"/>
      <c r="G6" s="1013"/>
    </row>
    <row r="7" spans="1:11" ht="18" customHeight="1">
      <c r="B7" s="599" t="s">
        <v>137</v>
      </c>
      <c r="C7" s="1014">
        <v>2088</v>
      </c>
      <c r="D7" s="1015"/>
      <c r="E7" s="1015"/>
      <c r="F7" s="1015"/>
      <c r="G7" s="1016"/>
    </row>
    <row r="9" spans="1:11" ht="18" customHeight="1">
      <c r="B9" s="599" t="s">
        <v>138</v>
      </c>
      <c r="C9" s="1017" t="s">
        <v>753</v>
      </c>
      <c r="D9" s="1018"/>
      <c r="E9" s="1018"/>
      <c r="F9" s="1018"/>
      <c r="G9" s="1019"/>
    </row>
    <row r="10" spans="1:11" ht="18" customHeight="1">
      <c r="B10" s="599" t="s">
        <v>140</v>
      </c>
      <c r="C10" s="1005" t="s">
        <v>754</v>
      </c>
      <c r="D10" s="1006"/>
      <c r="E10" s="1006"/>
      <c r="F10" s="1006"/>
      <c r="G10" s="1007"/>
    </row>
    <row r="11" spans="1:11" ht="18" customHeight="1">
      <c r="B11" s="599" t="s">
        <v>142</v>
      </c>
      <c r="C11" s="1005" t="s">
        <v>755</v>
      </c>
      <c r="D11" s="1006"/>
      <c r="E11" s="1006"/>
      <c r="F11" s="1006"/>
      <c r="G11" s="1007"/>
    </row>
    <row r="12" spans="1:11" ht="18" customHeight="1">
      <c r="B12" s="599"/>
      <c r="C12" s="599"/>
      <c r="D12" s="599"/>
      <c r="E12" s="599"/>
      <c r="F12" s="599"/>
      <c r="G12" s="599"/>
    </row>
    <row r="13" spans="1:11" ht="24.6" customHeight="1">
      <c r="B13" s="548"/>
      <c r="C13" s="600"/>
      <c r="D13" s="600"/>
      <c r="E13" s="600"/>
      <c r="F13" s="600"/>
      <c r="G13" s="600"/>
      <c r="H13" s="601"/>
      <c r="I13" s="594"/>
    </row>
    <row r="14" spans="1:11" ht="18" customHeight="1">
      <c r="B14" s="46"/>
    </row>
    <row r="15" spans="1:11" ht="18" customHeight="1">
      <c r="B15" s="46"/>
    </row>
    <row r="16" spans="1:11" ht="45" customHeight="1">
      <c r="A16" s="595" t="s">
        <v>144</v>
      </c>
      <c r="B16" s="594"/>
      <c r="C16" s="594"/>
      <c r="D16" s="594"/>
      <c r="E16" s="594"/>
      <c r="F16" s="602" t="s">
        <v>145</v>
      </c>
      <c r="G16" s="602" t="s">
        <v>146</v>
      </c>
      <c r="H16" s="602" t="s">
        <v>147</v>
      </c>
      <c r="I16" s="602" t="s">
        <v>148</v>
      </c>
      <c r="J16" s="602" t="s">
        <v>149</v>
      </c>
      <c r="K16" s="602" t="s">
        <v>150</v>
      </c>
    </row>
    <row r="17" spans="1:13" ht="18" customHeight="1">
      <c r="A17" s="603" t="s">
        <v>151</v>
      </c>
      <c r="B17" s="598" t="s">
        <v>152</v>
      </c>
      <c r="K17" s="751"/>
    </row>
    <row r="18" spans="1:13" ht="18" customHeight="1">
      <c r="A18" s="599" t="s">
        <v>259</v>
      </c>
      <c r="B18" s="604" t="s">
        <v>153</v>
      </c>
      <c r="F18" s="605">
        <v>0</v>
      </c>
      <c r="G18" s="605">
        <v>0</v>
      </c>
      <c r="H18" s="606">
        <v>9312355.2017975897</v>
      </c>
      <c r="I18" s="607">
        <v>0</v>
      </c>
      <c r="J18" s="606">
        <v>7963228.0495022899</v>
      </c>
      <c r="K18" s="608">
        <f>+H18-J18</f>
        <v>1349127.1522952998</v>
      </c>
      <c r="L18" s="9">
        <f t="shared" ref="L18:L81" si="0">+H18+I18-J18</f>
        <v>1349127.1522952998</v>
      </c>
      <c r="M18" s="9">
        <f t="shared" ref="M18:M81" si="1">+K18-L18</f>
        <v>0</v>
      </c>
    </row>
    <row r="19" spans="1:13" ht="45" customHeight="1">
      <c r="A19" s="595" t="s">
        <v>154</v>
      </c>
      <c r="B19" s="594"/>
      <c r="C19" s="594"/>
      <c r="D19" s="594"/>
      <c r="E19" s="594"/>
      <c r="F19" s="602" t="s">
        <v>145</v>
      </c>
      <c r="G19" s="602" t="s">
        <v>146</v>
      </c>
      <c r="H19" s="602" t="s">
        <v>147</v>
      </c>
      <c r="I19" s="602" t="s">
        <v>148</v>
      </c>
      <c r="J19" s="602" t="s">
        <v>149</v>
      </c>
      <c r="K19" s="602" t="s">
        <v>150</v>
      </c>
      <c r="L19" s="9" t="e">
        <f t="shared" si="0"/>
        <v>#VALUE!</v>
      </c>
      <c r="M19" s="9" t="e">
        <f t="shared" si="1"/>
        <v>#VALUE!</v>
      </c>
    </row>
    <row r="20" spans="1:13" ht="18" customHeight="1">
      <c r="A20" s="603" t="s">
        <v>260</v>
      </c>
      <c r="B20" s="598" t="s">
        <v>155</v>
      </c>
      <c r="L20" s="9">
        <f t="shared" si="0"/>
        <v>0</v>
      </c>
      <c r="M20" s="9">
        <f t="shared" si="1"/>
        <v>0</v>
      </c>
    </row>
    <row r="21" spans="1:13" ht="18" customHeight="1">
      <c r="A21" s="599" t="s">
        <v>164</v>
      </c>
      <c r="B21" s="604" t="s">
        <v>156</v>
      </c>
      <c r="F21" s="605">
        <v>17708.094999999998</v>
      </c>
      <c r="G21" s="605">
        <v>26601.5</v>
      </c>
      <c r="H21" s="606">
        <v>767000.90639999998</v>
      </c>
      <c r="I21" s="607">
        <v>487268.82183982525</v>
      </c>
      <c r="J21" s="606">
        <v>115646.64200000001</v>
      </c>
      <c r="K21" s="608">
        <f>+H21+I21-J21</f>
        <v>1138623.0862398252</v>
      </c>
      <c r="L21" s="9">
        <f t="shared" si="0"/>
        <v>1138623.0862398252</v>
      </c>
      <c r="M21" s="9">
        <f t="shared" si="1"/>
        <v>0</v>
      </c>
    </row>
    <row r="22" spans="1:13" ht="18" customHeight="1">
      <c r="A22" s="599" t="s">
        <v>261</v>
      </c>
      <c r="B22" t="s">
        <v>157</v>
      </c>
      <c r="F22" s="605">
        <v>953.16</v>
      </c>
      <c r="G22" s="605">
        <v>1002</v>
      </c>
      <c r="H22" s="606">
        <v>31304.242400000003</v>
      </c>
      <c r="I22" s="607">
        <v>19887.30545890826</v>
      </c>
      <c r="J22" s="606">
        <v>4716.0649999999996</v>
      </c>
      <c r="K22" s="608">
        <f t="shared" ref="K22:K34" si="2">+H22+I22-J22</f>
        <v>46475.482858908261</v>
      </c>
      <c r="L22" s="9">
        <f t="shared" si="0"/>
        <v>46475.482858908261</v>
      </c>
      <c r="M22" s="9">
        <f t="shared" si="1"/>
        <v>0</v>
      </c>
    </row>
    <row r="23" spans="1:13" ht="18" customHeight="1">
      <c r="A23" s="599" t="s">
        <v>262</v>
      </c>
      <c r="B23" t="s">
        <v>158</v>
      </c>
      <c r="F23" s="605">
        <v>0</v>
      </c>
      <c r="G23" s="605">
        <v>0</v>
      </c>
      <c r="H23" s="606">
        <v>0</v>
      </c>
      <c r="I23" s="607">
        <v>0</v>
      </c>
      <c r="J23" s="606">
        <v>0</v>
      </c>
      <c r="K23" s="608">
        <f t="shared" si="2"/>
        <v>0</v>
      </c>
      <c r="L23" s="9">
        <f t="shared" si="0"/>
        <v>0</v>
      </c>
      <c r="M23" s="9">
        <f t="shared" si="1"/>
        <v>0</v>
      </c>
    </row>
    <row r="24" spans="1:13" ht="18" customHeight="1">
      <c r="A24" s="599" t="s">
        <v>263</v>
      </c>
      <c r="B24" t="s">
        <v>159</v>
      </c>
      <c r="F24" s="605">
        <v>4439.25</v>
      </c>
      <c r="G24" s="605">
        <v>230.5</v>
      </c>
      <c r="H24" s="606">
        <v>329867.02999999991</v>
      </c>
      <c r="I24" s="607">
        <v>209561.57643453631</v>
      </c>
      <c r="J24" s="606">
        <v>236.75</v>
      </c>
      <c r="K24" s="608">
        <f t="shared" si="2"/>
        <v>539191.85643453617</v>
      </c>
      <c r="L24" s="9">
        <f t="shared" si="0"/>
        <v>539191.85643453617</v>
      </c>
      <c r="M24" s="9">
        <f t="shared" si="1"/>
        <v>0</v>
      </c>
    </row>
    <row r="25" spans="1:13" ht="18" customHeight="1">
      <c r="A25" s="599" t="s">
        <v>264</v>
      </c>
      <c r="B25" t="s">
        <v>160</v>
      </c>
      <c r="F25" s="605">
        <v>6384.5600000000013</v>
      </c>
      <c r="G25" s="605">
        <v>8141.3825840000009</v>
      </c>
      <c r="H25" s="606">
        <v>231636.37255</v>
      </c>
      <c r="I25" s="607">
        <v>147156.51755543915</v>
      </c>
      <c r="J25" s="606">
        <v>57449.277999999998</v>
      </c>
      <c r="K25" s="608">
        <f t="shared" si="2"/>
        <v>321343.61210543913</v>
      </c>
      <c r="L25" s="9">
        <f t="shared" si="0"/>
        <v>321343.61210543913</v>
      </c>
      <c r="M25" s="9">
        <f t="shared" si="1"/>
        <v>0</v>
      </c>
    </row>
    <row r="26" spans="1:13" ht="18" customHeight="1">
      <c r="A26" s="599" t="s">
        <v>265</v>
      </c>
      <c r="B26" t="s">
        <v>161</v>
      </c>
      <c r="F26" s="605">
        <v>0</v>
      </c>
      <c r="G26" s="605">
        <v>0</v>
      </c>
      <c r="H26" s="606">
        <v>0</v>
      </c>
      <c r="I26" s="607">
        <v>0</v>
      </c>
      <c r="J26" s="606">
        <v>0</v>
      </c>
      <c r="K26" s="608">
        <f t="shared" si="2"/>
        <v>0</v>
      </c>
      <c r="L26" s="9">
        <f t="shared" si="0"/>
        <v>0</v>
      </c>
      <c r="M26" s="9">
        <f t="shared" si="1"/>
        <v>0</v>
      </c>
    </row>
    <row r="27" spans="1:13" ht="18" customHeight="1">
      <c r="A27" s="599" t="s">
        <v>266</v>
      </c>
      <c r="B27" t="s">
        <v>162</v>
      </c>
      <c r="F27" s="605">
        <v>0</v>
      </c>
      <c r="G27" s="605">
        <v>0</v>
      </c>
      <c r="H27" s="606">
        <v>0</v>
      </c>
      <c r="I27" s="607">
        <v>0</v>
      </c>
      <c r="J27" s="606">
        <v>0</v>
      </c>
      <c r="K27" s="608">
        <f t="shared" si="2"/>
        <v>0</v>
      </c>
      <c r="L27" s="9">
        <f t="shared" si="0"/>
        <v>0</v>
      </c>
      <c r="M27" s="9">
        <f t="shared" si="1"/>
        <v>0</v>
      </c>
    </row>
    <row r="28" spans="1:13" ht="18" customHeight="1">
      <c r="A28" s="599" t="s">
        <v>267</v>
      </c>
      <c r="B28" t="s">
        <v>163</v>
      </c>
      <c r="F28" s="605">
        <v>0</v>
      </c>
      <c r="G28" s="605">
        <v>0</v>
      </c>
      <c r="H28" s="606">
        <v>0</v>
      </c>
      <c r="I28" s="607">
        <v>0</v>
      </c>
      <c r="J28" s="606">
        <v>0</v>
      </c>
      <c r="K28" s="608">
        <f t="shared" si="2"/>
        <v>0</v>
      </c>
      <c r="L28" s="9">
        <f t="shared" si="0"/>
        <v>0</v>
      </c>
      <c r="M28" s="9">
        <f t="shared" si="1"/>
        <v>0</v>
      </c>
    </row>
    <row r="29" spans="1:13" ht="18" customHeight="1">
      <c r="A29" s="599" t="s">
        <v>268</v>
      </c>
      <c r="B29" t="s">
        <v>165</v>
      </c>
      <c r="F29" s="605">
        <v>4885.125</v>
      </c>
      <c r="G29" s="605">
        <v>985.5</v>
      </c>
      <c r="H29" s="606">
        <v>1008884.48875</v>
      </c>
      <c r="I29" s="607">
        <v>640935.30021112226</v>
      </c>
      <c r="J29" s="606">
        <v>67468.259999999995</v>
      </c>
      <c r="K29" s="608">
        <f t="shared" si="2"/>
        <v>1582351.5289611223</v>
      </c>
      <c r="L29" s="9">
        <f t="shared" si="0"/>
        <v>1582351.5289611223</v>
      </c>
      <c r="M29" s="9">
        <f t="shared" si="1"/>
        <v>0</v>
      </c>
    </row>
    <row r="30" spans="1:13" ht="18" customHeight="1">
      <c r="A30" s="599" t="s">
        <v>269</v>
      </c>
      <c r="B30" t="s">
        <v>756</v>
      </c>
      <c r="F30" s="605">
        <v>1167.9200000000003</v>
      </c>
      <c r="G30" s="605">
        <v>3528.5468000000005</v>
      </c>
      <c r="H30" s="606">
        <v>24425.712649999998</v>
      </c>
      <c r="I30" s="607">
        <v>15517.436975956636</v>
      </c>
      <c r="J30" s="606">
        <v>3598.915</v>
      </c>
      <c r="K30" s="608">
        <f t="shared" si="2"/>
        <v>36344.234625956633</v>
      </c>
      <c r="L30" s="9">
        <f t="shared" si="0"/>
        <v>36344.234625956633</v>
      </c>
      <c r="M30" s="9">
        <f t="shared" si="1"/>
        <v>0</v>
      </c>
    </row>
    <row r="31" spans="1:13" ht="18" customHeight="1">
      <c r="A31" s="599" t="s">
        <v>270</v>
      </c>
      <c r="F31" s="605">
        <v>0</v>
      </c>
      <c r="G31" s="605">
        <v>0</v>
      </c>
      <c r="H31" s="606">
        <v>0</v>
      </c>
      <c r="I31" s="607">
        <v>0</v>
      </c>
      <c r="J31" s="606">
        <v>0</v>
      </c>
      <c r="K31" s="608">
        <f t="shared" si="2"/>
        <v>0</v>
      </c>
      <c r="L31" s="9">
        <f t="shared" si="0"/>
        <v>0</v>
      </c>
      <c r="M31" s="9">
        <f t="shared" si="1"/>
        <v>0</v>
      </c>
    </row>
    <row r="32" spans="1:13" ht="18" customHeight="1">
      <c r="A32" s="599" t="s">
        <v>271</v>
      </c>
      <c r="B32" s="609"/>
      <c r="C32" s="610"/>
      <c r="D32" s="611"/>
      <c r="F32" s="605"/>
      <c r="G32" s="612" t="s">
        <v>272</v>
      </c>
      <c r="H32" s="606"/>
      <c r="I32" s="607"/>
      <c r="J32" s="606"/>
      <c r="K32" s="608">
        <f t="shared" si="2"/>
        <v>0</v>
      </c>
      <c r="L32" s="9">
        <f t="shared" si="0"/>
        <v>0</v>
      </c>
      <c r="M32" s="9">
        <f t="shared" si="1"/>
        <v>0</v>
      </c>
    </row>
    <row r="33" spans="1:13" ht="18" customHeight="1">
      <c r="A33" s="599" t="s">
        <v>273</v>
      </c>
      <c r="B33" s="609"/>
      <c r="C33" s="610"/>
      <c r="D33" s="611"/>
      <c r="F33" s="605"/>
      <c r="G33" s="612" t="s">
        <v>272</v>
      </c>
      <c r="H33" s="606"/>
      <c r="I33" s="607"/>
      <c r="J33" s="606"/>
      <c r="K33" s="608">
        <f t="shared" si="2"/>
        <v>0</v>
      </c>
      <c r="L33" s="9">
        <f t="shared" si="0"/>
        <v>0</v>
      </c>
      <c r="M33" s="9">
        <f t="shared" si="1"/>
        <v>0</v>
      </c>
    </row>
    <row r="34" spans="1:13" ht="18" customHeight="1">
      <c r="A34" s="599" t="s">
        <v>274</v>
      </c>
      <c r="B34" s="609"/>
      <c r="C34" s="610"/>
      <c r="D34" s="611"/>
      <c r="F34" s="605"/>
      <c r="G34" s="612" t="s">
        <v>272</v>
      </c>
      <c r="H34" s="606"/>
      <c r="I34" s="607"/>
      <c r="J34" s="606"/>
      <c r="K34" s="608">
        <f t="shared" si="2"/>
        <v>0</v>
      </c>
      <c r="L34" s="9">
        <f t="shared" si="0"/>
        <v>0</v>
      </c>
      <c r="M34" s="9">
        <f t="shared" si="1"/>
        <v>0</v>
      </c>
    </row>
    <row r="35" spans="1:13" ht="18" customHeight="1">
      <c r="J35" s="751"/>
      <c r="K35" s="613"/>
      <c r="L35" s="9">
        <f t="shared" si="0"/>
        <v>0</v>
      </c>
      <c r="M35" s="9">
        <f t="shared" si="1"/>
        <v>0</v>
      </c>
    </row>
    <row r="36" spans="1:13" ht="18" customHeight="1">
      <c r="A36" s="603" t="s">
        <v>275</v>
      </c>
      <c r="B36" s="598" t="s">
        <v>166</v>
      </c>
      <c r="E36" s="598" t="s">
        <v>276</v>
      </c>
      <c r="F36" s="608">
        <f t="shared" ref="F36:J36" si="3">SUM(F21:F34)</f>
        <v>35538.11</v>
      </c>
      <c r="G36" s="608">
        <f t="shared" si="3"/>
        <v>40489.429384000003</v>
      </c>
      <c r="H36" s="608">
        <f t="shared" si="3"/>
        <v>2393118.75275</v>
      </c>
      <c r="I36" s="608">
        <f t="shared" si="3"/>
        <v>1520326.9584757879</v>
      </c>
      <c r="J36" s="608">
        <f t="shared" si="3"/>
        <v>249115.91</v>
      </c>
      <c r="K36" s="608">
        <f>SUM(K21:K34)</f>
        <v>3664329.8012257875</v>
      </c>
      <c r="L36" s="9">
        <f t="shared" si="0"/>
        <v>3664329.801225788</v>
      </c>
      <c r="M36" s="9">
        <f t="shared" si="1"/>
        <v>0</v>
      </c>
    </row>
    <row r="37" spans="1:13" ht="18" customHeight="1" thickBot="1">
      <c r="B37" s="598"/>
      <c r="F37" s="615"/>
      <c r="G37" s="615"/>
      <c r="H37" s="616"/>
      <c r="I37" s="616"/>
      <c r="J37" s="616"/>
      <c r="K37" s="617"/>
      <c r="L37" s="9">
        <f t="shared" si="0"/>
        <v>0</v>
      </c>
      <c r="M37" s="9">
        <f t="shared" si="1"/>
        <v>0</v>
      </c>
    </row>
    <row r="38" spans="1:13" ht="42.75" customHeight="1">
      <c r="F38" s="602" t="s">
        <v>145</v>
      </c>
      <c r="G38" s="602" t="s">
        <v>146</v>
      </c>
      <c r="H38" s="602" t="s">
        <v>147</v>
      </c>
      <c r="I38" s="602" t="s">
        <v>148</v>
      </c>
      <c r="J38" s="602" t="s">
        <v>149</v>
      </c>
      <c r="K38" s="602" t="s">
        <v>150</v>
      </c>
      <c r="L38" s="9" t="e">
        <f t="shared" si="0"/>
        <v>#VALUE!</v>
      </c>
      <c r="M38" s="9" t="e">
        <f t="shared" si="1"/>
        <v>#VALUE!</v>
      </c>
    </row>
    <row r="39" spans="1:13" ht="18.75" customHeight="1">
      <c r="A39" s="603" t="s">
        <v>167</v>
      </c>
      <c r="B39" s="598" t="s">
        <v>168</v>
      </c>
      <c r="L39" s="9">
        <f t="shared" si="0"/>
        <v>0</v>
      </c>
      <c r="M39" s="9">
        <f t="shared" si="1"/>
        <v>0</v>
      </c>
    </row>
    <row r="40" spans="1:13" ht="18" customHeight="1">
      <c r="A40" s="599" t="s">
        <v>277</v>
      </c>
      <c r="B40" t="s">
        <v>170</v>
      </c>
      <c r="F40" s="605">
        <v>2080</v>
      </c>
      <c r="G40" s="605">
        <v>6344</v>
      </c>
      <c r="H40" s="606">
        <v>176888.21699999998</v>
      </c>
      <c r="I40" s="607">
        <v>0</v>
      </c>
      <c r="J40" s="606"/>
      <c r="K40" s="608">
        <f t="shared" ref="K40:K47" si="4">+H40+I40-J40</f>
        <v>176888.21699999998</v>
      </c>
      <c r="L40" s="9">
        <f t="shared" si="0"/>
        <v>176888.21699999998</v>
      </c>
      <c r="M40" s="9">
        <f t="shared" si="1"/>
        <v>0</v>
      </c>
    </row>
    <row r="41" spans="1:13" ht="18" customHeight="1">
      <c r="A41" s="599" t="s">
        <v>278</v>
      </c>
      <c r="B41" s="618" t="s">
        <v>172</v>
      </c>
      <c r="C41" s="619"/>
      <c r="F41" s="605">
        <v>6127.5</v>
      </c>
      <c r="G41" s="605">
        <v>1233</v>
      </c>
      <c r="H41" s="606">
        <v>398287.5</v>
      </c>
      <c r="I41" s="607">
        <v>0</v>
      </c>
      <c r="J41" s="606"/>
      <c r="K41" s="608">
        <f t="shared" si="4"/>
        <v>398287.5</v>
      </c>
      <c r="L41" s="9">
        <f t="shared" si="0"/>
        <v>398287.5</v>
      </c>
      <c r="M41" s="9">
        <f t="shared" si="1"/>
        <v>0</v>
      </c>
    </row>
    <row r="42" spans="1:13" ht="18" customHeight="1">
      <c r="A42" s="599" t="s">
        <v>279</v>
      </c>
      <c r="B42" s="604" t="s">
        <v>174</v>
      </c>
      <c r="F42" s="605">
        <v>3934</v>
      </c>
      <c r="G42" s="605">
        <v>250</v>
      </c>
      <c r="H42" s="606">
        <v>109981.22375000002</v>
      </c>
      <c r="I42" s="607">
        <v>0</v>
      </c>
      <c r="J42" s="606">
        <v>29724.720000000001</v>
      </c>
      <c r="K42" s="608">
        <f t="shared" si="4"/>
        <v>80256.503750000018</v>
      </c>
      <c r="L42" s="9">
        <f t="shared" si="0"/>
        <v>80256.503750000018</v>
      </c>
      <c r="M42" s="9">
        <f t="shared" si="1"/>
        <v>0</v>
      </c>
    </row>
    <row r="43" spans="1:13" ht="18" customHeight="1">
      <c r="A43" s="599" t="s">
        <v>280</v>
      </c>
      <c r="B43" s="620" t="s">
        <v>176</v>
      </c>
      <c r="C43" s="6"/>
      <c r="D43" s="6"/>
      <c r="F43" s="605">
        <v>0</v>
      </c>
      <c r="G43" s="605">
        <v>0</v>
      </c>
      <c r="H43" s="606">
        <v>0</v>
      </c>
      <c r="I43" s="607">
        <v>0</v>
      </c>
      <c r="J43" s="606"/>
      <c r="K43" s="608">
        <f t="shared" si="4"/>
        <v>0</v>
      </c>
      <c r="L43" s="9">
        <f t="shared" si="0"/>
        <v>0</v>
      </c>
      <c r="M43" s="9">
        <f t="shared" si="1"/>
        <v>0</v>
      </c>
    </row>
    <row r="44" spans="1:13" ht="18" customHeight="1">
      <c r="A44" s="599" t="s">
        <v>281</v>
      </c>
      <c r="B44" s="620" t="s">
        <v>804</v>
      </c>
      <c r="C44" s="620"/>
      <c r="D44" s="620"/>
      <c r="F44" s="621">
        <v>1303.8</v>
      </c>
      <c r="G44" s="621">
        <v>4563.3</v>
      </c>
      <c r="H44" s="621">
        <v>47624.99</v>
      </c>
      <c r="I44" s="622">
        <v>0</v>
      </c>
      <c r="J44" s="621"/>
      <c r="K44" s="608">
        <f t="shared" si="4"/>
        <v>47624.99</v>
      </c>
      <c r="L44" s="9">
        <f t="shared" si="0"/>
        <v>47624.99</v>
      </c>
      <c r="M44" s="9">
        <f t="shared" si="1"/>
        <v>0</v>
      </c>
    </row>
    <row r="45" spans="1:13" ht="18" customHeight="1">
      <c r="A45" s="599" t="s">
        <v>283</v>
      </c>
      <c r="B45" s="620" t="s">
        <v>181</v>
      </c>
      <c r="C45" s="620"/>
      <c r="D45" s="620"/>
      <c r="F45" s="605">
        <v>0</v>
      </c>
      <c r="G45" s="605">
        <v>0</v>
      </c>
      <c r="H45" s="606">
        <v>0</v>
      </c>
      <c r="I45" s="607">
        <v>0</v>
      </c>
      <c r="J45" s="606">
        <v>0</v>
      </c>
      <c r="K45" s="608">
        <f t="shared" si="4"/>
        <v>0</v>
      </c>
      <c r="L45" s="9">
        <f t="shared" si="0"/>
        <v>0</v>
      </c>
      <c r="M45" s="9">
        <f t="shared" si="1"/>
        <v>0</v>
      </c>
    </row>
    <row r="46" spans="1:13" ht="18" customHeight="1">
      <c r="A46" s="599" t="s">
        <v>284</v>
      </c>
      <c r="B46" s="609"/>
      <c r="C46" s="610"/>
      <c r="D46" s="611"/>
      <c r="F46" s="605"/>
      <c r="G46" s="605"/>
      <c r="H46" s="606"/>
      <c r="I46" s="607">
        <v>0</v>
      </c>
      <c r="J46" s="606"/>
      <c r="K46" s="608">
        <f t="shared" si="4"/>
        <v>0</v>
      </c>
      <c r="L46" s="9">
        <f t="shared" si="0"/>
        <v>0</v>
      </c>
      <c r="M46" s="9">
        <f t="shared" si="1"/>
        <v>0</v>
      </c>
    </row>
    <row r="47" spans="1:13" ht="18" customHeight="1">
      <c r="A47" s="599" t="s">
        <v>285</v>
      </c>
      <c r="B47" s="609"/>
      <c r="C47" s="610"/>
      <c r="D47" s="611"/>
      <c r="F47" s="605"/>
      <c r="G47" s="605"/>
      <c r="H47" s="606"/>
      <c r="I47" s="607">
        <v>0</v>
      </c>
      <c r="J47" s="606"/>
      <c r="K47" s="608">
        <f t="shared" si="4"/>
        <v>0</v>
      </c>
      <c r="L47" s="9">
        <f t="shared" si="0"/>
        <v>0</v>
      </c>
      <c r="M47" s="9">
        <f t="shared" si="1"/>
        <v>0</v>
      </c>
    </row>
    <row r="48" spans="1:13">
      <c r="L48" s="9">
        <f t="shared" si="0"/>
        <v>0</v>
      </c>
      <c r="M48" s="9">
        <f t="shared" si="1"/>
        <v>0</v>
      </c>
    </row>
    <row r="49" spans="1:13" ht="18" customHeight="1">
      <c r="A49" s="603" t="s">
        <v>286</v>
      </c>
      <c r="B49" s="598" t="s">
        <v>177</v>
      </c>
      <c r="E49" s="598" t="s">
        <v>276</v>
      </c>
      <c r="F49" s="608">
        <f t="shared" ref="F49:J49" si="5">SUM(F40:F47)</f>
        <v>13445.3</v>
      </c>
      <c r="G49" s="608">
        <f t="shared" si="5"/>
        <v>12390.3</v>
      </c>
      <c r="H49" s="608">
        <f t="shared" si="5"/>
        <v>732781.93074999994</v>
      </c>
      <c r="I49" s="608">
        <f t="shared" si="5"/>
        <v>0</v>
      </c>
      <c r="J49" s="608">
        <f t="shared" si="5"/>
        <v>29724.720000000001</v>
      </c>
      <c r="K49" s="608">
        <f>SUM(K40:K47)</f>
        <v>703057.21074999997</v>
      </c>
      <c r="L49" s="9">
        <f t="shared" si="0"/>
        <v>703057.21074999997</v>
      </c>
      <c r="M49" s="9">
        <f t="shared" si="1"/>
        <v>0</v>
      </c>
    </row>
    <row r="50" spans="1:13" ht="18" customHeight="1" thickBot="1">
      <c r="G50" s="623"/>
      <c r="H50" s="623"/>
      <c r="I50" s="623"/>
      <c r="J50" s="623"/>
      <c r="K50" s="623"/>
      <c r="L50" s="9">
        <f t="shared" si="0"/>
        <v>0</v>
      </c>
      <c r="M50" s="9">
        <f t="shared" si="1"/>
        <v>0</v>
      </c>
    </row>
    <row r="51" spans="1:13" ht="42.75" customHeight="1">
      <c r="F51" s="602" t="s">
        <v>145</v>
      </c>
      <c r="G51" s="602" t="s">
        <v>146</v>
      </c>
      <c r="H51" s="602" t="s">
        <v>147</v>
      </c>
      <c r="I51" s="602" t="s">
        <v>148</v>
      </c>
      <c r="J51" s="602" t="s">
        <v>149</v>
      </c>
      <c r="K51" s="602" t="s">
        <v>150</v>
      </c>
      <c r="L51" s="9" t="e">
        <f t="shared" si="0"/>
        <v>#VALUE!</v>
      </c>
      <c r="M51" s="9" t="e">
        <f t="shared" si="1"/>
        <v>#VALUE!</v>
      </c>
    </row>
    <row r="52" spans="1:13" ht="18" customHeight="1">
      <c r="A52" s="603" t="s">
        <v>178</v>
      </c>
      <c r="B52" s="624" t="s">
        <v>179</v>
      </c>
      <c r="C52" s="625"/>
      <c r="L52" s="9">
        <f t="shared" si="0"/>
        <v>0</v>
      </c>
      <c r="M52" s="9">
        <f t="shared" si="1"/>
        <v>0</v>
      </c>
    </row>
    <row r="53" spans="1:13" ht="18" customHeight="1">
      <c r="A53" s="599" t="s">
        <v>287</v>
      </c>
      <c r="B53" t="s">
        <v>757</v>
      </c>
      <c r="F53" s="605">
        <v>0</v>
      </c>
      <c r="G53" s="605">
        <v>0</v>
      </c>
      <c r="H53" s="606">
        <v>0</v>
      </c>
      <c r="I53" s="607">
        <v>0</v>
      </c>
      <c r="J53" s="606"/>
      <c r="K53" s="608">
        <v>0</v>
      </c>
      <c r="L53" s="9">
        <f t="shared" si="0"/>
        <v>0</v>
      </c>
      <c r="M53" s="9">
        <f t="shared" si="1"/>
        <v>0</v>
      </c>
    </row>
    <row r="54" spans="1:13" ht="18" customHeight="1">
      <c r="A54" s="599" t="s">
        <v>289</v>
      </c>
      <c r="B54" t="s">
        <v>758</v>
      </c>
      <c r="F54" s="605">
        <v>73439.159999999989</v>
      </c>
      <c r="G54" s="605">
        <v>8234.786500000002</v>
      </c>
      <c r="H54" s="606">
        <v>6775521.1950000003</v>
      </c>
      <c r="I54" s="607">
        <v>0</v>
      </c>
      <c r="J54" s="606"/>
      <c r="K54" s="608">
        <v>6775521.1950000003</v>
      </c>
      <c r="L54" s="9">
        <f t="shared" si="0"/>
        <v>6775521.1950000003</v>
      </c>
      <c r="M54" s="9">
        <f t="shared" si="1"/>
        <v>0</v>
      </c>
    </row>
    <row r="55" spans="1:13" ht="18" customHeight="1">
      <c r="A55" s="599" t="s">
        <v>291</v>
      </c>
      <c r="B55" t="s">
        <v>759</v>
      </c>
      <c r="F55" s="605">
        <v>8760</v>
      </c>
      <c r="G55" s="605">
        <v>0</v>
      </c>
      <c r="H55" s="606">
        <v>319127.67000000004</v>
      </c>
      <c r="I55" s="607">
        <v>0</v>
      </c>
      <c r="J55" s="606"/>
      <c r="K55" s="608">
        <v>319127.67000000004</v>
      </c>
      <c r="L55" s="9">
        <f t="shared" si="0"/>
        <v>319127.67000000004</v>
      </c>
      <c r="M55" s="9">
        <f t="shared" si="1"/>
        <v>0</v>
      </c>
    </row>
    <row r="56" spans="1:13" ht="18" customHeight="1">
      <c r="A56" s="599" t="s">
        <v>293</v>
      </c>
      <c r="B56" t="s">
        <v>760</v>
      </c>
      <c r="F56" s="605">
        <v>0</v>
      </c>
      <c r="G56" s="605">
        <v>0</v>
      </c>
      <c r="H56" s="606">
        <v>0</v>
      </c>
      <c r="I56" s="607">
        <v>0</v>
      </c>
      <c r="J56" s="606"/>
      <c r="K56" s="608">
        <v>0</v>
      </c>
      <c r="L56" s="9">
        <f t="shared" si="0"/>
        <v>0</v>
      </c>
      <c r="M56" s="9">
        <f t="shared" si="1"/>
        <v>0</v>
      </c>
    </row>
    <row r="57" spans="1:13" ht="18" customHeight="1">
      <c r="A57" s="599" t="s">
        <v>295</v>
      </c>
      <c r="B57" t="s">
        <v>761</v>
      </c>
      <c r="F57" s="605">
        <v>0</v>
      </c>
      <c r="G57" s="605">
        <v>0</v>
      </c>
      <c r="H57" s="606">
        <v>3400616.6899999981</v>
      </c>
      <c r="I57" s="607">
        <v>0</v>
      </c>
      <c r="J57" s="606"/>
      <c r="K57" s="608">
        <v>3400616.6899999981</v>
      </c>
      <c r="L57" s="9">
        <f t="shared" si="0"/>
        <v>3400616.6899999981</v>
      </c>
      <c r="M57" s="9">
        <f t="shared" si="1"/>
        <v>0</v>
      </c>
    </row>
    <row r="58" spans="1:13" ht="18" customHeight="1">
      <c r="A58" s="599" t="s">
        <v>298</v>
      </c>
      <c r="B58" t="s">
        <v>805</v>
      </c>
      <c r="F58" s="605">
        <v>0</v>
      </c>
      <c r="G58" s="605">
        <v>0</v>
      </c>
      <c r="H58" s="606">
        <v>0</v>
      </c>
      <c r="I58" s="607">
        <v>0</v>
      </c>
      <c r="J58" s="606"/>
      <c r="K58" s="608">
        <v>0</v>
      </c>
      <c r="L58" s="9">
        <f t="shared" si="0"/>
        <v>0</v>
      </c>
      <c r="M58" s="9">
        <f t="shared" si="1"/>
        <v>0</v>
      </c>
    </row>
    <row r="59" spans="1:13" ht="18" customHeight="1">
      <c r="A59" s="599" t="s">
        <v>300</v>
      </c>
      <c r="B59" s="626"/>
      <c r="C59" s="627"/>
      <c r="D59" s="628"/>
      <c r="F59" s="605"/>
      <c r="G59" s="605"/>
      <c r="H59" s="606"/>
      <c r="I59" s="607">
        <v>0</v>
      </c>
      <c r="J59" s="606"/>
      <c r="K59" s="608">
        <v>0</v>
      </c>
      <c r="L59" s="9">
        <f t="shared" si="0"/>
        <v>0</v>
      </c>
      <c r="M59" s="9">
        <f t="shared" si="1"/>
        <v>0</v>
      </c>
    </row>
    <row r="60" spans="1:13" ht="18" customHeight="1">
      <c r="A60" s="599" t="s">
        <v>302</v>
      </c>
      <c r="B60" s="626"/>
      <c r="C60" s="627"/>
      <c r="D60" s="628"/>
      <c r="F60" s="605"/>
      <c r="G60" s="605"/>
      <c r="H60" s="606"/>
      <c r="I60" s="607">
        <v>0</v>
      </c>
      <c r="J60" s="606"/>
      <c r="K60" s="608">
        <v>0</v>
      </c>
      <c r="L60" s="9">
        <f t="shared" si="0"/>
        <v>0</v>
      </c>
      <c r="M60" s="9">
        <f t="shared" si="1"/>
        <v>0</v>
      </c>
    </row>
    <row r="61" spans="1:13" ht="18" customHeight="1">
      <c r="A61" s="599" t="s">
        <v>303</v>
      </c>
      <c r="B61" s="626"/>
      <c r="C61" s="627"/>
      <c r="D61" s="628"/>
      <c r="F61" s="605"/>
      <c r="G61" s="605"/>
      <c r="H61" s="606"/>
      <c r="I61" s="607">
        <v>0</v>
      </c>
      <c r="J61" s="606"/>
      <c r="K61" s="608">
        <v>0</v>
      </c>
      <c r="L61" s="9">
        <f t="shared" si="0"/>
        <v>0</v>
      </c>
      <c r="M61" s="9">
        <f t="shared" si="1"/>
        <v>0</v>
      </c>
    </row>
    <row r="62" spans="1:13" ht="18" customHeight="1">
      <c r="A62" s="599" t="s">
        <v>304</v>
      </c>
      <c r="B62" s="626"/>
      <c r="C62" s="627"/>
      <c r="D62" s="628"/>
      <c r="F62" s="605"/>
      <c r="G62" s="605"/>
      <c r="H62" s="606"/>
      <c r="I62" s="607">
        <v>0</v>
      </c>
      <c r="J62" s="606"/>
      <c r="K62" s="608">
        <v>0</v>
      </c>
      <c r="L62" s="9">
        <f t="shared" si="0"/>
        <v>0</v>
      </c>
      <c r="M62" s="9">
        <f t="shared" si="1"/>
        <v>0</v>
      </c>
    </row>
    <row r="63" spans="1:13" ht="18" customHeight="1">
      <c r="A63" s="599"/>
      <c r="I63" s="629"/>
      <c r="L63" s="9">
        <f t="shared" si="0"/>
        <v>0</v>
      </c>
      <c r="M63" s="9">
        <f t="shared" si="1"/>
        <v>0</v>
      </c>
    </row>
    <row r="64" spans="1:13" ht="18" customHeight="1">
      <c r="A64" s="599" t="s">
        <v>305</v>
      </c>
      <c r="B64" s="598" t="s">
        <v>184</v>
      </c>
      <c r="E64" s="598" t="s">
        <v>276</v>
      </c>
      <c r="F64" s="614">
        <v>82199.159999999989</v>
      </c>
      <c r="G64" s="614">
        <v>8234.786500000002</v>
      </c>
      <c r="H64" s="608">
        <v>10495265.554999998</v>
      </c>
      <c r="I64" s="608">
        <v>0</v>
      </c>
      <c r="J64" s="608">
        <v>0</v>
      </c>
      <c r="K64" s="608">
        <f>SUM(K53:K62)</f>
        <v>10495265.554999998</v>
      </c>
      <c r="L64" s="9">
        <f t="shared" si="0"/>
        <v>10495265.554999998</v>
      </c>
      <c r="M64" s="9">
        <f t="shared" si="1"/>
        <v>0</v>
      </c>
    </row>
    <row r="65" spans="1:13" ht="18" customHeight="1">
      <c r="F65" s="630"/>
      <c r="G65" s="630"/>
      <c r="H65" s="630"/>
      <c r="I65" s="630"/>
      <c r="J65" s="630"/>
      <c r="K65" s="630"/>
      <c r="L65" s="9">
        <f t="shared" si="0"/>
        <v>0</v>
      </c>
      <c r="M65" s="9">
        <f t="shared" si="1"/>
        <v>0</v>
      </c>
    </row>
    <row r="66" spans="1:13" ht="42.75" customHeight="1">
      <c r="F66" s="631" t="s">
        <v>145</v>
      </c>
      <c r="G66" s="631" t="s">
        <v>146</v>
      </c>
      <c r="H66" s="631" t="s">
        <v>147</v>
      </c>
      <c r="I66" s="631" t="s">
        <v>148</v>
      </c>
      <c r="J66" s="631" t="s">
        <v>149</v>
      </c>
      <c r="K66" s="631" t="s">
        <v>150</v>
      </c>
      <c r="L66" s="9" t="e">
        <f t="shared" si="0"/>
        <v>#VALUE!</v>
      </c>
      <c r="M66" s="9" t="e">
        <f t="shared" si="1"/>
        <v>#VALUE!</v>
      </c>
    </row>
    <row r="67" spans="1:13" ht="18" customHeight="1">
      <c r="A67" s="603" t="s">
        <v>185</v>
      </c>
      <c r="B67" s="598" t="s">
        <v>186</v>
      </c>
      <c r="F67" s="632"/>
      <c r="G67" s="632"/>
      <c r="H67" s="632"/>
      <c r="I67" s="633"/>
      <c r="J67" s="632"/>
      <c r="K67" s="634"/>
      <c r="L67" s="9">
        <f t="shared" si="0"/>
        <v>0</v>
      </c>
      <c r="M67" s="9">
        <f t="shared" si="1"/>
        <v>0</v>
      </c>
    </row>
    <row r="68" spans="1:13" ht="18" customHeight="1">
      <c r="A68" s="599" t="s">
        <v>306</v>
      </c>
      <c r="B68" t="s">
        <v>188</v>
      </c>
      <c r="F68" s="635">
        <v>7595.42</v>
      </c>
      <c r="G68" s="635">
        <v>980</v>
      </c>
      <c r="H68" s="635">
        <v>414739.12499999988</v>
      </c>
      <c r="I68" s="607">
        <v>0</v>
      </c>
      <c r="J68" s="635">
        <v>77187.399999999994</v>
      </c>
      <c r="K68" s="608">
        <f>+H68+I68-J68</f>
        <v>337551.72499999986</v>
      </c>
      <c r="L68" s="9">
        <f t="shared" si="0"/>
        <v>337551.72499999986</v>
      </c>
      <c r="M68" s="9">
        <f t="shared" si="1"/>
        <v>0</v>
      </c>
    </row>
    <row r="69" spans="1:13" ht="18" customHeight="1">
      <c r="A69" s="599" t="s">
        <v>307</v>
      </c>
      <c r="B69" s="604" t="s">
        <v>190</v>
      </c>
      <c r="F69" s="635">
        <v>4.5</v>
      </c>
      <c r="G69" s="635">
        <v>20.5</v>
      </c>
      <c r="H69" s="635">
        <v>18525.2</v>
      </c>
      <c r="I69" s="607">
        <v>0</v>
      </c>
      <c r="J69" s="636"/>
      <c r="K69" s="608">
        <f t="shared" ref="K69:K72" si="6">+H69+I69-J69</f>
        <v>18525.2</v>
      </c>
      <c r="L69" s="9">
        <f t="shared" si="0"/>
        <v>18525.2</v>
      </c>
      <c r="M69" s="9">
        <f t="shared" si="1"/>
        <v>0</v>
      </c>
    </row>
    <row r="70" spans="1:13" ht="18" customHeight="1">
      <c r="A70" s="599" t="s">
        <v>308</v>
      </c>
      <c r="B70" s="626"/>
      <c r="C70" s="627"/>
      <c r="D70" s="628"/>
      <c r="E70" s="598"/>
      <c r="F70" s="637"/>
      <c r="G70" s="637"/>
      <c r="H70" s="638"/>
      <c r="I70" s="607">
        <v>0</v>
      </c>
      <c r="J70" s="638"/>
      <c r="K70" s="608">
        <f t="shared" si="6"/>
        <v>0</v>
      </c>
      <c r="L70" s="9">
        <f t="shared" si="0"/>
        <v>0</v>
      </c>
      <c r="M70" s="9">
        <f t="shared" si="1"/>
        <v>0</v>
      </c>
    </row>
    <row r="71" spans="1:13" ht="18" customHeight="1">
      <c r="A71" s="599" t="s">
        <v>309</v>
      </c>
      <c r="B71" s="626"/>
      <c r="C71" s="627"/>
      <c r="D71" s="628"/>
      <c r="E71" s="598"/>
      <c r="F71" s="637"/>
      <c r="G71" s="637"/>
      <c r="H71" s="638"/>
      <c r="I71" s="607">
        <v>0</v>
      </c>
      <c r="J71" s="638"/>
      <c r="K71" s="608">
        <f t="shared" si="6"/>
        <v>0</v>
      </c>
      <c r="L71" s="9">
        <f t="shared" si="0"/>
        <v>0</v>
      </c>
      <c r="M71" s="9">
        <f t="shared" si="1"/>
        <v>0</v>
      </c>
    </row>
    <row r="72" spans="1:13" ht="18" customHeight="1">
      <c r="A72" s="599" t="s">
        <v>310</v>
      </c>
      <c r="B72" s="639"/>
      <c r="C72" s="640"/>
      <c r="D72" s="641"/>
      <c r="E72" s="598"/>
      <c r="F72" s="605"/>
      <c r="G72" s="605"/>
      <c r="H72" s="606"/>
      <c r="I72" s="607">
        <v>0</v>
      </c>
      <c r="J72" s="606"/>
      <c r="K72" s="608">
        <f t="shared" si="6"/>
        <v>0</v>
      </c>
      <c r="L72" s="9">
        <f t="shared" si="0"/>
        <v>0</v>
      </c>
      <c r="M72" s="9">
        <f t="shared" si="1"/>
        <v>0</v>
      </c>
    </row>
    <row r="73" spans="1:13" ht="18" customHeight="1">
      <c r="A73" s="599"/>
      <c r="B73" s="604"/>
      <c r="E73" s="598"/>
      <c r="F73" s="642"/>
      <c r="G73" s="642"/>
      <c r="H73" s="643"/>
      <c r="I73" s="633"/>
      <c r="J73" s="643"/>
      <c r="K73" s="634"/>
      <c r="L73" s="9">
        <f t="shared" si="0"/>
        <v>0</v>
      </c>
      <c r="M73" s="9">
        <f t="shared" si="1"/>
        <v>0</v>
      </c>
    </row>
    <row r="74" spans="1:13" ht="18" customHeight="1">
      <c r="A74" s="603" t="s">
        <v>311</v>
      </c>
      <c r="B74" s="598" t="s">
        <v>191</v>
      </c>
      <c r="E74" s="598" t="s">
        <v>276</v>
      </c>
      <c r="F74" s="645">
        <f t="shared" ref="F74:J74" si="7">SUM(F68:F72)</f>
        <v>7599.92</v>
      </c>
      <c r="G74" s="645">
        <f t="shared" si="7"/>
        <v>1000.5</v>
      </c>
      <c r="H74" s="645">
        <f t="shared" si="7"/>
        <v>433264.3249999999</v>
      </c>
      <c r="I74" s="645">
        <f t="shared" si="7"/>
        <v>0</v>
      </c>
      <c r="J74" s="645">
        <f t="shared" si="7"/>
        <v>77187.399999999994</v>
      </c>
      <c r="K74" s="645">
        <f>SUM(K68:K72)</f>
        <v>356076.92499999987</v>
      </c>
      <c r="L74" s="9">
        <f t="shared" si="0"/>
        <v>356076.92499999993</v>
      </c>
      <c r="M74" s="9">
        <f t="shared" si="1"/>
        <v>0</v>
      </c>
    </row>
    <row r="75" spans="1:13" ht="42.75" customHeight="1">
      <c r="F75" s="602" t="s">
        <v>145</v>
      </c>
      <c r="G75" s="602" t="s">
        <v>146</v>
      </c>
      <c r="H75" s="602" t="s">
        <v>147</v>
      </c>
      <c r="I75" s="602" t="s">
        <v>148</v>
      </c>
      <c r="J75" s="602" t="s">
        <v>149</v>
      </c>
      <c r="K75" s="602" t="s">
        <v>150</v>
      </c>
      <c r="L75" s="9" t="e">
        <f t="shared" si="0"/>
        <v>#VALUE!</v>
      </c>
      <c r="M75" s="9" t="e">
        <f t="shared" si="1"/>
        <v>#VALUE!</v>
      </c>
    </row>
    <row r="76" spans="1:13" ht="18" customHeight="1">
      <c r="A76" s="603" t="s">
        <v>192</v>
      </c>
      <c r="B76" s="598" t="s">
        <v>193</v>
      </c>
      <c r="L76" s="9">
        <f t="shared" si="0"/>
        <v>0</v>
      </c>
      <c r="M76" s="9">
        <f t="shared" si="1"/>
        <v>0</v>
      </c>
    </row>
    <row r="77" spans="1:13" ht="18" customHeight="1">
      <c r="A77" s="599" t="s">
        <v>312</v>
      </c>
      <c r="B77" s="604" t="s">
        <v>195</v>
      </c>
      <c r="F77" s="605">
        <v>102.5</v>
      </c>
      <c r="G77" s="605">
        <v>126</v>
      </c>
      <c r="H77" s="606">
        <v>630082.83000000007</v>
      </c>
      <c r="I77" s="607">
        <v>0</v>
      </c>
      <c r="J77" s="606"/>
      <c r="K77" s="608">
        <v>630082.83000000007</v>
      </c>
      <c r="L77" s="9">
        <f t="shared" si="0"/>
        <v>630082.83000000007</v>
      </c>
      <c r="M77" s="9">
        <f t="shared" si="1"/>
        <v>0</v>
      </c>
    </row>
    <row r="78" spans="1:13" ht="18" customHeight="1">
      <c r="A78" s="599" t="s">
        <v>313</v>
      </c>
      <c r="B78" s="604" t="s">
        <v>197</v>
      </c>
      <c r="F78" s="605"/>
      <c r="G78" s="605"/>
      <c r="H78" s="606"/>
      <c r="I78" s="607">
        <v>0</v>
      </c>
      <c r="J78" s="606"/>
      <c r="K78" s="608">
        <v>0</v>
      </c>
      <c r="L78" s="9">
        <f t="shared" si="0"/>
        <v>0</v>
      </c>
      <c r="M78" s="9">
        <f t="shared" si="1"/>
        <v>0</v>
      </c>
    </row>
    <row r="79" spans="1:13" ht="18" customHeight="1">
      <c r="A79" s="599" t="s">
        <v>314</v>
      </c>
      <c r="B79" s="604" t="s">
        <v>199</v>
      </c>
      <c r="F79" s="605"/>
      <c r="G79" s="605"/>
      <c r="H79" s="606"/>
      <c r="I79" s="607">
        <v>0</v>
      </c>
      <c r="J79" s="606"/>
      <c r="K79" s="608">
        <v>0</v>
      </c>
      <c r="L79" s="9">
        <f t="shared" si="0"/>
        <v>0</v>
      </c>
      <c r="M79" s="9">
        <f t="shared" si="1"/>
        <v>0</v>
      </c>
    </row>
    <row r="80" spans="1:13" ht="18" customHeight="1">
      <c r="A80" s="599" t="s">
        <v>315</v>
      </c>
      <c r="B80" s="604" t="s">
        <v>316</v>
      </c>
      <c r="F80" s="605"/>
      <c r="G80" s="605"/>
      <c r="H80" s="606"/>
      <c r="I80" s="607">
        <v>0</v>
      </c>
      <c r="J80" s="606"/>
      <c r="K80" s="608">
        <v>0</v>
      </c>
      <c r="L80" s="9">
        <f t="shared" si="0"/>
        <v>0</v>
      </c>
      <c r="M80" s="9">
        <f t="shared" si="1"/>
        <v>0</v>
      </c>
    </row>
    <row r="81" spans="1:13" ht="18" customHeight="1">
      <c r="A81" s="599"/>
      <c r="K81" s="646"/>
      <c r="L81" s="9">
        <f t="shared" si="0"/>
        <v>0</v>
      </c>
      <c r="M81" s="9">
        <f t="shared" si="1"/>
        <v>0</v>
      </c>
    </row>
    <row r="82" spans="1:13" ht="18" customHeight="1">
      <c r="A82" s="599" t="s">
        <v>317</v>
      </c>
      <c r="B82" s="598" t="s">
        <v>318</v>
      </c>
      <c r="E82" s="598" t="s">
        <v>276</v>
      </c>
      <c r="F82" s="644">
        <v>102.5</v>
      </c>
      <c r="G82" s="644">
        <v>126</v>
      </c>
      <c r="H82" s="645">
        <v>630082.83000000007</v>
      </c>
      <c r="I82" s="645">
        <v>0</v>
      </c>
      <c r="J82" s="645">
        <v>0</v>
      </c>
      <c r="K82" s="645">
        <v>630082.83000000007</v>
      </c>
      <c r="L82" s="9">
        <f t="shared" ref="L82:L137" si="8">+H82+I82-J82</f>
        <v>630082.83000000007</v>
      </c>
      <c r="M82" s="9">
        <f t="shared" ref="M82:M137" si="9">+K82-L82</f>
        <v>0</v>
      </c>
    </row>
    <row r="83" spans="1:13" ht="18" customHeight="1" thickBot="1">
      <c r="A83" s="599"/>
      <c r="F83" s="623"/>
      <c r="G83" s="623"/>
      <c r="H83" s="623"/>
      <c r="I83" s="623"/>
      <c r="J83" s="623"/>
      <c r="K83" s="623"/>
      <c r="L83" s="9">
        <f t="shared" si="8"/>
        <v>0</v>
      </c>
      <c r="M83" s="9">
        <f t="shared" si="9"/>
        <v>0</v>
      </c>
    </row>
    <row r="84" spans="1:13" ht="42.75" customHeight="1">
      <c r="F84" s="602" t="s">
        <v>145</v>
      </c>
      <c r="G84" s="602" t="s">
        <v>146</v>
      </c>
      <c r="H84" s="602" t="s">
        <v>147</v>
      </c>
      <c r="I84" s="602" t="s">
        <v>148</v>
      </c>
      <c r="J84" s="602" t="s">
        <v>149</v>
      </c>
      <c r="K84" s="602" t="s">
        <v>150</v>
      </c>
      <c r="L84" s="9" t="e">
        <f t="shared" si="8"/>
        <v>#VALUE!</v>
      </c>
      <c r="M84" s="9" t="e">
        <f t="shared" si="9"/>
        <v>#VALUE!</v>
      </c>
    </row>
    <row r="85" spans="1:13" ht="18" customHeight="1">
      <c r="A85" s="603" t="s">
        <v>201</v>
      </c>
      <c r="B85" s="598" t="s">
        <v>202</v>
      </c>
      <c r="L85" s="9">
        <f t="shared" si="8"/>
        <v>0</v>
      </c>
      <c r="M85" s="9">
        <f t="shared" si="9"/>
        <v>0</v>
      </c>
    </row>
    <row r="86" spans="1:13" ht="18" customHeight="1">
      <c r="A86" s="599" t="s">
        <v>319</v>
      </c>
      <c r="B86" s="604" t="s">
        <v>204</v>
      </c>
      <c r="F86" s="605">
        <v>0</v>
      </c>
      <c r="G86" s="605">
        <v>0</v>
      </c>
      <c r="H86" s="606">
        <v>0</v>
      </c>
      <c r="I86" s="607">
        <v>0</v>
      </c>
      <c r="J86" s="606"/>
      <c r="K86" s="608">
        <f>+H86+I86-J86</f>
        <v>0</v>
      </c>
      <c r="L86" s="9">
        <f t="shared" si="8"/>
        <v>0</v>
      </c>
      <c r="M86" s="9">
        <f t="shared" si="9"/>
        <v>0</v>
      </c>
    </row>
    <row r="87" spans="1:13" ht="18" customHeight="1">
      <c r="A87" s="599" t="s">
        <v>320</v>
      </c>
      <c r="B87" s="604" t="s">
        <v>206</v>
      </c>
      <c r="F87" s="605">
        <v>48</v>
      </c>
      <c r="G87" s="605">
        <v>5</v>
      </c>
      <c r="H87" s="606">
        <v>11603</v>
      </c>
      <c r="I87" s="607">
        <v>7371.2822144423635</v>
      </c>
      <c r="J87" s="606"/>
      <c r="K87" s="608">
        <f t="shared" ref="K87:K96" si="10">+H87+I87-J87</f>
        <v>18974.282214442363</v>
      </c>
      <c r="L87" s="9">
        <f t="shared" si="8"/>
        <v>18974.282214442363</v>
      </c>
      <c r="M87" s="9">
        <f t="shared" si="9"/>
        <v>0</v>
      </c>
    </row>
    <row r="88" spans="1:13" ht="18" customHeight="1">
      <c r="A88" s="599" t="s">
        <v>321</v>
      </c>
      <c r="B88" s="604" t="s">
        <v>208</v>
      </c>
      <c r="F88" s="605">
        <v>122.875</v>
      </c>
      <c r="G88" s="605">
        <v>238.5</v>
      </c>
      <c r="H88" s="606">
        <v>12236.5</v>
      </c>
      <c r="I88" s="607">
        <v>7773.7391034235961</v>
      </c>
      <c r="J88" s="606"/>
      <c r="K88" s="608">
        <f t="shared" si="10"/>
        <v>20010.239103423595</v>
      </c>
      <c r="L88" s="9">
        <f t="shared" si="8"/>
        <v>20010.239103423595</v>
      </c>
      <c r="M88" s="9">
        <f t="shared" si="9"/>
        <v>0</v>
      </c>
    </row>
    <row r="89" spans="1:13" ht="18" customHeight="1">
      <c r="A89" s="599" t="s">
        <v>322</v>
      </c>
      <c r="B89" s="604" t="s">
        <v>210</v>
      </c>
      <c r="F89" s="605">
        <v>3.5</v>
      </c>
      <c r="G89" s="605">
        <v>16.5</v>
      </c>
      <c r="H89" s="606">
        <v>872</v>
      </c>
      <c r="I89" s="607">
        <v>553.97380772160136</v>
      </c>
      <c r="J89" s="606"/>
      <c r="K89" s="608">
        <f t="shared" si="10"/>
        <v>1425.9738077216014</v>
      </c>
      <c r="L89" s="9">
        <f t="shared" si="8"/>
        <v>1425.9738077216014</v>
      </c>
      <c r="M89" s="9">
        <f t="shared" si="9"/>
        <v>0</v>
      </c>
    </row>
    <row r="90" spans="1:13" ht="18" customHeight="1">
      <c r="A90" s="599" t="s">
        <v>323</v>
      </c>
      <c r="B90" s="618" t="s">
        <v>212</v>
      </c>
      <c r="C90" s="619"/>
      <c r="F90" s="605">
        <v>41.875</v>
      </c>
      <c r="G90" s="605">
        <v>377</v>
      </c>
      <c r="H90" s="606">
        <v>37674</v>
      </c>
      <c r="I90" s="607">
        <v>23933.955541403226</v>
      </c>
      <c r="J90" s="606"/>
      <c r="K90" s="608">
        <f t="shared" si="10"/>
        <v>61607.955541403222</v>
      </c>
      <c r="L90" s="9">
        <f t="shared" si="8"/>
        <v>61607.955541403222</v>
      </c>
      <c r="M90" s="9">
        <f t="shared" si="9"/>
        <v>0</v>
      </c>
    </row>
    <row r="91" spans="1:13" ht="18" customHeight="1">
      <c r="A91" s="599" t="s">
        <v>324</v>
      </c>
      <c r="B91" s="604" t="s">
        <v>214</v>
      </c>
      <c r="F91" s="605">
        <v>311.5</v>
      </c>
      <c r="G91" s="605">
        <v>2526</v>
      </c>
      <c r="H91" s="606">
        <v>29154</v>
      </c>
      <c r="I91" s="607">
        <v>18521.275676967394</v>
      </c>
      <c r="J91" s="606"/>
      <c r="K91" s="608">
        <f t="shared" si="10"/>
        <v>47675.275676967394</v>
      </c>
      <c r="L91" s="9">
        <f t="shared" si="8"/>
        <v>47675.275676967394</v>
      </c>
      <c r="M91" s="9">
        <f t="shared" si="9"/>
        <v>0</v>
      </c>
    </row>
    <row r="92" spans="1:13" ht="18" customHeight="1">
      <c r="A92" s="599" t="s">
        <v>325</v>
      </c>
      <c r="B92" s="604" t="s">
        <v>216</v>
      </c>
      <c r="F92" s="647">
        <v>1432.7678942307691</v>
      </c>
      <c r="G92" s="647">
        <v>1520</v>
      </c>
      <c r="H92" s="648">
        <v>286730.97700000001</v>
      </c>
      <c r="I92" s="607">
        <v>182157.62743167995</v>
      </c>
      <c r="J92" s="648">
        <v>14500</v>
      </c>
      <c r="K92" s="608">
        <f t="shared" si="10"/>
        <v>454388.60443167994</v>
      </c>
      <c r="L92" s="9">
        <f t="shared" si="8"/>
        <v>454388.60443167994</v>
      </c>
      <c r="M92" s="9">
        <f t="shared" si="9"/>
        <v>0</v>
      </c>
    </row>
    <row r="93" spans="1:13" ht="18" customHeight="1">
      <c r="A93" s="599" t="s">
        <v>326</v>
      </c>
      <c r="B93" s="604" t="s">
        <v>218</v>
      </c>
      <c r="F93" s="605">
        <v>63.375</v>
      </c>
      <c r="G93" s="605">
        <v>314</v>
      </c>
      <c r="H93" s="606">
        <v>10352.5</v>
      </c>
      <c r="I93" s="607">
        <v>6576.8507390342647</v>
      </c>
      <c r="J93" s="606"/>
      <c r="K93" s="608">
        <f t="shared" si="10"/>
        <v>16929.350739034264</v>
      </c>
      <c r="L93" s="9">
        <f t="shared" si="8"/>
        <v>16929.350739034264</v>
      </c>
      <c r="M93" s="9">
        <f t="shared" si="9"/>
        <v>0</v>
      </c>
    </row>
    <row r="94" spans="1:13" ht="18" customHeight="1">
      <c r="A94" s="599" t="s">
        <v>327</v>
      </c>
      <c r="B94" s="604" t="s">
        <v>806</v>
      </c>
      <c r="C94" s="604"/>
      <c r="D94" s="604"/>
      <c r="F94" s="605">
        <v>2270.592316654021</v>
      </c>
      <c r="G94" s="605">
        <v>465.2443656824089</v>
      </c>
      <c r="H94" s="606">
        <v>125021.02534337138</v>
      </c>
      <c r="I94" s="607">
        <v>79424.740200374174</v>
      </c>
      <c r="J94" s="606"/>
      <c r="K94" s="608">
        <f t="shared" si="10"/>
        <v>204445.76554374554</v>
      </c>
      <c r="L94" s="9">
        <f t="shared" si="8"/>
        <v>204445.76554374554</v>
      </c>
      <c r="M94" s="9">
        <f t="shared" si="9"/>
        <v>0</v>
      </c>
    </row>
    <row r="95" spans="1:13" ht="18" customHeight="1">
      <c r="A95" s="599" t="s">
        <v>329</v>
      </c>
      <c r="B95" s="626"/>
      <c r="C95" s="627"/>
      <c r="D95" s="628"/>
      <c r="F95" s="605"/>
      <c r="G95" s="605"/>
      <c r="H95" s="606"/>
      <c r="I95" s="607">
        <v>0</v>
      </c>
      <c r="J95" s="606"/>
      <c r="K95" s="608">
        <f t="shared" si="10"/>
        <v>0</v>
      </c>
      <c r="L95" s="9">
        <f t="shared" si="8"/>
        <v>0</v>
      </c>
      <c r="M95" s="9">
        <f t="shared" si="9"/>
        <v>0</v>
      </c>
    </row>
    <row r="96" spans="1:13" ht="18" customHeight="1">
      <c r="A96" s="599" t="s">
        <v>330</v>
      </c>
      <c r="B96" s="626"/>
      <c r="C96" s="627"/>
      <c r="D96" s="628"/>
      <c r="F96" s="605"/>
      <c r="G96" s="605"/>
      <c r="H96" s="606"/>
      <c r="I96" s="607">
        <v>0</v>
      </c>
      <c r="J96" s="606"/>
      <c r="K96" s="608">
        <f t="shared" si="10"/>
        <v>0</v>
      </c>
      <c r="L96" s="9">
        <f t="shared" si="8"/>
        <v>0</v>
      </c>
      <c r="M96" s="9">
        <f t="shared" si="9"/>
        <v>0</v>
      </c>
    </row>
    <row r="97" spans="1:14" ht="18" customHeight="1">
      <c r="A97" s="599"/>
      <c r="B97" s="604"/>
      <c r="L97" s="9">
        <f t="shared" si="8"/>
        <v>0</v>
      </c>
      <c r="M97" s="9">
        <f t="shared" si="9"/>
        <v>0</v>
      </c>
    </row>
    <row r="98" spans="1:14" ht="18" customHeight="1">
      <c r="A98" s="603" t="s">
        <v>331</v>
      </c>
      <c r="B98" s="598" t="s">
        <v>220</v>
      </c>
      <c r="E98" s="598" t="s">
        <v>276</v>
      </c>
      <c r="F98" s="614">
        <f t="shared" ref="F98:J98" si="11">SUM(F86:F96)</f>
        <v>4294.4852108847899</v>
      </c>
      <c r="G98" s="614">
        <f t="shared" si="11"/>
        <v>5462.2443656824089</v>
      </c>
      <c r="H98" s="614">
        <f t="shared" si="11"/>
        <v>513644.00234337139</v>
      </c>
      <c r="I98" s="614">
        <f t="shared" si="11"/>
        <v>326313.44471504656</v>
      </c>
      <c r="J98" s="614">
        <f t="shared" si="11"/>
        <v>14500</v>
      </c>
      <c r="K98" s="614">
        <f>SUM(K86:K96)</f>
        <v>825457.44705841783</v>
      </c>
      <c r="L98" s="9">
        <f t="shared" si="8"/>
        <v>825457.44705841795</v>
      </c>
      <c r="M98" s="9">
        <f t="shared" si="9"/>
        <v>0</v>
      </c>
      <c r="N98" s="9">
        <f>SUM(L86:L96)-L98</f>
        <v>0</v>
      </c>
    </row>
    <row r="99" spans="1:14" ht="18" customHeight="1" thickBot="1">
      <c r="B99" s="598"/>
      <c r="F99" s="623"/>
      <c r="G99" s="623"/>
      <c r="H99" s="623"/>
      <c r="I99" s="623"/>
      <c r="J99" s="623"/>
      <c r="K99" s="623"/>
      <c r="L99" s="9">
        <f t="shared" si="8"/>
        <v>0</v>
      </c>
      <c r="M99" s="9">
        <f t="shared" si="9"/>
        <v>0</v>
      </c>
    </row>
    <row r="100" spans="1:14" ht="42.75" customHeight="1">
      <c r="F100" s="602" t="s">
        <v>145</v>
      </c>
      <c r="G100" s="602" t="s">
        <v>146</v>
      </c>
      <c r="H100" s="602" t="s">
        <v>147</v>
      </c>
      <c r="I100" s="602" t="s">
        <v>148</v>
      </c>
      <c r="J100" s="602" t="s">
        <v>149</v>
      </c>
      <c r="K100" s="602" t="s">
        <v>150</v>
      </c>
      <c r="L100" s="9" t="e">
        <f t="shared" si="8"/>
        <v>#VALUE!</v>
      </c>
      <c r="M100" s="9" t="e">
        <f t="shared" si="9"/>
        <v>#VALUE!</v>
      </c>
    </row>
    <row r="101" spans="1:14" ht="18" customHeight="1">
      <c r="A101" s="603" t="s">
        <v>221</v>
      </c>
      <c r="B101" s="598" t="s">
        <v>222</v>
      </c>
      <c r="L101" s="9">
        <f t="shared" si="8"/>
        <v>0</v>
      </c>
      <c r="M101" s="9">
        <f t="shared" si="9"/>
        <v>0</v>
      </c>
    </row>
    <row r="102" spans="1:14" ht="18" customHeight="1">
      <c r="A102" s="599" t="s">
        <v>332</v>
      </c>
      <c r="B102" s="604" t="s">
        <v>224</v>
      </c>
      <c r="F102" s="605">
        <v>1659</v>
      </c>
      <c r="G102" s="605">
        <v>27</v>
      </c>
      <c r="H102" s="606">
        <v>71192.558461538458</v>
      </c>
      <c r="I102" s="607">
        <v>45227.996206859134</v>
      </c>
      <c r="J102" s="606"/>
      <c r="K102" s="608">
        <v>116420.55466839758</v>
      </c>
      <c r="L102" s="9">
        <f t="shared" si="8"/>
        <v>116420.55466839758</v>
      </c>
      <c r="M102" s="9">
        <f t="shared" si="9"/>
        <v>0</v>
      </c>
    </row>
    <row r="103" spans="1:14" ht="18" customHeight="1">
      <c r="A103" s="599" t="s">
        <v>333</v>
      </c>
      <c r="B103" s="618" t="s">
        <v>226</v>
      </c>
      <c r="C103" s="618"/>
      <c r="F103" s="605">
        <v>71.5</v>
      </c>
      <c r="G103" s="605">
        <v>142</v>
      </c>
      <c r="H103" s="606">
        <v>431.5</v>
      </c>
      <c r="I103" s="607">
        <v>274.12809407324659</v>
      </c>
      <c r="J103" s="606"/>
      <c r="K103" s="608">
        <v>705.62809407324653</v>
      </c>
      <c r="L103" s="9">
        <f t="shared" si="8"/>
        <v>705.62809407324653</v>
      </c>
      <c r="M103" s="9">
        <f t="shared" si="9"/>
        <v>0</v>
      </c>
    </row>
    <row r="104" spans="1:14" ht="18" customHeight="1">
      <c r="A104" s="599" t="s">
        <v>334</v>
      </c>
      <c r="B104" s="618" t="s">
        <v>763</v>
      </c>
      <c r="C104" s="618" t="s">
        <v>763</v>
      </c>
      <c r="D104" s="618"/>
      <c r="E104" s="618"/>
      <c r="F104" s="605">
        <v>0</v>
      </c>
      <c r="G104" s="605">
        <v>0</v>
      </c>
      <c r="H104" s="606"/>
      <c r="I104" s="607">
        <v>0</v>
      </c>
      <c r="J104" s="606"/>
      <c r="K104" s="608">
        <v>0</v>
      </c>
      <c r="L104" s="9">
        <f t="shared" si="8"/>
        <v>0</v>
      </c>
      <c r="M104" s="9">
        <f t="shared" si="9"/>
        <v>0</v>
      </c>
    </row>
    <row r="105" spans="1:14" ht="18" customHeight="1">
      <c r="A105" s="599" t="s">
        <v>336</v>
      </c>
      <c r="B105" s="618" t="s">
        <v>764</v>
      </c>
      <c r="C105" s="618" t="s">
        <v>764</v>
      </c>
      <c r="D105" s="618"/>
      <c r="E105" s="618"/>
      <c r="F105" s="605">
        <v>0</v>
      </c>
      <c r="G105" s="605">
        <v>0</v>
      </c>
      <c r="H105" s="606"/>
      <c r="I105" s="607">
        <v>0</v>
      </c>
      <c r="J105" s="606"/>
      <c r="K105" s="608">
        <v>0</v>
      </c>
      <c r="L105" s="9">
        <f t="shared" si="8"/>
        <v>0</v>
      </c>
      <c r="M105" s="9">
        <f t="shared" si="9"/>
        <v>0</v>
      </c>
    </row>
    <row r="106" spans="1:14" ht="18" customHeight="1">
      <c r="A106" s="599" t="s">
        <v>337</v>
      </c>
      <c r="B106" s="626"/>
      <c r="C106" s="627"/>
      <c r="D106" s="628"/>
      <c r="F106" s="605"/>
      <c r="G106" s="605"/>
      <c r="H106" s="606"/>
      <c r="I106" s="607">
        <v>0</v>
      </c>
      <c r="J106" s="606"/>
      <c r="K106" s="608">
        <v>0</v>
      </c>
      <c r="L106" s="9">
        <f t="shared" si="8"/>
        <v>0</v>
      </c>
      <c r="M106" s="9">
        <f t="shared" si="9"/>
        <v>0</v>
      </c>
    </row>
    <row r="107" spans="1:14" ht="18" customHeight="1">
      <c r="B107" s="598"/>
      <c r="L107" s="9">
        <f t="shared" si="8"/>
        <v>0</v>
      </c>
      <c r="M107" s="9">
        <f t="shared" si="9"/>
        <v>0</v>
      </c>
    </row>
    <row r="108" spans="1:14" s="6" customFormat="1" ht="18" customHeight="1">
      <c r="A108" s="603" t="s">
        <v>338</v>
      </c>
      <c r="B108" s="649" t="s">
        <v>229</v>
      </c>
      <c r="C108"/>
      <c r="D108"/>
      <c r="E108" s="598" t="s">
        <v>276</v>
      </c>
      <c r="F108" s="608">
        <f t="shared" ref="F108:J108" si="12">SUM(F102:F106)</f>
        <v>1730.5</v>
      </c>
      <c r="G108" s="608">
        <f t="shared" si="12"/>
        <v>169</v>
      </c>
      <c r="H108" s="608">
        <f t="shared" si="12"/>
        <v>71624.058461538458</v>
      </c>
      <c r="I108" s="608">
        <f t="shared" si="12"/>
        <v>45502.124300932381</v>
      </c>
      <c r="J108" s="608">
        <f t="shared" si="12"/>
        <v>0</v>
      </c>
      <c r="K108" s="608">
        <f>SUM(K102:K106)</f>
        <v>117126.18276247082</v>
      </c>
      <c r="L108" s="9">
        <f t="shared" si="8"/>
        <v>117126.18276247084</v>
      </c>
      <c r="M108" s="9">
        <f t="shared" si="9"/>
        <v>0</v>
      </c>
    </row>
    <row r="109" spans="1:14" s="6" customFormat="1" ht="18" customHeight="1" thickBot="1">
      <c r="A109" s="650"/>
      <c r="B109" s="651"/>
      <c r="C109" s="652"/>
      <c r="D109" s="652"/>
      <c r="E109" s="652"/>
      <c r="F109" s="623"/>
      <c r="G109" s="623"/>
      <c r="H109" s="623"/>
      <c r="I109" s="623"/>
      <c r="J109" s="623"/>
      <c r="K109" s="623"/>
      <c r="L109" s="9">
        <f t="shared" si="8"/>
        <v>0</v>
      </c>
      <c r="M109" s="9">
        <f t="shared" si="9"/>
        <v>0</v>
      </c>
    </row>
    <row r="110" spans="1:14" s="6" customFormat="1" ht="18" customHeight="1">
      <c r="A110" s="603" t="s">
        <v>230</v>
      </c>
      <c r="B110" s="598" t="s">
        <v>231</v>
      </c>
      <c r="C110"/>
      <c r="D110"/>
      <c r="E110"/>
      <c r="F110"/>
      <c r="G110"/>
      <c r="H110"/>
      <c r="I110"/>
      <c r="J110"/>
      <c r="K110"/>
      <c r="L110" s="9">
        <f t="shared" si="8"/>
        <v>0</v>
      </c>
      <c r="M110" s="9">
        <f t="shared" si="9"/>
        <v>0</v>
      </c>
    </row>
    <row r="111" spans="1:14" ht="18" customHeight="1">
      <c r="A111" s="603" t="s">
        <v>339</v>
      </c>
      <c r="B111" s="598" t="s">
        <v>232</v>
      </c>
      <c r="E111" s="598" t="s">
        <v>276</v>
      </c>
      <c r="F111" s="606">
        <v>7088997.4204277303</v>
      </c>
      <c r="L111" s="9">
        <f t="shared" si="8"/>
        <v>0</v>
      </c>
      <c r="M111" s="9">
        <f t="shared" si="9"/>
        <v>0</v>
      </c>
    </row>
    <row r="112" spans="1:14" ht="18" customHeight="1">
      <c r="B112" s="598"/>
      <c r="E112" s="598"/>
      <c r="F112" s="653"/>
      <c r="L112" s="9">
        <f t="shared" si="8"/>
        <v>0</v>
      </c>
      <c r="M112" s="9">
        <f t="shared" si="9"/>
        <v>0</v>
      </c>
    </row>
    <row r="113" spans="1:13">
      <c r="A113" s="603"/>
      <c r="B113" s="598" t="s">
        <v>233</v>
      </c>
      <c r="L113" s="9">
        <f t="shared" si="8"/>
        <v>0</v>
      </c>
      <c r="M113" s="9">
        <f t="shared" si="9"/>
        <v>0</v>
      </c>
    </row>
    <row r="114" spans="1:13">
      <c r="A114" s="599" t="s">
        <v>340</v>
      </c>
      <c r="B114" s="604" t="s">
        <v>341</v>
      </c>
      <c r="F114" s="654">
        <v>0.63529106390091905</v>
      </c>
      <c r="L114" s="9">
        <f t="shared" si="8"/>
        <v>0</v>
      </c>
      <c r="M114" s="9">
        <f t="shared" si="9"/>
        <v>0</v>
      </c>
    </row>
    <row r="115" spans="1:13">
      <c r="A115" s="599"/>
      <c r="B115" s="598"/>
      <c r="L115" s="9">
        <f t="shared" si="8"/>
        <v>0</v>
      </c>
      <c r="M115" s="9">
        <f t="shared" si="9"/>
        <v>0</v>
      </c>
    </row>
    <row r="116" spans="1:13">
      <c r="A116" s="599" t="s">
        <v>234</v>
      </c>
      <c r="B116" s="598" t="s">
        <v>235</v>
      </c>
      <c r="L116" s="9">
        <f t="shared" si="8"/>
        <v>0</v>
      </c>
      <c r="M116" s="9">
        <f t="shared" si="9"/>
        <v>0</v>
      </c>
    </row>
    <row r="117" spans="1:13">
      <c r="A117" s="599" t="s">
        <v>342</v>
      </c>
      <c r="B117" s="604" t="s">
        <v>236</v>
      </c>
      <c r="F117" s="606">
        <v>295012598.17900002</v>
      </c>
      <c r="L117" s="9">
        <f t="shared" si="8"/>
        <v>0</v>
      </c>
      <c r="M117" s="9">
        <f t="shared" si="9"/>
        <v>0</v>
      </c>
    </row>
    <row r="118" spans="1:13">
      <c r="A118" s="599" t="s">
        <v>343</v>
      </c>
      <c r="B118" t="s">
        <v>237</v>
      </c>
      <c r="F118" s="606">
        <v>6731522.091</v>
      </c>
      <c r="L118" s="9">
        <f t="shared" si="8"/>
        <v>0</v>
      </c>
      <c r="M118" s="9">
        <f t="shared" si="9"/>
        <v>0</v>
      </c>
    </row>
    <row r="119" spans="1:13">
      <c r="A119" s="599" t="s">
        <v>344</v>
      </c>
      <c r="B119" s="598" t="s">
        <v>238</v>
      </c>
      <c r="F119" s="645">
        <v>301744120.27000004</v>
      </c>
      <c r="L119" s="9">
        <f t="shared" si="8"/>
        <v>0</v>
      </c>
      <c r="M119" s="9">
        <f t="shared" si="9"/>
        <v>0</v>
      </c>
    </row>
    <row r="120" spans="1:13">
      <c r="A120" s="599"/>
      <c r="B120" s="598"/>
      <c r="L120" s="9">
        <f t="shared" si="8"/>
        <v>0</v>
      </c>
      <c r="M120" s="9">
        <f t="shared" si="9"/>
        <v>0</v>
      </c>
    </row>
    <row r="121" spans="1:13">
      <c r="A121" s="599" t="s">
        <v>345</v>
      </c>
      <c r="B121" s="598" t="s">
        <v>346</v>
      </c>
      <c r="F121" s="606">
        <v>292521487.21400005</v>
      </c>
      <c r="L121" s="9">
        <f t="shared" si="8"/>
        <v>0</v>
      </c>
      <c r="M121" s="9">
        <f t="shared" si="9"/>
        <v>0</v>
      </c>
    </row>
    <row r="122" spans="1:13">
      <c r="A122" s="599"/>
      <c r="L122" s="9">
        <f t="shared" si="8"/>
        <v>0</v>
      </c>
      <c r="M122" s="9">
        <f t="shared" si="9"/>
        <v>0</v>
      </c>
    </row>
    <row r="123" spans="1:13">
      <c r="A123" s="599" t="s">
        <v>347</v>
      </c>
      <c r="B123" s="598" t="s">
        <v>348</v>
      </c>
      <c r="F123" s="606">
        <v>9222633.0559999943</v>
      </c>
      <c r="L123" s="9">
        <f t="shared" si="8"/>
        <v>0</v>
      </c>
      <c r="M123" s="9">
        <f t="shared" si="9"/>
        <v>0</v>
      </c>
    </row>
    <row r="124" spans="1:13">
      <c r="A124" s="599"/>
      <c r="L124" s="9">
        <f t="shared" si="8"/>
        <v>0</v>
      </c>
      <c r="M124" s="9">
        <f t="shared" si="9"/>
        <v>0</v>
      </c>
    </row>
    <row r="125" spans="1:13">
      <c r="A125" s="599" t="s">
        <v>349</v>
      </c>
      <c r="B125" s="598" t="s">
        <v>350</v>
      </c>
      <c r="F125" s="606">
        <v>341714.55</v>
      </c>
      <c r="L125" s="9">
        <f t="shared" si="8"/>
        <v>0</v>
      </c>
      <c r="M125" s="9">
        <f t="shared" si="9"/>
        <v>0</v>
      </c>
    </row>
    <row r="126" spans="1:13">
      <c r="A126" s="599"/>
      <c r="L126" s="9">
        <f t="shared" si="8"/>
        <v>0</v>
      </c>
      <c r="M126" s="9">
        <f t="shared" si="9"/>
        <v>0</v>
      </c>
    </row>
    <row r="127" spans="1:13">
      <c r="A127" s="599" t="s">
        <v>351</v>
      </c>
      <c r="B127" s="598" t="s">
        <v>352</v>
      </c>
      <c r="F127" s="606">
        <v>9564347.605999995</v>
      </c>
      <c r="L127" s="9">
        <f t="shared" si="8"/>
        <v>0</v>
      </c>
      <c r="M127" s="9">
        <f t="shared" si="9"/>
        <v>0</v>
      </c>
    </row>
    <row r="128" spans="1:13">
      <c r="A128" s="599"/>
      <c r="L128" s="9">
        <f t="shared" si="8"/>
        <v>0</v>
      </c>
      <c r="M128" s="9">
        <f t="shared" si="9"/>
        <v>0</v>
      </c>
    </row>
    <row r="129" spans="1:13" ht="42.75" customHeight="1">
      <c r="F129" s="602" t="s">
        <v>145</v>
      </c>
      <c r="G129" s="602" t="s">
        <v>146</v>
      </c>
      <c r="H129" s="602" t="s">
        <v>147</v>
      </c>
      <c r="I129" s="602" t="s">
        <v>148</v>
      </c>
      <c r="J129" s="602" t="s">
        <v>149</v>
      </c>
      <c r="K129" s="602" t="s">
        <v>150</v>
      </c>
      <c r="L129" s="9" t="e">
        <f t="shared" si="8"/>
        <v>#VALUE!</v>
      </c>
      <c r="M129" s="9" t="e">
        <f t="shared" si="9"/>
        <v>#VALUE!</v>
      </c>
    </row>
    <row r="130" spans="1:13" ht="18" customHeight="1">
      <c r="A130" s="603" t="s">
        <v>239</v>
      </c>
      <c r="B130" s="598" t="s">
        <v>240</v>
      </c>
      <c r="L130" s="9">
        <f t="shared" si="8"/>
        <v>0</v>
      </c>
      <c r="M130" s="9">
        <f t="shared" si="9"/>
        <v>0</v>
      </c>
    </row>
    <row r="131" spans="1:13" ht="18" customHeight="1">
      <c r="A131" s="599" t="s">
        <v>353</v>
      </c>
      <c r="B131" t="s">
        <v>242</v>
      </c>
      <c r="F131" s="605"/>
      <c r="G131" s="605"/>
      <c r="H131" s="606"/>
      <c r="I131" s="607">
        <v>0</v>
      </c>
      <c r="J131" s="606"/>
      <c r="K131" s="608">
        <v>0</v>
      </c>
      <c r="L131" s="9">
        <f t="shared" si="8"/>
        <v>0</v>
      </c>
      <c r="M131" s="9">
        <f t="shared" si="9"/>
        <v>0</v>
      </c>
    </row>
    <row r="132" spans="1:13" ht="18" customHeight="1">
      <c r="A132" s="599" t="s">
        <v>354</v>
      </c>
      <c r="B132" t="s">
        <v>128</v>
      </c>
      <c r="F132" s="605"/>
      <c r="G132" s="605"/>
      <c r="H132" s="606"/>
      <c r="I132" s="607">
        <v>0</v>
      </c>
      <c r="J132" s="606"/>
      <c r="K132" s="608">
        <v>0</v>
      </c>
      <c r="L132" s="9">
        <f t="shared" si="8"/>
        <v>0</v>
      </c>
      <c r="M132" s="9">
        <f t="shared" si="9"/>
        <v>0</v>
      </c>
    </row>
    <row r="133" spans="1:13" ht="18" customHeight="1">
      <c r="A133" s="599" t="s">
        <v>355</v>
      </c>
      <c r="B133" s="609"/>
      <c r="C133" s="610"/>
      <c r="D133" s="611"/>
      <c r="F133" s="605"/>
      <c r="G133" s="605"/>
      <c r="H133" s="606"/>
      <c r="I133" s="607">
        <v>0</v>
      </c>
      <c r="J133" s="606"/>
      <c r="K133" s="608">
        <v>0</v>
      </c>
      <c r="L133" s="9">
        <f t="shared" si="8"/>
        <v>0</v>
      </c>
      <c r="M133" s="9">
        <f t="shared" si="9"/>
        <v>0</v>
      </c>
    </row>
    <row r="134" spans="1:13" ht="18" customHeight="1">
      <c r="A134" s="599" t="s">
        <v>356</v>
      </c>
      <c r="B134" s="609"/>
      <c r="C134" s="610"/>
      <c r="D134" s="611"/>
      <c r="F134" s="605"/>
      <c r="G134" s="605"/>
      <c r="H134" s="606"/>
      <c r="I134" s="607">
        <v>0</v>
      </c>
      <c r="J134" s="606"/>
      <c r="K134" s="608">
        <v>0</v>
      </c>
      <c r="L134" s="9">
        <f t="shared" si="8"/>
        <v>0</v>
      </c>
      <c r="M134" s="9">
        <f t="shared" si="9"/>
        <v>0</v>
      </c>
    </row>
    <row r="135" spans="1:13" ht="18" customHeight="1">
      <c r="A135" s="599" t="s">
        <v>357</v>
      </c>
      <c r="B135" s="609"/>
      <c r="C135" s="610"/>
      <c r="D135" s="611"/>
      <c r="F135" s="605"/>
      <c r="G135" s="605"/>
      <c r="H135" s="606"/>
      <c r="I135" s="607">
        <v>0</v>
      </c>
      <c r="J135" s="606"/>
      <c r="K135" s="608">
        <v>0</v>
      </c>
      <c r="L135" s="9">
        <f t="shared" si="8"/>
        <v>0</v>
      </c>
      <c r="M135" s="9">
        <f t="shared" si="9"/>
        <v>0</v>
      </c>
    </row>
    <row r="136" spans="1:13" ht="18" customHeight="1">
      <c r="A136" s="603"/>
      <c r="L136" s="9">
        <f t="shared" si="8"/>
        <v>0</v>
      </c>
      <c r="M136" s="9">
        <f t="shared" si="9"/>
        <v>0</v>
      </c>
    </row>
    <row r="137" spans="1:13" ht="18" customHeight="1">
      <c r="A137" s="603" t="s">
        <v>358</v>
      </c>
      <c r="B137" s="598" t="s">
        <v>359</v>
      </c>
      <c r="F137" s="614">
        <v>0</v>
      </c>
      <c r="G137" s="614">
        <v>0</v>
      </c>
      <c r="H137" s="608">
        <v>0</v>
      </c>
      <c r="I137" s="608">
        <v>0</v>
      </c>
      <c r="J137" s="608">
        <v>0</v>
      </c>
      <c r="K137" s="608">
        <v>0</v>
      </c>
      <c r="L137" s="9">
        <f t="shared" si="8"/>
        <v>0</v>
      </c>
      <c r="M137" s="9">
        <f t="shared" si="9"/>
        <v>0</v>
      </c>
    </row>
    <row r="138" spans="1:13" ht="18" customHeight="1">
      <c r="A138"/>
    </row>
    <row r="139" spans="1:13" ht="42.75" customHeight="1">
      <c r="F139" s="602" t="s">
        <v>145</v>
      </c>
      <c r="G139" s="602" t="s">
        <v>146</v>
      </c>
      <c r="H139" s="602" t="s">
        <v>147</v>
      </c>
      <c r="I139" s="602" t="s">
        <v>148</v>
      </c>
      <c r="J139" s="602" t="s">
        <v>149</v>
      </c>
      <c r="K139" s="602" t="s">
        <v>150</v>
      </c>
    </row>
    <row r="140" spans="1:13" ht="18" customHeight="1">
      <c r="A140" s="603" t="s">
        <v>244</v>
      </c>
      <c r="B140" s="598" t="s">
        <v>245</v>
      </c>
    </row>
    <row r="141" spans="1:13" ht="18" customHeight="1">
      <c r="A141" s="599" t="s">
        <v>275</v>
      </c>
      <c r="B141" s="598" t="s">
        <v>246</v>
      </c>
      <c r="F141" s="655">
        <f>+F36</f>
        <v>35538.11</v>
      </c>
      <c r="G141" s="655">
        <f t="shared" ref="G141:J141" si="13">+G36</f>
        <v>40489.429384000003</v>
      </c>
      <c r="H141" s="655">
        <f t="shared" si="13"/>
        <v>2393118.75275</v>
      </c>
      <c r="I141" s="655">
        <f t="shared" si="13"/>
        <v>1520326.9584757879</v>
      </c>
      <c r="J141" s="655">
        <f t="shared" si="13"/>
        <v>249115.91</v>
      </c>
      <c r="K141" s="608">
        <f>+H141+I141-J141</f>
        <v>3664329.801225788</v>
      </c>
      <c r="L141" s="9">
        <f>+H141+I141-J141</f>
        <v>3664329.801225788</v>
      </c>
      <c r="M141" s="9">
        <f>+K141-L141</f>
        <v>0</v>
      </c>
    </row>
    <row r="142" spans="1:13" ht="18" customHeight="1">
      <c r="A142" s="599" t="s">
        <v>286</v>
      </c>
      <c r="B142" s="598" t="s">
        <v>125</v>
      </c>
      <c r="F142" s="655">
        <f>+F49</f>
        <v>13445.3</v>
      </c>
      <c r="G142" s="655">
        <f t="shared" ref="G142:J142" si="14">+G49</f>
        <v>12390.3</v>
      </c>
      <c r="H142" s="655">
        <f t="shared" si="14"/>
        <v>732781.93074999994</v>
      </c>
      <c r="I142" s="655">
        <f t="shared" si="14"/>
        <v>0</v>
      </c>
      <c r="J142" s="655">
        <f t="shared" si="14"/>
        <v>29724.720000000001</v>
      </c>
      <c r="K142" s="608">
        <f t="shared" ref="K142:K150" si="15">+H142+I142-J142</f>
        <v>703057.21074999997</v>
      </c>
      <c r="L142" s="9">
        <f t="shared" ref="L142:L150" si="16">+H142+I142-J142</f>
        <v>703057.21074999997</v>
      </c>
      <c r="M142" s="9">
        <f t="shared" ref="M142:M150" si="17">+K142-L142</f>
        <v>0</v>
      </c>
    </row>
    <row r="143" spans="1:13" ht="18" customHeight="1">
      <c r="A143" s="599" t="s">
        <v>305</v>
      </c>
      <c r="B143" s="598" t="s">
        <v>247</v>
      </c>
      <c r="F143" s="655">
        <f>+F64</f>
        <v>82199.159999999989</v>
      </c>
      <c r="G143" s="655">
        <f t="shared" ref="G143:J143" si="18">+G64</f>
        <v>8234.786500000002</v>
      </c>
      <c r="H143" s="655">
        <f t="shared" si="18"/>
        <v>10495265.554999998</v>
      </c>
      <c r="I143" s="655">
        <f t="shared" si="18"/>
        <v>0</v>
      </c>
      <c r="J143" s="655">
        <f t="shared" si="18"/>
        <v>0</v>
      </c>
      <c r="K143" s="608">
        <f t="shared" si="15"/>
        <v>10495265.554999998</v>
      </c>
      <c r="L143" s="9">
        <f t="shared" si="16"/>
        <v>10495265.554999998</v>
      </c>
      <c r="M143" s="9">
        <f t="shared" si="17"/>
        <v>0</v>
      </c>
    </row>
    <row r="144" spans="1:13" ht="18" customHeight="1">
      <c r="A144" s="599" t="s">
        <v>311</v>
      </c>
      <c r="B144" s="598" t="s">
        <v>127</v>
      </c>
      <c r="F144" s="655">
        <f>+F74</f>
        <v>7599.92</v>
      </c>
      <c r="G144" s="655">
        <f t="shared" ref="G144:J144" si="19">+G74</f>
        <v>1000.5</v>
      </c>
      <c r="H144" s="655">
        <f t="shared" si="19"/>
        <v>433264.3249999999</v>
      </c>
      <c r="I144" s="655">
        <f t="shared" si="19"/>
        <v>0</v>
      </c>
      <c r="J144" s="655">
        <f t="shared" si="19"/>
        <v>77187.399999999994</v>
      </c>
      <c r="K144" s="608">
        <f t="shared" si="15"/>
        <v>356076.92499999993</v>
      </c>
      <c r="L144" s="9">
        <f t="shared" si="16"/>
        <v>356076.92499999993</v>
      </c>
      <c r="M144" s="9">
        <f t="shared" si="17"/>
        <v>0</v>
      </c>
    </row>
    <row r="145" spans="1:13" ht="18" customHeight="1">
      <c r="A145" s="599" t="s">
        <v>317</v>
      </c>
      <c r="B145" s="598" t="s">
        <v>248</v>
      </c>
      <c r="F145" s="655">
        <f>+F82</f>
        <v>102.5</v>
      </c>
      <c r="G145" s="655">
        <f t="shared" ref="G145:J145" si="20">+G82</f>
        <v>126</v>
      </c>
      <c r="H145" s="655">
        <f t="shared" si="20"/>
        <v>630082.83000000007</v>
      </c>
      <c r="I145" s="655">
        <f t="shared" si="20"/>
        <v>0</v>
      </c>
      <c r="J145" s="655">
        <f t="shared" si="20"/>
        <v>0</v>
      </c>
      <c r="K145" s="608">
        <f t="shared" si="15"/>
        <v>630082.83000000007</v>
      </c>
      <c r="L145" s="9">
        <f t="shared" si="16"/>
        <v>630082.83000000007</v>
      </c>
      <c r="M145" s="9">
        <f t="shared" si="17"/>
        <v>0</v>
      </c>
    </row>
    <row r="146" spans="1:13" ht="18" customHeight="1">
      <c r="A146" s="599" t="s">
        <v>331</v>
      </c>
      <c r="B146" s="598" t="s">
        <v>249</v>
      </c>
      <c r="F146" s="655">
        <f>+F98</f>
        <v>4294.4852108847899</v>
      </c>
      <c r="G146" s="655">
        <f t="shared" ref="G146:J146" si="21">+G98</f>
        <v>5462.2443656824089</v>
      </c>
      <c r="H146" s="655">
        <f t="shared" si="21"/>
        <v>513644.00234337139</v>
      </c>
      <c r="I146" s="655">
        <f t="shared" si="21"/>
        <v>326313.44471504656</v>
      </c>
      <c r="J146" s="655">
        <f t="shared" si="21"/>
        <v>14500</v>
      </c>
      <c r="K146" s="608">
        <f t="shared" si="15"/>
        <v>825457.44705841795</v>
      </c>
      <c r="L146" s="9">
        <f t="shared" si="16"/>
        <v>825457.44705841795</v>
      </c>
      <c r="M146" s="9">
        <f t="shared" si="17"/>
        <v>0</v>
      </c>
    </row>
    <row r="147" spans="1:13" ht="18" customHeight="1">
      <c r="A147" s="599" t="s">
        <v>338</v>
      </c>
      <c r="B147" s="598" t="s">
        <v>129</v>
      </c>
      <c r="F147" s="614">
        <f>+F108</f>
        <v>1730.5</v>
      </c>
      <c r="G147" s="614">
        <f t="shared" ref="G147:J147" si="22">+G108</f>
        <v>169</v>
      </c>
      <c r="H147" s="614">
        <f t="shared" si="22"/>
        <v>71624.058461538458</v>
      </c>
      <c r="I147" s="614">
        <f t="shared" si="22"/>
        <v>45502.124300932381</v>
      </c>
      <c r="J147" s="614">
        <f t="shared" si="22"/>
        <v>0</v>
      </c>
      <c r="K147" s="608">
        <f t="shared" si="15"/>
        <v>117126.18276247084</v>
      </c>
      <c r="L147" s="9">
        <f t="shared" si="16"/>
        <v>117126.18276247084</v>
      </c>
      <c r="M147" s="9">
        <f t="shared" si="17"/>
        <v>0</v>
      </c>
    </row>
    <row r="148" spans="1:13" ht="18" customHeight="1">
      <c r="A148" s="599" t="s">
        <v>339</v>
      </c>
      <c r="B148" s="598" t="s">
        <v>131</v>
      </c>
      <c r="F148" s="656" t="s">
        <v>122</v>
      </c>
      <c r="G148" s="656" t="s">
        <v>122</v>
      </c>
      <c r="H148" s="657" t="s">
        <v>122</v>
      </c>
      <c r="I148" s="657" t="s">
        <v>122</v>
      </c>
      <c r="J148" s="657" t="s">
        <v>122</v>
      </c>
      <c r="K148" s="657">
        <f>+F111</f>
        <v>7088997.4204277303</v>
      </c>
      <c r="L148" s="9" t="e">
        <f t="shared" si="16"/>
        <v>#VALUE!</v>
      </c>
      <c r="M148" s="9" t="e">
        <f t="shared" si="17"/>
        <v>#VALUE!</v>
      </c>
    </row>
    <row r="149" spans="1:13" ht="18" customHeight="1">
      <c r="A149" s="599" t="s">
        <v>358</v>
      </c>
      <c r="B149" s="598" t="s">
        <v>250</v>
      </c>
      <c r="F149" s="614">
        <f>+F137</f>
        <v>0</v>
      </c>
      <c r="G149" s="614">
        <v>0</v>
      </c>
      <c r="H149" s="614">
        <v>0</v>
      </c>
      <c r="I149" s="614">
        <v>0</v>
      </c>
      <c r="J149" s="614">
        <v>0</v>
      </c>
      <c r="K149" s="608">
        <f t="shared" si="15"/>
        <v>0</v>
      </c>
      <c r="L149" s="9">
        <f t="shared" si="16"/>
        <v>0</v>
      </c>
      <c r="M149" s="9">
        <f t="shared" si="17"/>
        <v>0</v>
      </c>
    </row>
    <row r="150" spans="1:13" ht="18" customHeight="1">
      <c r="A150" s="599" t="s">
        <v>259</v>
      </c>
      <c r="B150" s="598" t="s">
        <v>251</v>
      </c>
      <c r="F150" s="656" t="s">
        <v>122</v>
      </c>
      <c r="G150" s="656" t="s">
        <v>122</v>
      </c>
      <c r="H150" s="614">
        <f>+H18</f>
        <v>9312355.2017975897</v>
      </c>
      <c r="I150" s="614">
        <v>0</v>
      </c>
      <c r="J150" s="614">
        <f>+J18</f>
        <v>7963228.0495022899</v>
      </c>
      <c r="K150" s="608">
        <f t="shared" si="15"/>
        <v>1349127.1522952998</v>
      </c>
      <c r="L150" s="9">
        <f t="shared" si="16"/>
        <v>1349127.1522952998</v>
      </c>
      <c r="M150" s="9">
        <f t="shared" si="17"/>
        <v>0</v>
      </c>
    </row>
    <row r="151" spans="1:13" ht="18" customHeight="1">
      <c r="B151" s="598"/>
      <c r="F151" s="630"/>
      <c r="G151" s="630"/>
      <c r="H151" s="630"/>
      <c r="I151" s="630"/>
      <c r="J151" s="795"/>
      <c r="K151" s="630"/>
    </row>
    <row r="152" spans="1:13" ht="18" customHeight="1">
      <c r="A152" s="603" t="s">
        <v>360</v>
      </c>
      <c r="B152" s="598" t="s">
        <v>245</v>
      </c>
      <c r="F152" s="658">
        <f>SUM(F141:F150)</f>
        <v>144909.97521088482</v>
      </c>
      <c r="G152" s="658">
        <f t="shared" ref="G152:K152" si="23">SUM(G141:G150)</f>
        <v>67872.260249682411</v>
      </c>
      <c r="H152" s="658">
        <f t="shared" si="23"/>
        <v>24582136.656102493</v>
      </c>
      <c r="I152" s="658">
        <f t="shared" si="23"/>
        <v>1892142.5274917667</v>
      </c>
      <c r="J152" s="658">
        <f t="shared" si="23"/>
        <v>8333756.0795022901</v>
      </c>
      <c r="K152" s="658">
        <f t="shared" si="23"/>
        <v>25229520.524519704</v>
      </c>
    </row>
    <row r="154" spans="1:13" ht="18" customHeight="1">
      <c r="A154" s="603" t="s">
        <v>361</v>
      </c>
      <c r="B154" s="598" t="s">
        <v>252</v>
      </c>
      <c r="F154" s="659">
        <v>8.624843516559362E-2</v>
      </c>
    </row>
    <row r="155" spans="1:13" ht="18" customHeight="1">
      <c r="A155" s="603" t="s">
        <v>362</v>
      </c>
      <c r="B155" s="598" t="s">
        <v>253</v>
      </c>
      <c r="F155" s="659">
        <v>2.6378715584001244</v>
      </c>
      <c r="G155" s="598"/>
    </row>
    <row r="156" spans="1:13" ht="18" customHeight="1">
      <c r="G156" s="598"/>
    </row>
  </sheetData>
  <mergeCells count="6">
    <mergeCell ref="C11:G11"/>
    <mergeCell ref="C5:G5"/>
    <mergeCell ref="C6:G6"/>
    <mergeCell ref="C7:G7"/>
    <mergeCell ref="C9:G9"/>
    <mergeCell ref="C10:G10"/>
  </mergeCells>
  <hyperlinks>
    <hyperlink ref="C11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topLeftCell="A13" zoomScale="80" zoomScaleNormal="80" workbookViewId="0">
      <selection activeCell="E1" sqref="E1"/>
    </sheetView>
  </sheetViews>
  <sheetFormatPr defaultRowHeight="15"/>
  <cols>
    <col min="1" max="1" width="14.85546875" customWidth="1"/>
    <col min="2" max="2" width="15.28515625" customWidth="1"/>
    <col min="3" max="3" width="15.7109375" customWidth="1"/>
    <col min="4" max="4" width="17.5703125" customWidth="1"/>
    <col min="5" max="5" width="19.140625" customWidth="1"/>
  </cols>
  <sheetData>
    <row r="1" spans="1:3">
      <c r="A1" t="s">
        <v>1039</v>
      </c>
      <c r="B1" t="s">
        <v>809</v>
      </c>
      <c r="C1" t="s">
        <v>810</v>
      </c>
    </row>
    <row r="2" spans="1:3">
      <c r="A2" t="s">
        <v>131</v>
      </c>
      <c r="B2" s="497">
        <v>0.34396739023571621</v>
      </c>
      <c r="C2" s="497">
        <v>7.7187619527959675E-2</v>
      </c>
    </row>
    <row r="3" spans="1:3">
      <c r="A3" t="s">
        <v>125</v>
      </c>
      <c r="B3" s="497">
        <v>0.27467138701618676</v>
      </c>
      <c r="C3" s="497">
        <v>0.11759287225314911</v>
      </c>
    </row>
    <row r="4" spans="1:3">
      <c r="A4" t="s">
        <v>126</v>
      </c>
      <c r="B4" s="497">
        <v>0.25183550213807576</v>
      </c>
      <c r="C4" s="497">
        <v>0.53173434289522514</v>
      </c>
    </row>
    <row r="5" spans="1:3">
      <c r="A5" t="s">
        <v>246</v>
      </c>
      <c r="B5" s="497">
        <v>5.5493641917948228E-2</v>
      </c>
      <c r="C5" s="497">
        <v>0.11717122871708777</v>
      </c>
    </row>
    <row r="6" spans="1:3">
      <c r="A6" t="s">
        <v>811</v>
      </c>
      <c r="B6" s="497">
        <v>3.7486749080872336E-2</v>
      </c>
      <c r="C6" s="497">
        <v>7.9150841404668285E-2</v>
      </c>
    </row>
    <row r="7" spans="1:3">
      <c r="A7" t="s">
        <v>248</v>
      </c>
      <c r="B7" s="497">
        <v>1.33242898641829E-2</v>
      </c>
      <c r="C7" s="497">
        <v>2.8133374585098278E-2</v>
      </c>
    </row>
    <row r="8" spans="1:3">
      <c r="A8" t="s">
        <v>128</v>
      </c>
      <c r="B8" s="497">
        <v>1.1221615490013307E-2</v>
      </c>
      <c r="C8" s="497">
        <v>2.3693713905093405E-2</v>
      </c>
    </row>
    <row r="9" spans="1:3">
      <c r="A9" t="s">
        <v>129</v>
      </c>
      <c r="B9" s="497">
        <v>5.4341821869378307E-3</v>
      </c>
      <c r="C9" s="497">
        <v>1.1473923532671952E-2</v>
      </c>
    </row>
    <row r="10" spans="1:3">
      <c r="A10" t="s">
        <v>127</v>
      </c>
      <c r="B10" s="497">
        <v>5.2824415644726497E-3</v>
      </c>
      <c r="C10" s="497">
        <v>1.1153533041688686E-2</v>
      </c>
    </row>
    <row r="11" spans="1:3">
      <c r="A11" t="s">
        <v>130</v>
      </c>
      <c r="B11" s="497">
        <v>1.2828005055940544E-3</v>
      </c>
      <c r="C11" s="497">
        <v>2.7085501373580439E-3</v>
      </c>
    </row>
    <row r="16" spans="1:3">
      <c r="C16" t="s">
        <v>1038</v>
      </c>
    </row>
    <row r="28" spans="1:5" ht="18.75">
      <c r="A28" s="786" t="s">
        <v>1069</v>
      </c>
    </row>
    <row r="30" spans="1:5">
      <c r="B30" t="s">
        <v>1067</v>
      </c>
    </row>
    <row r="31" spans="1:5">
      <c r="A31" t="s">
        <v>1066</v>
      </c>
      <c r="B31" t="s">
        <v>131</v>
      </c>
      <c r="C31" t="s">
        <v>60</v>
      </c>
      <c r="D31" t="s">
        <v>1068</v>
      </c>
    </row>
    <row r="32" spans="1:5">
      <c r="A32">
        <v>2008</v>
      </c>
      <c r="B32" s="787">
        <f t="shared" ref="B32:B37" si="0">+B40/1000000</f>
        <v>256.01314300000001</v>
      </c>
      <c r="C32" s="787">
        <f t="shared" ref="C32:D32" si="1">+C40/1000000</f>
        <v>179.09372200000001</v>
      </c>
      <c r="D32" s="787">
        <f t="shared" si="1"/>
        <v>10.019409</v>
      </c>
      <c r="E32" s="787">
        <f>SUM(B32:D32)</f>
        <v>445.12627400000002</v>
      </c>
    </row>
    <row r="33" spans="1:5">
      <c r="A33">
        <v>2009</v>
      </c>
      <c r="B33" s="787">
        <f t="shared" si="0"/>
        <v>256.01314300000001</v>
      </c>
      <c r="C33" s="787">
        <f t="shared" ref="C33:D33" si="2">+C41/1000000</f>
        <v>213.57390000000001</v>
      </c>
      <c r="D33" s="787">
        <f t="shared" si="2"/>
        <v>10.641292999999999</v>
      </c>
      <c r="E33" s="787">
        <f t="shared" ref="E33:E37" si="3">SUM(B33:D33)</f>
        <v>480.22833600000001</v>
      </c>
    </row>
    <row r="34" spans="1:5">
      <c r="A34">
        <v>2010</v>
      </c>
      <c r="B34" s="787">
        <f t="shared" si="0"/>
        <v>213.94957400000001</v>
      </c>
      <c r="C34" s="787">
        <f t="shared" ref="C34:D34" si="4">+C42/1000000</f>
        <v>211.86369999999999</v>
      </c>
      <c r="D34" s="787">
        <f t="shared" si="4"/>
        <v>11.676030000000001</v>
      </c>
      <c r="E34" s="787">
        <f t="shared" si="3"/>
        <v>437.489304</v>
      </c>
    </row>
    <row r="35" spans="1:5">
      <c r="A35">
        <v>2011</v>
      </c>
      <c r="B35" s="787">
        <f t="shared" si="0"/>
        <v>374.89863100000002</v>
      </c>
      <c r="C35" s="787">
        <f t="shared" ref="C35:D35" si="5">+C43/1000000</f>
        <v>235.386426</v>
      </c>
      <c r="D35" s="787">
        <f t="shared" si="5"/>
        <v>12.317156000000001</v>
      </c>
      <c r="E35" s="787">
        <f t="shared" si="3"/>
        <v>622.60221300000001</v>
      </c>
    </row>
    <row r="36" spans="1:5">
      <c r="A36">
        <v>2012</v>
      </c>
      <c r="B36" s="787">
        <f t="shared" si="0"/>
        <v>442.00888400000002</v>
      </c>
      <c r="C36" s="787">
        <f t="shared" ref="C36:D36" si="6">+C44/1000000</f>
        <v>272.34654399999999</v>
      </c>
      <c r="D36" s="787">
        <f t="shared" si="6"/>
        <v>12.259686</v>
      </c>
      <c r="E36" s="787">
        <f t="shared" si="3"/>
        <v>726.61511400000006</v>
      </c>
    </row>
    <row r="37" spans="1:5">
      <c r="A37">
        <v>2013</v>
      </c>
      <c r="B37" s="787">
        <f t="shared" si="0"/>
        <v>462.590418</v>
      </c>
      <c r="C37" s="787">
        <f t="shared" ref="C37:D37" si="7">+C45/1000000</f>
        <v>316.213911</v>
      </c>
      <c r="D37" s="787">
        <f t="shared" si="7"/>
        <v>13.303674000000001</v>
      </c>
      <c r="E37" s="787">
        <f t="shared" si="3"/>
        <v>792.10800300000005</v>
      </c>
    </row>
    <row r="40" spans="1:5">
      <c r="B40" s="787">
        <v>256013143</v>
      </c>
      <c r="C40" s="787">
        <v>179093722</v>
      </c>
      <c r="D40" s="787">
        <v>10019409</v>
      </c>
      <c r="E40" s="787">
        <f>SUM(B40:D40)</f>
        <v>445126274</v>
      </c>
    </row>
    <row r="41" spans="1:5">
      <c r="B41" s="787">
        <v>256013143</v>
      </c>
      <c r="C41" s="787">
        <v>213573900</v>
      </c>
      <c r="D41" s="787">
        <v>10641293</v>
      </c>
      <c r="E41" s="787">
        <f t="shared" ref="E41:E45" si="8">SUM(B41:D41)</f>
        <v>480228336</v>
      </c>
    </row>
    <row r="42" spans="1:5">
      <c r="B42" s="787">
        <v>213949574</v>
      </c>
      <c r="C42" s="787">
        <v>211863700</v>
      </c>
      <c r="D42" s="787">
        <v>11676030</v>
      </c>
      <c r="E42" s="787">
        <f t="shared" si="8"/>
        <v>437489304</v>
      </c>
    </row>
    <row r="43" spans="1:5">
      <c r="B43" s="787">
        <v>374898631</v>
      </c>
      <c r="C43" s="787">
        <v>235386426</v>
      </c>
      <c r="D43" s="787">
        <v>12317156</v>
      </c>
      <c r="E43" s="787">
        <f t="shared" si="8"/>
        <v>622602213</v>
      </c>
    </row>
    <row r="44" spans="1:5">
      <c r="B44" s="787">
        <v>442008884</v>
      </c>
      <c r="C44" s="787">
        <v>272346544</v>
      </c>
      <c r="D44" s="787">
        <v>12259686</v>
      </c>
      <c r="E44" s="787">
        <f t="shared" si="8"/>
        <v>726615114</v>
      </c>
    </row>
    <row r="45" spans="1:5">
      <c r="B45" s="787">
        <v>462590418</v>
      </c>
      <c r="C45" s="787">
        <v>316213911</v>
      </c>
      <c r="D45" s="787">
        <v>13303674</v>
      </c>
      <c r="E45" s="787">
        <f t="shared" si="8"/>
        <v>792108003</v>
      </c>
    </row>
    <row r="46" spans="1:5">
      <c r="E46" s="787"/>
    </row>
    <row r="48" spans="1:5">
      <c r="A48" t="s">
        <v>1070</v>
      </c>
    </row>
    <row r="52" spans="1:6" ht="30">
      <c r="C52" s="788" t="s">
        <v>1066</v>
      </c>
      <c r="D52" s="790" t="s">
        <v>1077</v>
      </c>
      <c r="E52" s="790" t="s">
        <v>1078</v>
      </c>
    </row>
    <row r="53" spans="1:6">
      <c r="C53">
        <v>2008</v>
      </c>
      <c r="D53" s="787">
        <f>+D61</f>
        <v>861.08739800000001</v>
      </c>
      <c r="E53" s="787">
        <f>+E61</f>
        <v>415.96112399999998</v>
      </c>
    </row>
    <row r="54" spans="1:6">
      <c r="C54">
        <v>2009</v>
      </c>
      <c r="D54" s="787">
        <f t="shared" ref="D54:E58" si="9">+D62</f>
        <v>946.23816399999998</v>
      </c>
      <c r="E54" s="787">
        <f t="shared" si="9"/>
        <v>466.00982799999997</v>
      </c>
    </row>
    <row r="55" spans="1:6">
      <c r="C55">
        <v>2010</v>
      </c>
      <c r="D55" s="787">
        <f t="shared" si="9"/>
        <v>1051.0517500000001</v>
      </c>
      <c r="E55" s="787">
        <f t="shared" si="9"/>
        <v>613.56244600000014</v>
      </c>
    </row>
    <row r="56" spans="1:6">
      <c r="C56">
        <v>2011</v>
      </c>
      <c r="D56" s="787">
        <f t="shared" si="9"/>
        <v>1203.017693</v>
      </c>
      <c r="E56" s="787">
        <f t="shared" si="9"/>
        <v>580.41548</v>
      </c>
    </row>
    <row r="57" spans="1:6">
      <c r="C57">
        <v>2012</v>
      </c>
      <c r="D57" s="787">
        <f t="shared" si="9"/>
        <v>1378.3019300000001</v>
      </c>
      <c r="E57" s="787">
        <f t="shared" si="9"/>
        <v>651.68681600000002</v>
      </c>
    </row>
    <row r="58" spans="1:6">
      <c r="C58">
        <v>2013</v>
      </c>
      <c r="D58" s="787">
        <f t="shared" si="9"/>
        <v>1503.717335</v>
      </c>
      <c r="E58" s="787">
        <f t="shared" si="9"/>
        <v>711.60933199999999</v>
      </c>
    </row>
    <row r="60" spans="1:6" ht="30">
      <c r="A60" s="788" t="s">
        <v>1066</v>
      </c>
      <c r="B60" s="790" t="s">
        <v>1071</v>
      </c>
      <c r="C60" s="789" t="s">
        <v>382</v>
      </c>
      <c r="D60" s="790" t="s">
        <v>1073</v>
      </c>
      <c r="E60" s="791" t="s">
        <v>1074</v>
      </c>
    </row>
    <row r="61" spans="1:6">
      <c r="A61">
        <v>2008</v>
      </c>
      <c r="B61" s="787">
        <f t="shared" ref="B61:B66" si="10">+B86/1000000</f>
        <v>11920.248872</v>
      </c>
      <c r="C61" s="787">
        <v>0</v>
      </c>
      <c r="D61" s="787">
        <f t="shared" ref="D61:D66" si="11">+D86/1000000</f>
        <v>861.08739800000001</v>
      </c>
      <c r="E61" s="787">
        <f t="shared" ref="E61:E66" si="12">+D61-E32</f>
        <v>415.96112399999998</v>
      </c>
      <c r="F61" s="793">
        <f>+E61/B61</f>
        <v>3.4895338886511799E-2</v>
      </c>
    </row>
    <row r="62" spans="1:6">
      <c r="A62">
        <v>2009</v>
      </c>
      <c r="B62" s="787">
        <f t="shared" si="10"/>
        <v>12442.727824</v>
      </c>
      <c r="C62" s="787">
        <v>0</v>
      </c>
      <c r="D62" s="787">
        <f t="shared" si="11"/>
        <v>946.23816399999998</v>
      </c>
      <c r="E62" s="787">
        <f t="shared" si="12"/>
        <v>466.00982799999997</v>
      </c>
      <c r="F62" s="793">
        <f t="shared" ref="F62:F66" si="13">+E62/B62</f>
        <v>3.7452384605017458E-2</v>
      </c>
    </row>
    <row r="63" spans="1:6">
      <c r="A63">
        <v>2010</v>
      </c>
      <c r="B63" s="787">
        <f t="shared" si="10"/>
        <v>12647.785379000001</v>
      </c>
      <c r="C63" s="787">
        <f>+C88/1000000</f>
        <v>150.996015</v>
      </c>
      <c r="D63" s="787">
        <f t="shared" si="11"/>
        <v>1051.0517500000001</v>
      </c>
      <c r="E63" s="787">
        <f t="shared" si="12"/>
        <v>613.56244600000014</v>
      </c>
      <c r="F63" s="793">
        <f t="shared" si="13"/>
        <v>4.8511453002573923E-2</v>
      </c>
    </row>
    <row r="64" spans="1:6">
      <c r="A64">
        <v>2011</v>
      </c>
      <c r="B64" s="787">
        <f t="shared" si="10"/>
        <v>13233.194622999999</v>
      </c>
      <c r="C64" s="787">
        <f>+C89/1000000</f>
        <v>256.426402</v>
      </c>
      <c r="D64" s="787">
        <f t="shared" si="11"/>
        <v>1203.017693</v>
      </c>
      <c r="E64" s="787">
        <f t="shared" si="12"/>
        <v>580.41548</v>
      </c>
      <c r="F64" s="793">
        <f t="shared" si="13"/>
        <v>4.386057158044112E-2</v>
      </c>
    </row>
    <row r="65" spans="1:6">
      <c r="A65">
        <v>2012</v>
      </c>
      <c r="B65" s="787">
        <f t="shared" si="10"/>
        <v>13532.154004</v>
      </c>
      <c r="C65" s="787">
        <f>+C90/1000000</f>
        <v>476.00381499999997</v>
      </c>
      <c r="D65" s="787">
        <f t="shared" si="11"/>
        <v>1378.3019300000001</v>
      </c>
      <c r="E65" s="787">
        <f t="shared" si="12"/>
        <v>651.68681600000002</v>
      </c>
      <c r="F65" s="793">
        <f t="shared" si="13"/>
        <v>4.8158394872491579E-2</v>
      </c>
    </row>
    <row r="66" spans="1:6">
      <c r="A66">
        <v>2013</v>
      </c>
      <c r="B66" s="787">
        <f t="shared" si="10"/>
        <v>13609.735532000001</v>
      </c>
      <c r="C66" s="787">
        <f>+C91/1000000</f>
        <v>489.18975399999999</v>
      </c>
      <c r="D66" s="787">
        <f t="shared" si="11"/>
        <v>1503.717335</v>
      </c>
      <c r="E66" s="787">
        <f t="shared" si="12"/>
        <v>711.60933199999999</v>
      </c>
      <c r="F66" s="793">
        <f t="shared" si="13"/>
        <v>5.2286786199983303E-2</v>
      </c>
    </row>
    <row r="71" spans="1:6" ht="45">
      <c r="A71" s="788" t="s">
        <v>1066</v>
      </c>
      <c r="B71" s="790" t="s">
        <v>1080</v>
      </c>
      <c r="C71" s="790" t="s">
        <v>1081</v>
      </c>
    </row>
    <row r="72" spans="1:6">
      <c r="A72">
        <v>2008</v>
      </c>
      <c r="B72" s="793">
        <f>+D61/B61</f>
        <v>7.2237367461567545E-2</v>
      </c>
      <c r="C72" s="794">
        <f>+F61</f>
        <v>3.4895338886511799E-2</v>
      </c>
    </row>
    <row r="73" spans="1:6">
      <c r="A73">
        <v>2009</v>
      </c>
      <c r="B73" s="793">
        <f t="shared" ref="B73:B77" si="14">+D62/B62</f>
        <v>7.6047485517995533E-2</v>
      </c>
      <c r="C73" s="794">
        <f t="shared" ref="C73:C77" si="15">+F62</f>
        <v>3.7452384605017458E-2</v>
      </c>
    </row>
    <row r="74" spans="1:6">
      <c r="A74">
        <v>2010</v>
      </c>
      <c r="B74" s="793">
        <f t="shared" si="14"/>
        <v>8.3101643371110215E-2</v>
      </c>
      <c r="C74" s="794">
        <f t="shared" si="15"/>
        <v>4.8511453002573923E-2</v>
      </c>
    </row>
    <row r="75" spans="1:6">
      <c r="A75">
        <v>2011</v>
      </c>
      <c r="B75" s="793">
        <f t="shared" si="14"/>
        <v>9.0909090909090912E-2</v>
      </c>
      <c r="C75" s="794">
        <f t="shared" si="15"/>
        <v>4.386057158044112E-2</v>
      </c>
    </row>
    <row r="76" spans="1:6">
      <c r="A76">
        <v>2012</v>
      </c>
      <c r="B76" s="793">
        <f t="shared" si="14"/>
        <v>0.10185384600209137</v>
      </c>
      <c r="C76" s="794">
        <f t="shared" si="15"/>
        <v>4.8158394872491579E-2</v>
      </c>
    </row>
    <row r="77" spans="1:6">
      <c r="A77">
        <v>2013</v>
      </c>
      <c r="B77" s="793">
        <f t="shared" si="14"/>
        <v>0.11048835823917169</v>
      </c>
      <c r="C77" s="794">
        <f t="shared" si="15"/>
        <v>5.2286786199983303E-2</v>
      </c>
    </row>
    <row r="86" spans="1:4">
      <c r="B86" s="755">
        <v>11920248872</v>
      </c>
      <c r="C86" s="755" t="s">
        <v>1072</v>
      </c>
      <c r="D86" s="755">
        <v>861087398</v>
      </c>
    </row>
    <row r="87" spans="1:4">
      <c r="B87" s="755">
        <v>12442727824</v>
      </c>
      <c r="C87" s="755" t="s">
        <v>1072</v>
      </c>
      <c r="D87" s="755">
        <v>946238164</v>
      </c>
    </row>
    <row r="88" spans="1:4">
      <c r="B88" s="755">
        <v>12647785379</v>
      </c>
      <c r="C88" s="755">
        <v>150996015</v>
      </c>
      <c r="D88" s="755">
        <v>1051051750</v>
      </c>
    </row>
    <row r="89" spans="1:4">
      <c r="B89" s="755">
        <v>13233194623</v>
      </c>
      <c r="C89" s="755">
        <v>256426402</v>
      </c>
      <c r="D89" s="755">
        <v>1203017693</v>
      </c>
    </row>
    <row r="90" spans="1:4">
      <c r="B90" s="755">
        <v>13532154004</v>
      </c>
      <c r="C90" s="755">
        <v>476003815</v>
      </c>
      <c r="D90" s="755">
        <v>1378301930</v>
      </c>
    </row>
    <row r="91" spans="1:4">
      <c r="B91" s="755">
        <v>13609735532</v>
      </c>
      <c r="C91" s="755">
        <v>489189754</v>
      </c>
      <c r="D91" s="755">
        <v>1503717335</v>
      </c>
    </row>
    <row r="94" spans="1:4">
      <c r="A94" t="s">
        <v>1079</v>
      </c>
    </row>
    <row r="96" spans="1:4">
      <c r="B96" t="s">
        <v>1076</v>
      </c>
      <c r="C96" s="755">
        <v>8527134075</v>
      </c>
    </row>
    <row r="97" spans="1:5">
      <c r="B97" t="s">
        <v>1042</v>
      </c>
      <c r="C97" s="755">
        <v>13609735532</v>
      </c>
    </row>
    <row r="98" spans="1:5">
      <c r="C98" s="755"/>
    </row>
    <row r="99" spans="1:5">
      <c r="C99" s="792">
        <f>+C97-C96</f>
        <v>5082601457</v>
      </c>
    </row>
    <row r="100" spans="1:5">
      <c r="C100" s="497">
        <f>+C99/C96</f>
        <v>0.59605037428709595</v>
      </c>
    </row>
    <row r="101" spans="1:5">
      <c r="A101" t="s">
        <v>1075</v>
      </c>
    </row>
    <row r="102" spans="1:5">
      <c r="B102" t="s">
        <v>1076</v>
      </c>
      <c r="C102" s="755">
        <v>586543028</v>
      </c>
    </row>
    <row r="103" spans="1:5">
      <c r="B103" t="s">
        <v>1042</v>
      </c>
      <c r="C103" s="755">
        <v>1503717335</v>
      </c>
    </row>
    <row r="105" spans="1:5">
      <c r="C105" s="792">
        <f>+C103-C102</f>
        <v>917174307</v>
      </c>
    </row>
    <row r="106" spans="1:5">
      <c r="C106" s="497">
        <f>+C105/C102</f>
        <v>1.5636948411566491</v>
      </c>
    </row>
    <row r="110" spans="1:5" ht="37.5">
      <c r="A110" s="762" t="s">
        <v>1048</v>
      </c>
      <c r="B110" s="36"/>
      <c r="D110" s="780" t="s">
        <v>1061</v>
      </c>
      <c r="E110" s="781" t="s">
        <v>1062</v>
      </c>
    </row>
    <row r="111" spans="1:5">
      <c r="B111" s="36"/>
      <c r="D111" s="3"/>
    </row>
    <row r="112" spans="1:5">
      <c r="A112" t="s">
        <v>59</v>
      </c>
      <c r="B112" s="36"/>
      <c r="D112" s="3">
        <f>+'Rate Support'!C51</f>
        <v>13303674.243000001</v>
      </c>
      <c r="E112" s="3">
        <f>+D112</f>
        <v>13303674.243000001</v>
      </c>
    </row>
    <row r="113" spans="1:5">
      <c r="A113" t="s">
        <v>1049</v>
      </c>
      <c r="B113" s="36"/>
      <c r="D113" s="755">
        <f>+'Rate Support'!D51</f>
        <v>316213910.72055328</v>
      </c>
      <c r="E113" s="755">
        <f>+D113</f>
        <v>316213910.72055328</v>
      </c>
    </row>
    <row r="114" spans="1:5" ht="17.25">
      <c r="A114" t="s">
        <v>1050</v>
      </c>
      <c r="B114" s="36"/>
      <c r="D114" s="763">
        <f>+'Rate Support'!G51</f>
        <v>463610143.40473622</v>
      </c>
      <c r="E114" s="763">
        <f>+D114</f>
        <v>463610143.40473622</v>
      </c>
    </row>
    <row r="115" spans="1:5">
      <c r="A115" s="764" t="s">
        <v>1051</v>
      </c>
      <c r="B115" s="765"/>
      <c r="C115" s="764"/>
      <c r="D115" s="766">
        <f>SUM(D112:D114)</f>
        <v>793127728.36828947</v>
      </c>
      <c r="E115" s="766">
        <f>SUM(E112:E114)</f>
        <v>793127728.36828947</v>
      </c>
    </row>
    <row r="116" spans="1:5">
      <c r="B116" s="36"/>
      <c r="D116" s="3"/>
    </row>
    <row r="117" spans="1:5">
      <c r="A117" s="753" t="s">
        <v>1052</v>
      </c>
      <c r="D117" s="755">
        <v>15577861</v>
      </c>
    </row>
    <row r="118" spans="1:5">
      <c r="A118" s="767" t="s">
        <v>1053</v>
      </c>
      <c r="D118" s="755">
        <v>805560</v>
      </c>
    </row>
    <row r="119" spans="1:5">
      <c r="A119" t="s">
        <v>1054</v>
      </c>
      <c r="D119" s="755">
        <v>1348192</v>
      </c>
    </row>
    <row r="120" spans="1:5">
      <c r="A120" t="s">
        <v>1055</v>
      </c>
      <c r="D120" s="755">
        <v>140587906</v>
      </c>
    </row>
    <row r="121" spans="1:5">
      <c r="A121" t="s">
        <v>1056</v>
      </c>
      <c r="D121" s="755">
        <v>178070220</v>
      </c>
    </row>
    <row r="122" spans="1:5" ht="17.25">
      <c r="A122" t="s">
        <v>1057</v>
      </c>
      <c r="D122" s="763">
        <v>374378202</v>
      </c>
    </row>
    <row r="123" spans="1:5" ht="17.25">
      <c r="A123" s="764" t="s">
        <v>1058</v>
      </c>
      <c r="B123" s="764"/>
      <c r="C123" s="764"/>
      <c r="D123" s="774">
        <f>SUM(D117:D122)</f>
        <v>710767941</v>
      </c>
      <c r="E123" s="769"/>
    </row>
    <row r="124" spans="1:5">
      <c r="A124" s="764"/>
      <c r="B124" s="764"/>
      <c r="C124" s="764"/>
      <c r="D124" s="764"/>
      <c r="E124" s="768"/>
    </row>
    <row r="125" spans="1:5" ht="17.25">
      <c r="A125" t="s">
        <v>1060</v>
      </c>
      <c r="D125" s="775">
        <f>+D115+D123</f>
        <v>1503895669.3682895</v>
      </c>
      <c r="E125" s="770">
        <f>+E115+E123</f>
        <v>793127728.36828947</v>
      </c>
    </row>
    <row r="128" spans="1:5" ht="17.25">
      <c r="A128" t="s">
        <v>1059</v>
      </c>
      <c r="D128" s="776">
        <f>+E128</f>
        <v>1505554322.2208085</v>
      </c>
      <c r="E128" s="769">
        <f>+'fy2013cb analysis'!F50</f>
        <v>1505554322.2208085</v>
      </c>
    </row>
    <row r="130" spans="1:5" ht="17.25">
      <c r="A130" t="s">
        <v>1064</v>
      </c>
      <c r="D130" s="777">
        <f>+D128-D125</f>
        <v>1658652.8525190353</v>
      </c>
      <c r="E130" s="777">
        <f>+E128-E125</f>
        <v>712426593.85251904</v>
      </c>
    </row>
    <row r="132" spans="1:5" ht="17.25">
      <c r="A132" t="s">
        <v>1063</v>
      </c>
      <c r="D132" s="769">
        <f>+'fy2013cb analysis'!E50</f>
        <v>13625073340.212002</v>
      </c>
      <c r="E132" s="769">
        <f>+D132</f>
        <v>13625073340.212002</v>
      </c>
    </row>
    <row r="134" spans="1:5" ht="18.75">
      <c r="A134" s="778" t="s">
        <v>1065</v>
      </c>
      <c r="B134" s="778"/>
      <c r="C134" s="778"/>
      <c r="D134" s="779">
        <f>+D130/D132</f>
        <v>1.2173533390266707E-4</v>
      </c>
      <c r="E134" s="779">
        <f>+E130/E132</f>
        <v>5.2287908920821552E-2</v>
      </c>
    </row>
  </sheetData>
  <autoFilter ref="A1:C1">
    <sortState ref="A2:C11">
      <sortCondition descending="1" ref="B1"/>
    </sortState>
  </autoFilter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Q14" sqref="Q14"/>
    </sheetView>
  </sheetViews>
  <sheetFormatPr defaultRowHeight="12.75"/>
  <cols>
    <col min="1" max="1" width="7.7109375" style="530" customWidth="1"/>
    <col min="2" max="2" width="28.5703125" style="533" customWidth="1"/>
    <col min="3" max="3" width="11.42578125" style="530" customWidth="1"/>
    <col min="4" max="5" width="9.140625" style="530"/>
    <col min="6" max="6" width="10.85546875" style="530" bestFit="1" customWidth="1"/>
    <col min="7" max="7" width="9.140625" style="534"/>
    <col min="8" max="16384" width="9.140625" style="530"/>
  </cols>
  <sheetData>
    <row r="1" spans="1:7" ht="25.5">
      <c r="A1" s="527" t="s">
        <v>821</v>
      </c>
      <c r="B1" s="528" t="s">
        <v>819</v>
      </c>
      <c r="C1" s="669" t="s">
        <v>914</v>
      </c>
      <c r="D1" s="669" t="s">
        <v>1037</v>
      </c>
      <c r="E1" s="527" t="s">
        <v>912</v>
      </c>
      <c r="F1" s="527" t="s">
        <v>823</v>
      </c>
      <c r="G1" s="529" t="s">
        <v>824</v>
      </c>
    </row>
    <row r="2" spans="1:7">
      <c r="A2" s="531">
        <v>23</v>
      </c>
      <c r="B2" s="532" t="s">
        <v>844</v>
      </c>
      <c r="C2" s="531">
        <v>173</v>
      </c>
      <c r="D2" s="527">
        <v>194</v>
      </c>
      <c r="E2" s="527">
        <v>209</v>
      </c>
      <c r="F2" s="527">
        <f>AVERAGE(C2:E2)</f>
        <v>192</v>
      </c>
      <c r="G2" s="529">
        <f>F2/209</f>
        <v>0.91866028708133973</v>
      </c>
    </row>
    <row r="3" spans="1:7">
      <c r="A3" s="531">
        <v>61</v>
      </c>
      <c r="B3" s="532" t="s">
        <v>866</v>
      </c>
      <c r="C3" s="531">
        <v>191</v>
      </c>
      <c r="D3" s="527">
        <v>204</v>
      </c>
      <c r="E3" s="527">
        <v>209</v>
      </c>
      <c r="F3" s="535">
        <f>AVERAGE(C3:E3)</f>
        <v>201.33333333333334</v>
      </c>
      <c r="G3" s="529">
        <f>F3/209</f>
        <v>0.96331738437001602</v>
      </c>
    </row>
    <row r="4" spans="1:7">
      <c r="A4" s="531">
        <v>29</v>
      </c>
      <c r="B4" s="532" t="s">
        <v>848</v>
      </c>
      <c r="C4" s="531">
        <v>202</v>
      </c>
      <c r="D4" s="527">
        <v>194</v>
      </c>
      <c r="E4" s="527">
        <v>209</v>
      </c>
      <c r="F4" s="535">
        <f>AVERAGE(C4:E4)</f>
        <v>201.66666666666666</v>
      </c>
      <c r="G4" s="529">
        <f>F4/209</f>
        <v>0.96491228070175439</v>
      </c>
    </row>
    <row r="5" spans="1:7">
      <c r="A5" s="531">
        <v>13</v>
      </c>
      <c r="B5" s="532" t="s">
        <v>837</v>
      </c>
      <c r="C5" s="531">
        <v>129</v>
      </c>
      <c r="D5" s="527">
        <v>209</v>
      </c>
      <c r="E5" s="527">
        <v>209</v>
      </c>
      <c r="F5" s="535">
        <f>AVERAGE(C5:E5)</f>
        <v>182.33333333333334</v>
      </c>
      <c r="G5" s="529">
        <f>F5/209</f>
        <v>0.87240829346092508</v>
      </c>
    </row>
    <row r="6" spans="1:7">
      <c r="A6" s="531">
        <v>39</v>
      </c>
      <c r="B6" s="532" t="s">
        <v>855</v>
      </c>
      <c r="C6" s="531">
        <v>154</v>
      </c>
      <c r="D6" s="527">
        <v>161</v>
      </c>
      <c r="E6" s="527">
        <v>209</v>
      </c>
      <c r="F6" s="535">
        <f>AVERAGE(C6:E6)</f>
        <v>174.66666666666666</v>
      </c>
      <c r="G6" s="529">
        <f>F6/209</f>
        <v>0.83572567783094098</v>
      </c>
    </row>
    <row r="7" spans="1:7">
      <c r="A7" s="531">
        <v>33</v>
      </c>
      <c r="B7" s="532" t="s">
        <v>581</v>
      </c>
      <c r="C7" s="531">
        <v>204</v>
      </c>
      <c r="D7" s="527">
        <v>209</v>
      </c>
      <c r="E7" s="527">
        <v>209</v>
      </c>
      <c r="F7" s="535">
        <f>AVERAGE(C7:E7)</f>
        <v>207.33333333333334</v>
      </c>
      <c r="G7" s="529">
        <f>F7/209</f>
        <v>0.99202551834130781</v>
      </c>
    </row>
    <row r="8" spans="1:7">
      <c r="A8" s="531">
        <v>35</v>
      </c>
      <c r="B8" s="532" t="s">
        <v>852</v>
      </c>
      <c r="C8" s="531">
        <v>202</v>
      </c>
      <c r="D8" s="527">
        <v>189</v>
      </c>
      <c r="E8" s="527">
        <v>199</v>
      </c>
      <c r="F8" s="535">
        <f>AVERAGE(C8:E8)</f>
        <v>196.66666666666666</v>
      </c>
      <c r="G8" s="529">
        <f>F8/209</f>
        <v>0.94098883572567782</v>
      </c>
    </row>
    <row r="9" spans="1:7">
      <c r="A9" s="531">
        <v>30</v>
      </c>
      <c r="B9" s="532" t="s">
        <v>849</v>
      </c>
      <c r="C9" s="531">
        <v>202</v>
      </c>
      <c r="D9" s="527">
        <v>189</v>
      </c>
      <c r="E9" s="527">
        <v>209</v>
      </c>
      <c r="F9" s="535">
        <f>AVERAGE(C9:E9)</f>
        <v>200</v>
      </c>
      <c r="G9" s="529">
        <f>F9/209</f>
        <v>0.9569377990430622</v>
      </c>
    </row>
    <row r="10" spans="1:7">
      <c r="A10" s="531">
        <v>51</v>
      </c>
      <c r="B10" s="532" t="s">
        <v>1088</v>
      </c>
      <c r="C10" s="531">
        <v>185</v>
      </c>
      <c r="D10" s="527">
        <v>185</v>
      </c>
      <c r="E10" s="527">
        <v>209</v>
      </c>
      <c r="F10" s="535">
        <f>AVERAGE(C10:E10)</f>
        <v>193</v>
      </c>
      <c r="G10" s="529">
        <f>F10/209</f>
        <v>0.92344497607655507</v>
      </c>
    </row>
    <row r="11" spans="1:7">
      <c r="A11" s="531">
        <v>60</v>
      </c>
      <c r="B11" s="532" t="s">
        <v>865</v>
      </c>
      <c r="C11" s="531">
        <v>187</v>
      </c>
      <c r="D11" s="527">
        <v>181</v>
      </c>
      <c r="E11" s="527">
        <v>209</v>
      </c>
      <c r="F11" s="535">
        <f>AVERAGE(C11:E11)</f>
        <v>192.33333333333334</v>
      </c>
      <c r="G11" s="529">
        <f>F11/209</f>
        <v>0.92025518341307821</v>
      </c>
    </row>
    <row r="12" spans="1:7">
      <c r="A12" s="531">
        <v>15</v>
      </c>
      <c r="B12" s="532" t="s">
        <v>838</v>
      </c>
      <c r="C12" s="531">
        <v>199</v>
      </c>
      <c r="D12" s="527">
        <v>207</v>
      </c>
      <c r="E12" s="527">
        <v>209</v>
      </c>
      <c r="F12" s="535">
        <f>AVERAGE(C12:E12)</f>
        <v>205</v>
      </c>
      <c r="G12" s="529">
        <f>F12/209</f>
        <v>0.98086124401913877</v>
      </c>
    </row>
    <row r="13" spans="1:7">
      <c r="A13" s="531">
        <v>5</v>
      </c>
      <c r="B13" s="532" t="s">
        <v>829</v>
      </c>
      <c r="C13" s="531">
        <v>194</v>
      </c>
      <c r="D13" s="527">
        <v>192</v>
      </c>
      <c r="E13" s="527">
        <v>209</v>
      </c>
      <c r="F13" s="535">
        <f>AVERAGE(C13:E13)</f>
        <v>198.33333333333334</v>
      </c>
      <c r="G13" s="529">
        <f>F13/209</f>
        <v>0.94896331738437001</v>
      </c>
    </row>
    <row r="14" spans="1:7">
      <c r="A14" s="531">
        <v>17</v>
      </c>
      <c r="B14" s="532" t="s">
        <v>840</v>
      </c>
      <c r="C14" s="531">
        <v>144</v>
      </c>
      <c r="D14" s="527">
        <v>179</v>
      </c>
      <c r="E14" s="527">
        <v>209</v>
      </c>
      <c r="F14" s="535">
        <f>AVERAGE(C14:E14)</f>
        <v>177.33333333333334</v>
      </c>
      <c r="G14" s="529">
        <f>F14/209</f>
        <v>0.84848484848484851</v>
      </c>
    </row>
    <row r="15" spans="1:7">
      <c r="A15" s="531">
        <v>44</v>
      </c>
      <c r="B15" s="532" t="s">
        <v>1087</v>
      </c>
      <c r="C15" s="531">
        <v>153</v>
      </c>
      <c r="D15" s="527">
        <v>138</v>
      </c>
      <c r="E15" s="527">
        <v>209</v>
      </c>
      <c r="F15" s="535">
        <f>AVERAGE(C15:E15)</f>
        <v>166.66666666666666</v>
      </c>
      <c r="G15" s="529">
        <f>F15/209</f>
        <v>0.79744816586921841</v>
      </c>
    </row>
    <row r="16" spans="1:7">
      <c r="A16" s="531">
        <v>2004</v>
      </c>
      <c r="B16" s="532" t="s">
        <v>868</v>
      </c>
      <c r="C16" s="531">
        <v>199</v>
      </c>
      <c r="D16" s="527">
        <v>204</v>
      </c>
      <c r="E16" s="527">
        <v>209</v>
      </c>
      <c r="F16" s="535">
        <f>AVERAGE(C16:E16)</f>
        <v>204</v>
      </c>
      <c r="G16" s="529">
        <f>F16/209</f>
        <v>0.97607655502392343</v>
      </c>
    </row>
    <row r="17" spans="1:7">
      <c r="A17" s="531">
        <v>34</v>
      </c>
      <c r="B17" s="532" t="s">
        <v>851</v>
      </c>
      <c r="C17" s="531">
        <v>191</v>
      </c>
      <c r="D17" s="527">
        <v>199</v>
      </c>
      <c r="E17" s="527">
        <v>209</v>
      </c>
      <c r="F17" s="535">
        <f>AVERAGE(C17:E17)</f>
        <v>199.66666666666666</v>
      </c>
      <c r="G17" s="529">
        <f>F17/209</f>
        <v>0.95534290271132372</v>
      </c>
    </row>
    <row r="18" spans="1:7">
      <c r="A18" s="531">
        <v>4</v>
      </c>
      <c r="B18" s="532" t="s">
        <v>1089</v>
      </c>
      <c r="C18" s="531">
        <v>204</v>
      </c>
      <c r="D18" s="527">
        <v>209</v>
      </c>
      <c r="E18" s="527">
        <v>209</v>
      </c>
      <c r="F18" s="535">
        <f>AVERAGE(C18:E18)</f>
        <v>207.33333333333334</v>
      </c>
      <c r="G18" s="529">
        <f>F18/209</f>
        <v>0.99202551834130781</v>
      </c>
    </row>
    <row r="19" spans="1:7">
      <c r="A19" s="531">
        <v>48</v>
      </c>
      <c r="B19" s="532" t="s">
        <v>860</v>
      </c>
      <c r="C19" s="531">
        <v>200</v>
      </c>
      <c r="D19" s="527">
        <v>188</v>
      </c>
      <c r="E19" s="527">
        <v>209</v>
      </c>
      <c r="F19" s="535">
        <f>AVERAGE(C19:E19)</f>
        <v>199</v>
      </c>
      <c r="G19" s="529">
        <f>F19/209</f>
        <v>0.95215311004784686</v>
      </c>
    </row>
    <row r="20" spans="1:7">
      <c r="A20" s="531">
        <v>9</v>
      </c>
      <c r="B20" s="532" t="s">
        <v>833</v>
      </c>
      <c r="C20" s="531">
        <v>200</v>
      </c>
      <c r="D20" s="527">
        <v>196</v>
      </c>
      <c r="E20" s="527">
        <v>209</v>
      </c>
      <c r="F20" s="535">
        <f>AVERAGE(C20:E20)</f>
        <v>201.66666666666666</v>
      </c>
      <c r="G20" s="529">
        <f>F20/209</f>
        <v>0.96491228070175439</v>
      </c>
    </row>
    <row r="21" spans="1:7">
      <c r="A21" s="531">
        <v>55</v>
      </c>
      <c r="B21" s="532" t="s">
        <v>864</v>
      </c>
      <c r="C21" s="531">
        <v>162</v>
      </c>
      <c r="D21" s="527">
        <v>160</v>
      </c>
      <c r="E21" s="527">
        <v>209</v>
      </c>
      <c r="F21" s="535">
        <f>AVERAGE(C21:E21)</f>
        <v>177</v>
      </c>
      <c r="G21" s="529">
        <f>F21/209</f>
        <v>0.84688995215311003</v>
      </c>
    </row>
    <row r="22" spans="1:7">
      <c r="A22" s="728">
        <v>45</v>
      </c>
      <c r="B22" s="729" t="s">
        <v>859</v>
      </c>
      <c r="C22" s="728">
        <v>98</v>
      </c>
      <c r="D22" s="730">
        <v>98</v>
      </c>
      <c r="E22" s="730">
        <v>179</v>
      </c>
      <c r="F22" s="731">
        <f>AVERAGE(C22:E22)</f>
        <v>125</v>
      </c>
      <c r="G22" s="732">
        <f>F22/209</f>
        <v>0.59808612440191389</v>
      </c>
    </row>
    <row r="23" spans="1:7">
      <c r="A23" s="531">
        <v>8</v>
      </c>
      <c r="B23" s="532" t="s">
        <v>832</v>
      </c>
      <c r="C23" s="531">
        <v>193</v>
      </c>
      <c r="D23" s="527">
        <v>199</v>
      </c>
      <c r="E23" s="527">
        <v>209</v>
      </c>
      <c r="F23" s="535">
        <f>AVERAGE(C23:E23)</f>
        <v>200.33333333333334</v>
      </c>
      <c r="G23" s="529">
        <f>F23/209</f>
        <v>0.95853269537480068</v>
      </c>
    </row>
    <row r="24" spans="1:7">
      <c r="A24" s="531">
        <v>1</v>
      </c>
      <c r="B24" s="532" t="s">
        <v>825</v>
      </c>
      <c r="C24" s="531">
        <v>202</v>
      </c>
      <c r="D24" s="527">
        <v>174</v>
      </c>
      <c r="E24" s="527">
        <v>209</v>
      </c>
      <c r="F24" s="535">
        <f>AVERAGE(C24:E24)</f>
        <v>195</v>
      </c>
      <c r="G24" s="529">
        <f>F24/209</f>
        <v>0.93301435406698563</v>
      </c>
    </row>
    <row r="25" spans="1:7">
      <c r="A25" s="531">
        <v>18</v>
      </c>
      <c r="B25" s="532" t="s">
        <v>841</v>
      </c>
      <c r="C25" s="531">
        <v>194</v>
      </c>
      <c r="D25" s="527">
        <v>202</v>
      </c>
      <c r="E25" s="527">
        <v>209</v>
      </c>
      <c r="F25" s="535">
        <f>AVERAGE(C25:E25)</f>
        <v>201.66666666666666</v>
      </c>
      <c r="G25" s="529">
        <f>F25/209</f>
        <v>0.96491228070175439</v>
      </c>
    </row>
    <row r="26" spans="1:7">
      <c r="A26" s="531">
        <v>5034</v>
      </c>
      <c r="B26" s="532" t="s">
        <v>870</v>
      </c>
      <c r="C26" s="531">
        <v>197</v>
      </c>
      <c r="D26" s="527">
        <v>161</v>
      </c>
      <c r="E26" s="527">
        <v>209</v>
      </c>
      <c r="F26" s="535">
        <f>AVERAGE(C26:E26)</f>
        <v>189</v>
      </c>
      <c r="G26" s="529">
        <f>F26/209</f>
        <v>0.90430622009569372</v>
      </c>
    </row>
    <row r="27" spans="1:7">
      <c r="A27" s="531">
        <v>40</v>
      </c>
      <c r="B27" s="532" t="s">
        <v>856</v>
      </c>
      <c r="C27" s="531">
        <v>202</v>
      </c>
      <c r="D27" s="527">
        <v>209</v>
      </c>
      <c r="E27" s="527">
        <v>209</v>
      </c>
      <c r="F27" s="535">
        <f>AVERAGE(C27:E27)</f>
        <v>206.66666666666666</v>
      </c>
      <c r="G27" s="529">
        <f>F27/209</f>
        <v>0.98883572567783085</v>
      </c>
    </row>
    <row r="28" spans="1:7">
      <c r="A28" s="531">
        <v>19</v>
      </c>
      <c r="B28" s="532" t="s">
        <v>842</v>
      </c>
      <c r="C28" s="531">
        <v>192</v>
      </c>
      <c r="D28" s="527">
        <v>199</v>
      </c>
      <c r="E28" s="527">
        <v>209</v>
      </c>
      <c r="F28" s="535">
        <f>AVERAGE(C28:E28)</f>
        <v>200</v>
      </c>
      <c r="G28" s="529">
        <f>F28/209</f>
        <v>0.9569377990430622</v>
      </c>
    </row>
    <row r="29" spans="1:7">
      <c r="A29" s="531">
        <v>3</v>
      </c>
      <c r="B29" s="532" t="s">
        <v>827</v>
      </c>
      <c r="C29" s="531">
        <v>124</v>
      </c>
      <c r="D29" s="527">
        <v>189</v>
      </c>
      <c r="E29" s="527">
        <v>209</v>
      </c>
      <c r="F29" s="535">
        <f>AVERAGE(C29:E29)</f>
        <v>174</v>
      </c>
      <c r="G29" s="529">
        <f>F29/209</f>
        <v>0.83253588516746413</v>
      </c>
    </row>
    <row r="30" spans="1:7">
      <c r="A30" s="531">
        <v>5050</v>
      </c>
      <c r="B30" s="532" t="s">
        <v>1084</v>
      </c>
      <c r="C30" s="531">
        <v>201</v>
      </c>
      <c r="D30" s="527">
        <v>201</v>
      </c>
      <c r="E30" s="527">
        <v>209</v>
      </c>
      <c r="F30" s="535">
        <f>AVERAGE(C30:E30)</f>
        <v>203.66666666666666</v>
      </c>
      <c r="G30" s="529">
        <f>F30/209</f>
        <v>0.97448165869218495</v>
      </c>
    </row>
    <row r="31" spans="1:7">
      <c r="A31" s="531">
        <v>10</v>
      </c>
      <c r="B31" s="532" t="s">
        <v>834</v>
      </c>
      <c r="C31" s="531">
        <v>192</v>
      </c>
      <c r="D31" s="527">
        <v>196</v>
      </c>
      <c r="E31" s="527">
        <v>209</v>
      </c>
      <c r="F31" s="535">
        <f>AVERAGE(C31:E31)</f>
        <v>199</v>
      </c>
      <c r="G31" s="529">
        <f>F31/209</f>
        <v>0.95215311004784686</v>
      </c>
    </row>
    <row r="32" spans="1:7">
      <c r="A32" s="531">
        <v>37</v>
      </c>
      <c r="B32" s="532" t="s">
        <v>853</v>
      </c>
      <c r="C32" s="531">
        <v>192</v>
      </c>
      <c r="D32" s="527">
        <v>196</v>
      </c>
      <c r="E32" s="527">
        <v>209</v>
      </c>
      <c r="F32" s="535">
        <f>AVERAGE(C32:E32)</f>
        <v>199</v>
      </c>
      <c r="G32" s="529">
        <f>F32/209</f>
        <v>0.95215311004784686</v>
      </c>
    </row>
    <row r="33" spans="1:7">
      <c r="A33" s="531">
        <v>12</v>
      </c>
      <c r="B33" s="532" t="s">
        <v>836</v>
      </c>
      <c r="C33" s="531">
        <v>197</v>
      </c>
      <c r="D33" s="527">
        <v>209</v>
      </c>
      <c r="E33" s="527">
        <v>196</v>
      </c>
      <c r="F33" s="535">
        <f>AVERAGE(C33:E33)</f>
        <v>200.66666666666666</v>
      </c>
      <c r="G33" s="529">
        <f>F33/209</f>
        <v>0.96012759170653905</v>
      </c>
    </row>
    <row r="34" spans="1:7">
      <c r="A34" s="531">
        <v>54</v>
      </c>
      <c r="B34" s="532" t="s">
        <v>863</v>
      </c>
      <c r="C34" s="531">
        <v>194</v>
      </c>
      <c r="D34" s="527">
        <v>188</v>
      </c>
      <c r="E34" s="527">
        <v>209</v>
      </c>
      <c r="F34" s="535">
        <f>AVERAGE(C34:E34)</f>
        <v>197</v>
      </c>
      <c r="G34" s="529">
        <f>F34/209</f>
        <v>0.9425837320574163</v>
      </c>
    </row>
    <row r="35" spans="1:7">
      <c r="A35" s="531">
        <v>11</v>
      </c>
      <c r="B35" s="532" t="s">
        <v>835</v>
      </c>
      <c r="C35" s="531">
        <v>179</v>
      </c>
      <c r="D35" s="527">
        <v>156</v>
      </c>
      <c r="E35" s="527">
        <v>196</v>
      </c>
      <c r="F35" s="535">
        <f>AVERAGE(C35:E35)</f>
        <v>177</v>
      </c>
      <c r="G35" s="529">
        <f>F35/209</f>
        <v>0.84688995215311003</v>
      </c>
    </row>
    <row r="36" spans="1:7">
      <c r="A36" s="531">
        <v>7</v>
      </c>
      <c r="B36" s="532" t="s">
        <v>831</v>
      </c>
      <c r="C36" s="531">
        <v>195</v>
      </c>
      <c r="D36" s="527">
        <v>186</v>
      </c>
      <c r="E36" s="527">
        <v>209</v>
      </c>
      <c r="F36" s="535">
        <f>AVERAGE(C36:E36)</f>
        <v>196.66666666666666</v>
      </c>
      <c r="G36" s="529">
        <f>F36/209</f>
        <v>0.94098883572567782</v>
      </c>
    </row>
    <row r="37" spans="1:7">
      <c r="A37" s="531">
        <v>28</v>
      </c>
      <c r="B37" s="532" t="s">
        <v>847</v>
      </c>
      <c r="C37" s="531">
        <v>193</v>
      </c>
      <c r="D37" s="527">
        <v>209</v>
      </c>
      <c r="E37" s="527">
        <v>209</v>
      </c>
      <c r="F37" s="535">
        <f>AVERAGE(C37:E37)</f>
        <v>203.66666666666666</v>
      </c>
      <c r="G37" s="529">
        <f>F37/209</f>
        <v>0.97448165869218495</v>
      </c>
    </row>
    <row r="38" spans="1:7">
      <c r="A38" s="531">
        <v>22</v>
      </c>
      <c r="B38" s="532" t="s">
        <v>843</v>
      </c>
      <c r="C38" s="531">
        <v>197</v>
      </c>
      <c r="D38" s="527">
        <v>204</v>
      </c>
      <c r="E38" s="527">
        <v>209</v>
      </c>
      <c r="F38" s="535">
        <f>AVERAGE(C38:E38)</f>
        <v>203.33333333333334</v>
      </c>
      <c r="G38" s="529">
        <f>F38/209</f>
        <v>0.97288676236044658</v>
      </c>
    </row>
    <row r="39" spans="1:7">
      <c r="A39" s="531">
        <v>6</v>
      </c>
      <c r="B39" s="532" t="s">
        <v>830</v>
      </c>
      <c r="C39" s="531">
        <v>190</v>
      </c>
      <c r="D39" s="527">
        <v>199</v>
      </c>
      <c r="E39" s="527">
        <v>209</v>
      </c>
      <c r="F39" s="535">
        <f>AVERAGE(C39:E39)</f>
        <v>199.33333333333334</v>
      </c>
      <c r="G39" s="529">
        <f>F39/209</f>
        <v>0.95374800637958534</v>
      </c>
    </row>
    <row r="40" spans="1:7">
      <c r="A40" s="531">
        <v>49</v>
      </c>
      <c r="B40" s="532" t="s">
        <v>861</v>
      </c>
      <c r="C40" s="531">
        <v>190</v>
      </c>
      <c r="D40" s="527">
        <v>199</v>
      </c>
      <c r="E40" s="527">
        <v>209</v>
      </c>
      <c r="F40" s="535">
        <f>AVERAGE(C40:E40)</f>
        <v>199.33333333333334</v>
      </c>
      <c r="G40" s="529">
        <f>F40/209</f>
        <v>0.95374800637958534</v>
      </c>
    </row>
    <row r="41" spans="1:7">
      <c r="A41" s="531">
        <v>43</v>
      </c>
      <c r="B41" s="532" t="s">
        <v>913</v>
      </c>
      <c r="C41" s="531">
        <v>197</v>
      </c>
      <c r="D41" s="527">
        <v>199</v>
      </c>
      <c r="E41" s="527">
        <v>209</v>
      </c>
      <c r="F41" s="535">
        <f>AVERAGE(C41:E41)</f>
        <v>201.66666666666666</v>
      </c>
      <c r="G41" s="529">
        <f>F41/209</f>
        <v>0.96491228070175439</v>
      </c>
    </row>
    <row r="42" spans="1:7">
      <c r="A42" s="531">
        <v>38</v>
      </c>
      <c r="B42" s="532" t="s">
        <v>854</v>
      </c>
      <c r="C42" s="531">
        <v>170</v>
      </c>
      <c r="D42" s="527">
        <v>166</v>
      </c>
      <c r="E42" s="527">
        <v>209</v>
      </c>
      <c r="F42" s="535">
        <f>AVERAGE(C42:E42)</f>
        <v>181.66666666666666</v>
      </c>
      <c r="G42" s="529">
        <f>F42/209</f>
        <v>0.86921850079744811</v>
      </c>
    </row>
    <row r="43" spans="1:7">
      <c r="A43" s="531">
        <v>2001</v>
      </c>
      <c r="B43" s="532" t="s">
        <v>867</v>
      </c>
      <c r="C43" s="531">
        <v>191</v>
      </c>
      <c r="D43" s="527">
        <v>175</v>
      </c>
      <c r="E43" s="527">
        <v>209</v>
      </c>
      <c r="F43" s="535">
        <f>AVERAGE(C43:E43)</f>
        <v>191.66666666666666</v>
      </c>
      <c r="G43" s="529">
        <f>F43/209</f>
        <v>0.91706539074960125</v>
      </c>
    </row>
    <row r="44" spans="1:7">
      <c r="A44" s="531">
        <v>32</v>
      </c>
      <c r="B44" s="532" t="s">
        <v>850</v>
      </c>
      <c r="C44" s="531">
        <v>187</v>
      </c>
      <c r="D44" s="527">
        <v>189</v>
      </c>
      <c r="E44" s="527">
        <v>209</v>
      </c>
      <c r="F44" s="535">
        <f>AVERAGE(C44:E44)</f>
        <v>195</v>
      </c>
      <c r="G44" s="529">
        <f>F44/209</f>
        <v>0.93301435406698563</v>
      </c>
    </row>
    <row r="45" spans="1:7">
      <c r="A45" s="733">
        <v>24</v>
      </c>
      <c r="B45" s="734" t="s">
        <v>845</v>
      </c>
      <c r="C45" s="733">
        <v>177</v>
      </c>
      <c r="D45" s="735">
        <v>177</v>
      </c>
      <c r="E45" s="735">
        <v>209</v>
      </c>
      <c r="F45" s="736">
        <f>AVERAGE(C45:E45)</f>
        <v>187.66666666666666</v>
      </c>
      <c r="G45" s="737">
        <f>F45/209</f>
        <v>0.89792663476874002</v>
      </c>
    </row>
    <row r="46" spans="1:7">
      <c r="A46" s="531">
        <v>2</v>
      </c>
      <c r="B46" s="532" t="s">
        <v>826</v>
      </c>
      <c r="C46" s="531">
        <v>204</v>
      </c>
      <c r="D46" s="527">
        <v>177</v>
      </c>
      <c r="E46" s="527">
        <v>209</v>
      </c>
      <c r="F46" s="535">
        <f>AVERAGE(C46:E46)</f>
        <v>196.66666666666666</v>
      </c>
      <c r="G46" s="529">
        <f>F46/209</f>
        <v>0.94098883572567782</v>
      </c>
    </row>
    <row r="47" spans="1:7">
      <c r="A47" s="531">
        <v>16</v>
      </c>
      <c r="B47" s="532" t="s">
        <v>1086</v>
      </c>
      <c r="C47" s="531">
        <v>202</v>
      </c>
      <c r="D47" s="527">
        <v>207</v>
      </c>
      <c r="E47" s="527">
        <v>209</v>
      </c>
      <c r="F47" s="535">
        <f>AVERAGE(C47:E47)</f>
        <v>206</v>
      </c>
      <c r="G47" s="529">
        <f>F47/209</f>
        <v>0.9856459330143541</v>
      </c>
    </row>
    <row r="48" spans="1:7">
      <c r="A48" s="531">
        <v>27</v>
      </c>
      <c r="B48" s="532" t="s">
        <v>846</v>
      </c>
      <c r="C48" s="531">
        <v>204</v>
      </c>
      <c r="D48" s="527">
        <v>209</v>
      </c>
      <c r="E48" s="527">
        <v>209</v>
      </c>
      <c r="F48" s="535">
        <f>AVERAGE(C48:E48)</f>
        <v>207.33333333333334</v>
      </c>
      <c r="G48" s="529">
        <f>F48/209</f>
        <v>0.99202551834130781</v>
      </c>
    </row>
    <row r="49" spans="1:7">
      <c r="A49" s="527" t="s">
        <v>276</v>
      </c>
      <c r="B49" s="528" t="s">
        <v>871</v>
      </c>
      <c r="C49" s="535">
        <f>AVERAGE(C2:C48)</f>
        <v>185.72340425531914</v>
      </c>
      <c r="D49" s="535">
        <f t="shared" ref="D49:F49" si="0">AVERAGE(D2:D48)</f>
        <v>188.51063829787233</v>
      </c>
      <c r="E49" s="535">
        <f t="shared" si="0"/>
        <v>207.59574468085106</v>
      </c>
      <c r="F49" s="784">
        <f t="shared" si="0"/>
        <v>193.94326241134752</v>
      </c>
      <c r="G49" s="529">
        <f>AVERAGE(G2:G48)</f>
        <v>0.92795819335572927</v>
      </c>
    </row>
    <row r="51" spans="1:7">
      <c r="A51" s="738"/>
      <c r="B51" s="739" t="s">
        <v>1036</v>
      </c>
    </row>
    <row r="52" spans="1:7">
      <c r="A52" s="530" t="s">
        <v>1034</v>
      </c>
      <c r="B52" s="533" t="s">
        <v>1035</v>
      </c>
    </row>
    <row r="53" spans="1:7">
      <c r="B53" s="533" t="s">
        <v>1085</v>
      </c>
    </row>
    <row r="54" spans="1:7">
      <c r="B54" s="533" t="s">
        <v>1090</v>
      </c>
    </row>
  </sheetData>
  <sortState ref="A2:G48">
    <sortCondition ref="B2:B48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abSelected="1" topLeftCell="B29" zoomScaleNormal="100" workbookViewId="0">
      <selection activeCell="L52" sqref="L52"/>
    </sheetView>
  </sheetViews>
  <sheetFormatPr defaultRowHeight="15"/>
  <cols>
    <col min="1" max="1" width="10.85546875" customWidth="1"/>
    <col min="2" max="2" width="26.28515625" bestFit="1" customWidth="1"/>
    <col min="3" max="3" width="10.7109375" style="2" bestFit="1" customWidth="1"/>
    <col min="4" max="4" width="16.42578125" customWidth="1"/>
    <col min="5" max="5" width="21" style="499" customWidth="1"/>
    <col min="6" max="6" width="18.42578125" style="499" customWidth="1"/>
    <col min="7" max="7" width="20.28515625" style="497" customWidth="1"/>
    <col min="8" max="8" width="23.140625" style="3" customWidth="1"/>
    <col min="9" max="9" width="31.85546875" style="500" customWidth="1"/>
    <col min="10" max="10" width="26.42578125" style="497" customWidth="1"/>
    <col min="11" max="11" width="14.5703125" style="499" bestFit="1" customWidth="1"/>
    <col min="12" max="12" width="16.28515625" customWidth="1"/>
    <col min="13" max="13" width="14.85546875" customWidth="1"/>
  </cols>
  <sheetData>
    <row r="1" spans="1:14" s="1" customFormat="1" ht="64.5" customHeight="1">
      <c r="A1" s="503" t="s">
        <v>819</v>
      </c>
      <c r="B1" s="503" t="s">
        <v>0</v>
      </c>
      <c r="C1" s="504" t="s">
        <v>1</v>
      </c>
      <c r="D1" s="505" t="s">
        <v>2</v>
      </c>
      <c r="E1" s="506" t="s">
        <v>3</v>
      </c>
      <c r="F1" s="506" t="s">
        <v>4</v>
      </c>
      <c r="G1" s="507" t="s">
        <v>5</v>
      </c>
      <c r="H1" s="505" t="s">
        <v>124</v>
      </c>
      <c r="I1" s="508" t="s">
        <v>1047</v>
      </c>
      <c r="J1" s="507" t="s">
        <v>6</v>
      </c>
      <c r="K1" s="506" t="s">
        <v>7</v>
      </c>
      <c r="L1" s="505" t="s">
        <v>66</v>
      </c>
      <c r="M1" s="509" t="s">
        <v>123</v>
      </c>
      <c r="N1" s="510"/>
    </row>
    <row r="2" spans="1:14">
      <c r="A2" s="433">
        <v>1</v>
      </c>
      <c r="B2" s="433" t="s">
        <v>55</v>
      </c>
      <c r="C2" s="511">
        <f>'#1-Meritus'!C7</f>
        <v>0</v>
      </c>
      <c r="D2" s="460">
        <f>'#1-Meritus'!F108</f>
        <v>929.5</v>
      </c>
      <c r="E2" s="512">
        <f>'#1-Meritus'!F121</f>
        <v>285886346</v>
      </c>
      <c r="F2" s="512">
        <f>'#1-Meritus'!K152</f>
        <v>26020716.899700001</v>
      </c>
      <c r="G2" s="805">
        <f t="shared" ref="G2:G48" si="0">F2/E2</f>
        <v>9.1017697290447022E-2</v>
      </c>
      <c r="H2" s="706">
        <f>VLOOKUP(A2,'Rate Support'!$A$5:$H$50,8,)</f>
        <v>10981936.061622264</v>
      </c>
      <c r="I2" s="513">
        <f t="shared" ref="I2:I48" si="1">F2-H2</f>
        <v>15038780.838077737</v>
      </c>
      <c r="J2" s="805">
        <f t="shared" ref="J2:J48" si="2">I2/E2</f>
        <v>5.2604054193192341E-2</v>
      </c>
      <c r="K2" s="512">
        <f>'#1-Meritus'!K148</f>
        <v>12006630</v>
      </c>
      <c r="L2" s="706">
        <f>VLOOKUP(A2,'narrative scores'!$A$2:$F$48,6,)</f>
        <v>195</v>
      </c>
      <c r="M2" s="491">
        <f t="shared" ref="M2:M48" si="3">L2/209</f>
        <v>0.93301435406698563</v>
      </c>
      <c r="N2" s="433"/>
    </row>
    <row r="3" spans="1:14">
      <c r="A3" s="433">
        <v>2</v>
      </c>
      <c r="B3" s="433" t="s">
        <v>50</v>
      </c>
      <c r="C3" s="514">
        <f>'#2-UMMS'!C7:G7</f>
        <v>8011</v>
      </c>
      <c r="D3" s="460">
        <f>'#2-UMMS'!F108</f>
        <v>1864</v>
      </c>
      <c r="E3" s="706">
        <f>'#2-UMMS'!F121</f>
        <v>1280648000</v>
      </c>
      <c r="F3" s="706">
        <f>'#2-UMMS'!K152</f>
        <v>199544540.26460728</v>
      </c>
      <c r="G3" s="805">
        <f t="shared" si="0"/>
        <v>0.15581529059086283</v>
      </c>
      <c r="H3" s="706">
        <f>VLOOKUP(A3,'Rate Support'!$A$5:$H$50,8,)</f>
        <v>158263593.81685734</v>
      </c>
      <c r="I3" s="706">
        <f t="shared" si="1"/>
        <v>41280946.447749943</v>
      </c>
      <c r="J3" s="805">
        <f t="shared" si="2"/>
        <v>3.2234420736806636E-2</v>
      </c>
      <c r="K3" s="706">
        <f>'#2-UMMS'!K148</f>
        <v>50504000</v>
      </c>
      <c r="L3" s="706">
        <f>VLOOKUP(A3,'narrative scores'!$A$2:$F$48,6,)</f>
        <v>196.66666666666666</v>
      </c>
      <c r="M3" s="491">
        <f t="shared" si="3"/>
        <v>0.94098883572567782</v>
      </c>
      <c r="N3" s="433"/>
    </row>
    <row r="4" spans="1:14">
      <c r="A4" s="433">
        <v>3</v>
      </c>
      <c r="B4" s="433" t="s">
        <v>36</v>
      </c>
      <c r="C4" s="511">
        <f>'#3-Prince George''s'!C7</f>
        <v>0</v>
      </c>
      <c r="D4" s="460">
        <f>'#3-Prince George''s'!F108</f>
        <v>1182</v>
      </c>
      <c r="E4" s="706">
        <f>'#3-Prince George''s'!F121</f>
        <v>211129800</v>
      </c>
      <c r="F4" s="706">
        <f>'#3-Prince George''s'!K152</f>
        <v>50806983.969599992</v>
      </c>
      <c r="G4" s="805">
        <f t="shared" si="0"/>
        <v>0.24064335763876057</v>
      </c>
      <c r="H4" s="706">
        <f>VLOOKUP(A4,'Rate Support'!$A$5:$H$50,8,)</f>
        <v>23775095.420582008</v>
      </c>
      <c r="I4" s="706">
        <f t="shared" si="1"/>
        <v>27031888.549017984</v>
      </c>
      <c r="J4" s="805">
        <f t="shared" si="2"/>
        <v>0.12803445344531178</v>
      </c>
      <c r="K4" s="706">
        <f>'#3-Prince George''s'!K148</f>
        <v>21929900</v>
      </c>
      <c r="L4" s="706">
        <f>VLOOKUP(A4,'narrative scores'!$A$2:$F$48,6,)</f>
        <v>174</v>
      </c>
      <c r="M4" s="491">
        <f t="shared" si="3"/>
        <v>0.83253588516746413</v>
      </c>
      <c r="N4" s="433"/>
    </row>
    <row r="5" spans="1:14">
      <c r="A5" s="433">
        <v>4</v>
      </c>
      <c r="B5" s="433" t="s">
        <v>24</v>
      </c>
      <c r="C5" s="511">
        <f>'#4-Holy Cross'!C7</f>
        <v>3225</v>
      </c>
      <c r="D5" s="460">
        <f>'#4-Holy Cross'!F108</f>
        <v>6318.8</v>
      </c>
      <c r="E5" s="706">
        <f>'#4-Holy Cross'!F121</f>
        <v>379906397.09000003</v>
      </c>
      <c r="F5" s="706">
        <f>'#4-Holy Cross'!K152</f>
        <v>48741740.482413597</v>
      </c>
      <c r="G5" s="805">
        <f t="shared" si="0"/>
        <v>0.12829934124764594</v>
      </c>
      <c r="H5" s="706">
        <f>VLOOKUP(A5,'Rate Support'!$A$5:$H$50,8,)</f>
        <v>23178657.176842552</v>
      </c>
      <c r="I5" s="706">
        <f t="shared" si="1"/>
        <v>25563083.305571046</v>
      </c>
      <c r="J5" s="805">
        <f t="shared" si="2"/>
        <v>6.7287846431064807E-2</v>
      </c>
      <c r="K5" s="706">
        <f>'#4-Holy Cross'!K148</f>
        <v>26812613.400000002</v>
      </c>
      <c r="L5" s="706">
        <f>VLOOKUP(A5,'narrative scores'!$A$2:$F$48,6,)</f>
        <v>207.33333333333334</v>
      </c>
      <c r="M5" s="491">
        <f t="shared" si="3"/>
        <v>0.99202551834130781</v>
      </c>
      <c r="N5" s="433"/>
    </row>
    <row r="6" spans="1:14">
      <c r="A6" s="433">
        <v>5</v>
      </c>
      <c r="B6" s="433" t="s">
        <v>19</v>
      </c>
      <c r="C6" s="511">
        <f>'#5-Frederick Memorial'!C7</f>
        <v>2207</v>
      </c>
      <c r="D6" s="460">
        <f>'#5-Frederick Memorial'!F108</f>
        <v>0</v>
      </c>
      <c r="E6" s="706">
        <f>'#5-Frederick Memorial'!F121</f>
        <v>339915000</v>
      </c>
      <c r="F6" s="706">
        <f>'#5-Frederick Memorial'!K152</f>
        <v>27965781</v>
      </c>
      <c r="G6" s="805">
        <f t="shared" si="0"/>
        <v>8.2272865275142312E-2</v>
      </c>
      <c r="H6" s="706">
        <f>VLOOKUP(A6,'Rate Support'!$A$5:$H$50,8,)</f>
        <v>7940092.8681441005</v>
      </c>
      <c r="I6" s="706">
        <f t="shared" si="1"/>
        <v>20025688.131855898</v>
      </c>
      <c r="J6" s="805">
        <f t="shared" si="2"/>
        <v>5.8913811193551026E-2</v>
      </c>
      <c r="K6" s="706">
        <f>'#5-Frederick Memorial'!K148</f>
        <v>9980036</v>
      </c>
      <c r="L6" s="706">
        <f>VLOOKUP(A6,'narrative scores'!$A$2:$F$48,6,)</f>
        <v>198.33333333333334</v>
      </c>
      <c r="M6" s="491">
        <f t="shared" si="3"/>
        <v>0.94896331738437001</v>
      </c>
      <c r="N6" s="433"/>
    </row>
    <row r="7" spans="1:14">
      <c r="A7" s="433">
        <v>6</v>
      </c>
      <c r="B7" s="433" t="s">
        <v>46</v>
      </c>
      <c r="C7" s="511">
        <f>'#6-Harford Memorial'!C7</f>
        <v>868</v>
      </c>
      <c r="D7" s="460">
        <f>'#6-Harford Memorial'!F108</f>
        <v>1070.3999999999999</v>
      </c>
      <c r="E7" s="706">
        <f>'#6-Harford Memorial'!F121</f>
        <v>83530000</v>
      </c>
      <c r="F7" s="706">
        <f>'#6-Harford Memorial'!K152</f>
        <v>8207635.241353428</v>
      </c>
      <c r="G7" s="805">
        <f t="shared" si="0"/>
        <v>9.8259729933597842E-2</v>
      </c>
      <c r="H7" s="706">
        <f>VLOOKUP(A7,'Rate Support'!$A$5:$H$50,8,)</f>
        <v>2855154.1251265868</v>
      </c>
      <c r="I7" s="706">
        <f t="shared" si="1"/>
        <v>5352481.1162268408</v>
      </c>
      <c r="J7" s="805">
        <f t="shared" si="2"/>
        <v>6.407854802139161E-2</v>
      </c>
      <c r="K7" s="706">
        <f>'#6-Harford Memorial'!K148</f>
        <v>3648200</v>
      </c>
      <c r="L7" s="706">
        <f>VLOOKUP(A7,'narrative scores'!$A$2:$F$48,6,)</f>
        <v>199.33333333333334</v>
      </c>
      <c r="M7" s="491">
        <f t="shared" si="3"/>
        <v>0.95374800637958534</v>
      </c>
      <c r="N7" s="433"/>
    </row>
    <row r="8" spans="1:14">
      <c r="A8" s="433">
        <v>7</v>
      </c>
      <c r="B8" s="433" t="s">
        <v>43</v>
      </c>
      <c r="C8" s="511">
        <f>'#7-St. Joseph'!C7</f>
        <v>1978</v>
      </c>
      <c r="D8" s="460">
        <f>'#7-St. Joseph'!F108</f>
        <v>132.73225291029445</v>
      </c>
      <c r="E8" s="706">
        <f>'#7-St. Joseph'!F121</f>
        <v>312000000</v>
      </c>
      <c r="F8" s="706">
        <f>'#7-St. Joseph'!K152</f>
        <v>20329224.188948642</v>
      </c>
      <c r="G8" s="805">
        <f t="shared" si="0"/>
        <v>6.5157769836373849E-2</v>
      </c>
      <c r="H8" s="706">
        <f>VLOOKUP(A8,'Rate Support'!$A$5:$H$50,8,)</f>
        <v>5346333.5360704875</v>
      </c>
      <c r="I8" s="706">
        <f t="shared" si="1"/>
        <v>14982890.652878154</v>
      </c>
      <c r="J8" s="805">
        <f t="shared" si="2"/>
        <v>4.8022085425891523E-2</v>
      </c>
      <c r="K8" s="706">
        <f>'#7-St. Joseph'!K148</f>
        <v>6346816.8399999999</v>
      </c>
      <c r="L8" s="706">
        <f>VLOOKUP(A8,'narrative scores'!$A$2:$F$48,6,)</f>
        <v>196.66666666666666</v>
      </c>
      <c r="M8" s="491">
        <f t="shared" si="3"/>
        <v>0.94098883572567782</v>
      </c>
      <c r="N8" s="433"/>
    </row>
    <row r="9" spans="1:14">
      <c r="A9" s="433">
        <v>8</v>
      </c>
      <c r="B9" s="433" t="s">
        <v>32</v>
      </c>
      <c r="C9" s="511" t="str">
        <f>'#8-Mercy'!C7</f>
        <v>3419</v>
      </c>
      <c r="D9" s="460">
        <f>'#8-Mercy'!F108</f>
        <v>2785</v>
      </c>
      <c r="E9" s="706">
        <f>'#8-Mercy'!F121</f>
        <v>413737200</v>
      </c>
      <c r="F9" s="706">
        <f>'#8-Mercy'!K152</f>
        <v>52130791.640000001</v>
      </c>
      <c r="G9" s="805">
        <f t="shared" si="0"/>
        <v>0.12599976903212959</v>
      </c>
      <c r="H9" s="706">
        <f>VLOOKUP(A9,'Rate Support'!$A$5:$H$50,8,)</f>
        <v>18278753.205527559</v>
      </c>
      <c r="I9" s="706">
        <f t="shared" si="1"/>
        <v>33852038.434472442</v>
      </c>
      <c r="J9" s="805">
        <f t="shared" si="2"/>
        <v>8.1820146785139075E-2</v>
      </c>
      <c r="K9" s="706">
        <f>'#8-Mercy'!K148</f>
        <v>17220776</v>
      </c>
      <c r="L9" s="706">
        <f>VLOOKUP(A9,'narrative scores'!$A$2:$F$48,6,)</f>
        <v>200.33333333333334</v>
      </c>
      <c r="M9" s="491">
        <f t="shared" si="3"/>
        <v>0.95853269537480068</v>
      </c>
      <c r="N9" s="433"/>
    </row>
    <row r="10" spans="1:14">
      <c r="A10" s="433">
        <v>9</v>
      </c>
      <c r="B10" s="433" t="s">
        <v>27</v>
      </c>
      <c r="C10" s="511">
        <f>'#9-Johns Hopkins'!C7</f>
        <v>0</v>
      </c>
      <c r="D10" s="460">
        <f>'#9-Johns Hopkins'!F108</f>
        <v>5539.1</v>
      </c>
      <c r="E10" s="706">
        <f>'#9-Johns Hopkins'!F121</f>
        <v>1897158000</v>
      </c>
      <c r="F10" s="706">
        <f>'#9-Johns Hopkins'!K152</f>
        <v>190125782.46002021</v>
      </c>
      <c r="G10" s="805">
        <f t="shared" si="0"/>
        <v>0.10021610348743763</v>
      </c>
      <c r="H10" s="706">
        <f>VLOOKUP(A10,'Rate Support'!$A$5:$H$50,8,)</f>
        <v>164751945.64054456</v>
      </c>
      <c r="I10" s="706">
        <f t="shared" si="1"/>
        <v>25373836.819475651</v>
      </c>
      <c r="J10" s="805">
        <f t="shared" si="2"/>
        <v>1.3374656628217392E-2</v>
      </c>
      <c r="K10" s="706">
        <f>'#9-Johns Hopkins'!K148</f>
        <v>31612000</v>
      </c>
      <c r="L10" s="706">
        <f>VLOOKUP(A10,'narrative scores'!$A$2:$F$48,6,)</f>
        <v>201.66666666666666</v>
      </c>
      <c r="M10" s="491">
        <f t="shared" si="3"/>
        <v>0.96491228070175439</v>
      </c>
      <c r="N10" s="433"/>
    </row>
    <row r="11" spans="1:14">
      <c r="A11" s="433">
        <v>10</v>
      </c>
      <c r="B11" s="433" t="s">
        <v>39</v>
      </c>
      <c r="C11" s="511">
        <f>'#10-Shore Health Dorchester'!C7</f>
        <v>1106</v>
      </c>
      <c r="D11" s="460">
        <f>'#10-Shore Health Dorchester'!F108</f>
        <v>575</v>
      </c>
      <c r="E11" s="706">
        <f>'#10-Shore Health Dorchester'!F121</f>
        <v>42329000</v>
      </c>
      <c r="F11" s="706">
        <f>'#10-Shore Health Dorchester'!K152</f>
        <v>7409887.7954965048</v>
      </c>
      <c r="G11" s="805">
        <f t="shared" si="0"/>
        <v>0.17505463855740758</v>
      </c>
      <c r="H11" s="706">
        <f>VLOOKUP(A11,'Rate Support'!$A$5:$H$50,8,)</f>
        <v>2674654.6461672313</v>
      </c>
      <c r="I11" s="706">
        <f t="shared" si="1"/>
        <v>4735233.149329273</v>
      </c>
      <c r="J11" s="805">
        <f t="shared" si="2"/>
        <v>0.11186735215406159</v>
      </c>
      <c r="K11" s="706">
        <f>'#10-Shore Health Dorchester'!K148</f>
        <v>2768000</v>
      </c>
      <c r="L11" s="706">
        <f>VLOOKUP(A11,'narrative scores'!$A$2:$F$48,6,)</f>
        <v>199</v>
      </c>
      <c r="M11" s="491">
        <f t="shared" si="3"/>
        <v>0.95215311004784686</v>
      </c>
      <c r="N11" s="433"/>
    </row>
    <row r="12" spans="1:14">
      <c r="A12" s="433">
        <v>11</v>
      </c>
      <c r="B12" s="433" t="s">
        <v>42</v>
      </c>
      <c r="C12" s="511">
        <f>'#11-St. Agnes'!C7</f>
        <v>2767</v>
      </c>
      <c r="D12" s="460">
        <f>'#11-St. Agnes'!F108</f>
        <v>0</v>
      </c>
      <c r="E12" s="706">
        <f>'#11-St. Agnes'!F121</f>
        <v>386454161.93000001</v>
      </c>
      <c r="F12" s="706">
        <f>'#11-St. Agnes'!K152</f>
        <v>36814028.150048569</v>
      </c>
      <c r="G12" s="805">
        <f t="shared" si="0"/>
        <v>9.5261047173602037E-2</v>
      </c>
      <c r="H12" s="706">
        <f>VLOOKUP(A12,'Rate Support'!$A$5:$H$50,8,)</f>
        <v>21995646.734995443</v>
      </c>
      <c r="I12" s="706">
        <f t="shared" si="1"/>
        <v>14818381.415053125</v>
      </c>
      <c r="J12" s="805">
        <f t="shared" si="2"/>
        <v>3.834447361376131E-2</v>
      </c>
      <c r="K12" s="706">
        <f>'#11-St. Agnes'!K148</f>
        <v>22405394</v>
      </c>
      <c r="L12" s="706">
        <f>VLOOKUP(A12,'narrative scores'!$A$2:$F$48,6,)</f>
        <v>177</v>
      </c>
      <c r="M12" s="491">
        <f t="shared" si="3"/>
        <v>0.84688995215311003</v>
      </c>
      <c r="N12" s="433"/>
    </row>
    <row r="13" spans="1:14">
      <c r="A13" s="433">
        <v>12</v>
      </c>
      <c r="B13" s="433" t="s">
        <v>40</v>
      </c>
      <c r="C13" s="511">
        <f>'#12-Sinai'!C7</f>
        <v>4685</v>
      </c>
      <c r="D13" s="460">
        <f>'#12-Sinai'!F108</f>
        <v>6354</v>
      </c>
      <c r="E13" s="706">
        <f>'#12-Sinai'!F121</f>
        <v>674192000</v>
      </c>
      <c r="F13" s="706">
        <f>'#12-Sinai'!K152</f>
        <v>60620060.464200005</v>
      </c>
      <c r="G13" s="805">
        <f t="shared" si="0"/>
        <v>8.9915128723271717E-2</v>
      </c>
      <c r="H13" s="706">
        <f>VLOOKUP(A13,'Rate Support'!$A$5:$H$50,8,)</f>
        <v>29044990.676024538</v>
      </c>
      <c r="I13" s="706">
        <f t="shared" si="1"/>
        <v>31575069.788175467</v>
      </c>
      <c r="J13" s="805">
        <f t="shared" si="2"/>
        <v>4.6833943132187077E-2</v>
      </c>
      <c r="K13" s="706">
        <f>'#12-Sinai'!K148</f>
        <v>11038200</v>
      </c>
      <c r="L13" s="706">
        <f>VLOOKUP(A13,'narrative scores'!$A$2:$F$48,6,)</f>
        <v>200.66666666666666</v>
      </c>
      <c r="M13" s="491">
        <f t="shared" si="3"/>
        <v>0.96012759170653905</v>
      </c>
      <c r="N13" s="433"/>
    </row>
    <row r="14" spans="1:14">
      <c r="A14" s="433">
        <v>13</v>
      </c>
      <c r="B14" s="433" t="s">
        <v>11</v>
      </c>
      <c r="C14" s="511">
        <f>'#13-Bon Secours'!C7</f>
        <v>772</v>
      </c>
      <c r="D14" s="460">
        <f>'#13-Bon Secours'!F108</f>
        <v>9344</v>
      </c>
      <c r="E14" s="706">
        <f>'#13-Bon Secours'!F121</f>
        <v>123096854</v>
      </c>
      <c r="F14" s="706">
        <f>'#13-Bon Secours'!K152</f>
        <v>23509826.210000001</v>
      </c>
      <c r="G14" s="805">
        <f t="shared" si="0"/>
        <v>0.19098640985577098</v>
      </c>
      <c r="H14" s="706">
        <f>VLOOKUP(A14,'Rate Support'!$A$5:$H$50,8,)</f>
        <v>11100318.762617776</v>
      </c>
      <c r="I14" s="706">
        <f t="shared" si="1"/>
        <v>12409507.447382225</v>
      </c>
      <c r="J14" s="805">
        <f t="shared" si="2"/>
        <v>0.10081092281515354</v>
      </c>
      <c r="K14" s="706">
        <f>'#13-Bon Secours'!K148</f>
        <v>13885743</v>
      </c>
      <c r="L14" s="706">
        <f>VLOOKUP(A14,'narrative scores'!$A$2:$F$48,6,)</f>
        <v>182.33333333333334</v>
      </c>
      <c r="M14" s="491">
        <f t="shared" si="3"/>
        <v>0.87240829346092508</v>
      </c>
      <c r="N14" s="433"/>
    </row>
    <row r="15" spans="1:14">
      <c r="A15" s="433">
        <v>15</v>
      </c>
      <c r="B15" s="433" t="s">
        <v>18</v>
      </c>
      <c r="C15" s="515">
        <f>'#15-Franklin Square'!C7</f>
        <v>3577</v>
      </c>
      <c r="D15" s="460">
        <f>'#15-Franklin Square'!F108</f>
        <v>4315</v>
      </c>
      <c r="E15" s="706">
        <f>'#15-Franklin Square'!F121</f>
        <v>450358826</v>
      </c>
      <c r="F15" s="706">
        <f>'#15-Franklin Square'!K152</f>
        <v>37563871</v>
      </c>
      <c r="G15" s="805">
        <f t="shared" si="0"/>
        <v>8.3408759485486358E-2</v>
      </c>
      <c r="H15" s="706">
        <f>VLOOKUP(A15,'Rate Support'!$A$5:$H$50,8,)</f>
        <v>23208992.224945985</v>
      </c>
      <c r="I15" s="706">
        <f t="shared" si="1"/>
        <v>14354878.775054015</v>
      </c>
      <c r="J15" s="805">
        <f t="shared" si="2"/>
        <v>3.1874314316322545E-2</v>
      </c>
      <c r="K15" s="706">
        <f>'#15-Franklin Square'!K148</f>
        <v>14943857</v>
      </c>
      <c r="L15" s="706">
        <f>VLOOKUP(A15,'narrative scores'!$A$2:$F$48,6,)</f>
        <v>205</v>
      </c>
      <c r="M15" s="491">
        <f t="shared" si="3"/>
        <v>0.98086124401913877</v>
      </c>
      <c r="N15" s="433"/>
    </row>
    <row r="16" spans="1:14">
      <c r="A16" s="433">
        <v>16</v>
      </c>
      <c r="B16" s="433" t="s">
        <v>51</v>
      </c>
      <c r="C16" s="511" t="str">
        <f>'#16-Washington Adventist'!C7</f>
        <v>1,452</v>
      </c>
      <c r="D16" s="460">
        <f>'#16-Washington Adventist'!F108</f>
        <v>1700.5</v>
      </c>
      <c r="E16" s="706">
        <f>'#16-Washington Adventist'!F121</f>
        <v>220596102.37799999</v>
      </c>
      <c r="F16" s="706">
        <f>'#16-Washington Adventist'!K152</f>
        <v>33753277.378298208</v>
      </c>
      <c r="G16" s="805">
        <f t="shared" si="0"/>
        <v>0.15300940050364378</v>
      </c>
      <c r="H16" s="706">
        <f>VLOOKUP(A16,'Rate Support'!$A$5:$H$50,8,)</f>
        <v>9225132.1892716642</v>
      </c>
      <c r="I16" s="706">
        <f t="shared" si="1"/>
        <v>24528145.189026542</v>
      </c>
      <c r="J16" s="805">
        <f t="shared" si="2"/>
        <v>0.11119029268702406</v>
      </c>
      <c r="K16" s="706">
        <f>'#16-Washington Adventist'!K148</f>
        <v>10766756.805627588</v>
      </c>
      <c r="L16" s="706">
        <f>VLOOKUP(A16,'narrative scores'!$A$2:$F$48,6,)</f>
        <v>206</v>
      </c>
      <c r="M16" s="491">
        <f t="shared" si="3"/>
        <v>0.9856459330143541</v>
      </c>
      <c r="N16" s="433"/>
    </row>
    <row r="17" spans="1:14">
      <c r="A17" s="433">
        <v>17</v>
      </c>
      <c r="B17" s="433" t="s">
        <v>20</v>
      </c>
      <c r="C17" s="511">
        <f>'#17-Garrett County'!C7</f>
        <v>0</v>
      </c>
      <c r="D17" s="460">
        <f>'#17-Garrett County'!F108</f>
        <v>135</v>
      </c>
      <c r="E17" s="706">
        <f>'#17-Garrett County'!F121</f>
        <v>37345320</v>
      </c>
      <c r="F17" s="706">
        <f>'#17-Garrett County'!K152</f>
        <v>3491547.08</v>
      </c>
      <c r="G17" s="805">
        <f t="shared" si="0"/>
        <v>9.3493564387719802E-2</v>
      </c>
      <c r="H17" s="706">
        <f>VLOOKUP(A17,'Rate Support'!$A$5:$H$50,8,)</f>
        <v>2319127.4671215611</v>
      </c>
      <c r="I17" s="706">
        <f t="shared" si="1"/>
        <v>1172419.612878439</v>
      </c>
      <c r="J17" s="805">
        <f t="shared" si="2"/>
        <v>3.1394017051626255E-2</v>
      </c>
      <c r="K17" s="706">
        <f>'#17-Garrett County'!K148</f>
        <v>2848631</v>
      </c>
      <c r="L17" s="706">
        <f>VLOOKUP(A17,'narrative scores'!$A$2:$F$48,6,)</f>
        <v>177.33333333333334</v>
      </c>
      <c r="M17" s="491">
        <f t="shared" si="3"/>
        <v>0.84848484848484851</v>
      </c>
      <c r="N17" s="433"/>
    </row>
    <row r="18" spans="1:14">
      <c r="A18" s="433">
        <v>18</v>
      </c>
      <c r="B18" s="433" t="s">
        <v>33</v>
      </c>
      <c r="C18" s="511">
        <f>'#18-Montgomery General'!C7</f>
        <v>1200</v>
      </c>
      <c r="D18" s="460">
        <f>'#18-Montgomery General'!F108</f>
        <v>0</v>
      </c>
      <c r="E18" s="706">
        <f>'#18-Montgomery General'!F121</f>
        <v>143428725</v>
      </c>
      <c r="F18" s="706">
        <f>'#18-Montgomery General'!K152</f>
        <v>14018547</v>
      </c>
      <c r="G18" s="805">
        <f t="shared" si="0"/>
        <v>9.7738768855401878E-2</v>
      </c>
      <c r="H18" s="706">
        <f>VLOOKUP(A18,'Rate Support'!$A$5:$H$50,8,)</f>
        <v>5735334.2050451506</v>
      </c>
      <c r="I18" s="706">
        <f t="shared" si="1"/>
        <v>8283212.7949548494</v>
      </c>
      <c r="J18" s="805">
        <f t="shared" si="2"/>
        <v>5.7751421794726608E-2</v>
      </c>
      <c r="K18" s="706">
        <f>'#18-Montgomery General'!K148</f>
        <v>5999259</v>
      </c>
      <c r="L18" s="706">
        <f>VLOOKUP(A18,'narrative scores'!$A$2:$F$48,6,)</f>
        <v>201.66666666666666</v>
      </c>
      <c r="M18" s="491">
        <f t="shared" si="3"/>
        <v>0.96491228070175439</v>
      </c>
      <c r="N18" s="433"/>
    </row>
    <row r="19" spans="1:14">
      <c r="A19" s="433">
        <v>19</v>
      </c>
      <c r="B19" s="433" t="s">
        <v>35</v>
      </c>
      <c r="C19" s="511">
        <f>'#19-Pennisula General'!C7</f>
        <v>2725</v>
      </c>
      <c r="D19" s="460">
        <f>'#19-Pennisula General'!F108</f>
        <v>106</v>
      </c>
      <c r="E19" s="706">
        <f>'#19-Pennisula General'!F121</f>
        <v>369259350</v>
      </c>
      <c r="F19" s="706">
        <f>'#19-Pennisula General'!K152</f>
        <v>40401235</v>
      </c>
      <c r="G19" s="805">
        <f t="shared" si="0"/>
        <v>0.10941154232113554</v>
      </c>
      <c r="H19" s="706">
        <f>VLOOKUP(A19,'Rate Support'!$A$5:$H$50,8,)</f>
        <v>11393909.837816536</v>
      </c>
      <c r="I19" s="706">
        <f t="shared" si="1"/>
        <v>29007325.162183464</v>
      </c>
      <c r="J19" s="805">
        <f t="shared" si="2"/>
        <v>7.8555424966716386E-2</v>
      </c>
      <c r="K19" s="706">
        <f>'#19-Pennisula General'!K148</f>
        <v>16680700</v>
      </c>
      <c r="L19" s="706">
        <f>VLOOKUP(A19,'narrative scores'!$A$2:$F$48,6,)</f>
        <v>200</v>
      </c>
      <c r="M19" s="491">
        <f t="shared" si="3"/>
        <v>0.9569377990430622</v>
      </c>
      <c r="N19" s="433"/>
    </row>
    <row r="20" spans="1:14">
      <c r="A20" s="433">
        <v>22</v>
      </c>
      <c r="B20" s="433" t="s">
        <v>45</v>
      </c>
      <c r="C20" s="511">
        <f>'#22-Suburban'!C7</f>
        <v>0</v>
      </c>
      <c r="D20" s="460">
        <f>'#22-Suburban'!F108</f>
        <v>2745.76</v>
      </c>
      <c r="E20" s="706">
        <f>'#22-Suburban'!F121</f>
        <v>218872187.59999999</v>
      </c>
      <c r="F20" s="706">
        <f>'#22-Suburban'!K152</f>
        <v>22791642.432230175</v>
      </c>
      <c r="G20" s="805">
        <f t="shared" si="0"/>
        <v>0.10413220008511569</v>
      </c>
      <c r="H20" s="706">
        <f>VLOOKUP(A20,'Rate Support'!$A$5:$H$50,8,)</f>
        <v>4625528.7702032793</v>
      </c>
      <c r="I20" s="706">
        <f t="shared" si="1"/>
        <v>18166113.662026897</v>
      </c>
      <c r="J20" s="805">
        <f t="shared" si="2"/>
        <v>8.299873026913035E-2</v>
      </c>
      <c r="K20" s="706">
        <f>'#22-Suburban'!K148</f>
        <v>5177296.2699999996</v>
      </c>
      <c r="L20" s="706">
        <f>VLOOKUP(A20,'narrative scores'!$A$2:$F$48,6,)</f>
        <v>203.33333333333334</v>
      </c>
      <c r="M20" s="491">
        <f t="shared" si="3"/>
        <v>0.97288676236044658</v>
      </c>
      <c r="N20" s="433"/>
    </row>
    <row r="21" spans="1:14">
      <c r="A21" s="433">
        <v>23</v>
      </c>
      <c r="B21" s="433" t="s">
        <v>8</v>
      </c>
      <c r="C21" s="511">
        <f>'#23-Anne Arundel Medical Center'!C7</f>
        <v>4044</v>
      </c>
      <c r="D21" s="460">
        <f>'#23-Anne Arundel Medical Center'!F108</f>
        <v>1120</v>
      </c>
      <c r="E21" s="706">
        <f>'#23-Anne Arundel Medical Center'!F121</f>
        <v>516696000</v>
      </c>
      <c r="F21" s="706">
        <f>'#23-Anne Arundel Medical Center'!K152</f>
        <v>37187792.130423993</v>
      </c>
      <c r="G21" s="805">
        <f t="shared" si="0"/>
        <v>7.1972285696858485E-2</v>
      </c>
      <c r="H21" s="706">
        <f>VLOOKUP(A21,'Rate Support'!$A$5:$H$50,8,)</f>
        <v>6867149.805610531</v>
      </c>
      <c r="I21" s="706">
        <f t="shared" si="1"/>
        <v>30320642.324813463</v>
      </c>
      <c r="J21" s="805">
        <f t="shared" si="2"/>
        <v>5.8681782566177142E-2</v>
      </c>
      <c r="K21" s="706">
        <f>'#23-Anne Arundel Medical Center'!K148</f>
        <v>8859700</v>
      </c>
      <c r="L21" s="706">
        <f>VLOOKUP(A21,'narrative scores'!$A$2:$F$48,6,)</f>
        <v>192</v>
      </c>
      <c r="M21" s="491">
        <f t="shared" si="3"/>
        <v>0.91866028708133973</v>
      </c>
      <c r="N21" s="433"/>
    </row>
    <row r="22" spans="1:14">
      <c r="A22" s="433">
        <v>24</v>
      </c>
      <c r="B22" s="433" t="s">
        <v>49</v>
      </c>
      <c r="C22" s="515">
        <f>'#24-Union Memorial'!C7</f>
        <v>2348</v>
      </c>
      <c r="D22" s="460">
        <f>'#24-Union Memorial'!F108</f>
        <v>0</v>
      </c>
      <c r="E22" s="706">
        <f>'#24-Union Memorial'!F121</f>
        <v>397895616</v>
      </c>
      <c r="F22" s="706">
        <f>'#24-Union Memorial'!K152</f>
        <v>48745990</v>
      </c>
      <c r="G22" s="805">
        <f t="shared" si="0"/>
        <v>0.12250949253987257</v>
      </c>
      <c r="H22" s="706">
        <f>VLOOKUP(A22,'Rate Support'!$A$5:$H$50,8,)</f>
        <v>25378459.482642297</v>
      </c>
      <c r="I22" s="706">
        <f t="shared" si="1"/>
        <v>23367530.517357703</v>
      </c>
      <c r="J22" s="805">
        <f t="shared" si="2"/>
        <v>5.8727790851954759E-2</v>
      </c>
      <c r="K22" s="706">
        <f>'#24-Union Memorial'!K148</f>
        <v>17514687</v>
      </c>
      <c r="L22" s="706">
        <f>VLOOKUP(A22,'narrative scores'!$A$2:$F$48,6,)</f>
        <v>187.66666666666666</v>
      </c>
      <c r="M22" s="491">
        <f t="shared" si="3"/>
        <v>0.89792663476874002</v>
      </c>
      <c r="N22" s="433"/>
    </row>
    <row r="23" spans="1:14">
      <c r="A23" s="433">
        <v>27</v>
      </c>
      <c r="B23" s="433" t="s">
        <v>52</v>
      </c>
      <c r="C23" s="511">
        <f>'#27-Western Maryland Regional'!C7</f>
        <v>2087</v>
      </c>
      <c r="D23" s="460">
        <f>'#27-Western Maryland Regional'!F108</f>
        <v>462</v>
      </c>
      <c r="E23" s="706">
        <f>'#27-Western Maryland Regional'!F121</f>
        <v>290611752</v>
      </c>
      <c r="F23" s="706">
        <f>'#27-Western Maryland Regional'!K152</f>
        <v>47794802.479999997</v>
      </c>
      <c r="G23" s="805">
        <f t="shared" si="0"/>
        <v>0.16446273129381223</v>
      </c>
      <c r="H23" s="706">
        <f>VLOOKUP(A23,'Rate Support'!$A$5:$H$50,8,)</f>
        <v>11853575.226117969</v>
      </c>
      <c r="I23" s="706">
        <f t="shared" si="1"/>
        <v>35941227.253882028</v>
      </c>
      <c r="J23" s="805">
        <f t="shared" si="2"/>
        <v>0.12367437657470241</v>
      </c>
      <c r="K23" s="706">
        <f>'#27-Western Maryland Regional'!K148</f>
        <v>17477763</v>
      </c>
      <c r="L23" s="706">
        <f>VLOOKUP(A23,'narrative scores'!$A$2:$F$48,6,)</f>
        <v>207.33333333333334</v>
      </c>
      <c r="M23" s="491">
        <f t="shared" si="3"/>
        <v>0.99202551834130781</v>
      </c>
      <c r="N23" s="433"/>
    </row>
    <row r="24" spans="1:14">
      <c r="A24" s="433">
        <v>28</v>
      </c>
      <c r="B24" s="433" t="s">
        <v>44</v>
      </c>
      <c r="C24" s="511">
        <f>'#28-St. Mary''s'!C7</f>
        <v>1100</v>
      </c>
      <c r="D24" s="460">
        <f>'#28-St. Mary''s'!F108</f>
        <v>5200</v>
      </c>
      <c r="E24" s="706">
        <f>'#28-St. Mary''s'!F121</f>
        <v>122895946</v>
      </c>
      <c r="F24" s="706">
        <f>'#28-St. Mary''s'!K152</f>
        <v>11959120</v>
      </c>
      <c r="G24" s="805">
        <f t="shared" si="0"/>
        <v>9.7310939776646496E-2</v>
      </c>
      <c r="H24" s="706">
        <f>VLOOKUP(A24,'Rate Support'!$A$5:$H$50,8,)</f>
        <v>4693745.5756326681</v>
      </c>
      <c r="I24" s="706">
        <f t="shared" si="1"/>
        <v>7265374.4243673319</v>
      </c>
      <c r="J24" s="805">
        <f t="shared" si="2"/>
        <v>5.9118096738254751E-2</v>
      </c>
      <c r="K24" s="706">
        <f>'#28-St. Mary''s'!K148</f>
        <v>6250461</v>
      </c>
      <c r="L24" s="706">
        <f>VLOOKUP(A24,'narrative scores'!$A$2:$F$48,6,)</f>
        <v>203.66666666666666</v>
      </c>
      <c r="M24" s="491">
        <f t="shared" si="3"/>
        <v>0.97448165869218495</v>
      </c>
      <c r="N24" s="433"/>
    </row>
    <row r="25" spans="1:14">
      <c r="A25" s="433">
        <v>29</v>
      </c>
      <c r="B25" s="433" t="s">
        <v>26</v>
      </c>
      <c r="C25" s="511">
        <f>'#29-JH Bayview'!C7</f>
        <v>3503</v>
      </c>
      <c r="D25" s="460">
        <f>'#29-JH Bayview'!F108</f>
        <v>2797</v>
      </c>
      <c r="E25" s="706">
        <f>'#29-JH Bayview'!F121</f>
        <v>541313000</v>
      </c>
      <c r="F25" s="706">
        <f>'#29-JH Bayview'!K152</f>
        <v>63333145.603908978</v>
      </c>
      <c r="G25" s="805">
        <f t="shared" si="0"/>
        <v>0.11699912177226296</v>
      </c>
      <c r="H25" s="706">
        <f>VLOOKUP(A25,'Rate Support'!$A$5:$H$50,8,)</f>
        <v>43648453.853665054</v>
      </c>
      <c r="I25" s="706">
        <f t="shared" si="1"/>
        <v>19684691.750243925</v>
      </c>
      <c r="J25" s="805">
        <f t="shared" si="2"/>
        <v>3.6364712745202726E-2</v>
      </c>
      <c r="K25" s="706">
        <f>'#29-JH Bayview'!K148</f>
        <v>26313000</v>
      </c>
      <c r="L25" s="706">
        <f>VLOOKUP(A25,'narrative scores'!$A$2:$F$48,6,)</f>
        <v>201.66666666666666</v>
      </c>
      <c r="M25" s="491">
        <f t="shared" si="3"/>
        <v>0.96491228070175439</v>
      </c>
      <c r="N25" s="433"/>
    </row>
    <row r="26" spans="1:14">
      <c r="A26" s="433">
        <v>30</v>
      </c>
      <c r="B26" s="433" t="s">
        <v>14</v>
      </c>
      <c r="C26" s="516">
        <f>'#30-Chester River'!C7</f>
        <v>360</v>
      </c>
      <c r="D26" s="460">
        <f>'#30-Chester River'!F108</f>
        <v>500</v>
      </c>
      <c r="E26" s="706">
        <f>'#30-Chester River'!F121</f>
        <v>51866000</v>
      </c>
      <c r="F26" s="706">
        <f>'#30-Chester River'!K152</f>
        <v>12192001.906393142</v>
      </c>
      <c r="G26" s="805">
        <f t="shared" si="0"/>
        <v>0.23506732553875645</v>
      </c>
      <c r="H26" s="706">
        <f>VLOOKUP(A26,'Rate Support'!$A$5:$H$50,8,)</f>
        <v>3398462.0389680825</v>
      </c>
      <c r="I26" s="706">
        <f t="shared" si="1"/>
        <v>8793539.8674250599</v>
      </c>
      <c r="J26" s="805">
        <f t="shared" si="2"/>
        <v>0.16954343630557706</v>
      </c>
      <c r="K26" s="706">
        <f>'#30-Chester River'!K148</f>
        <v>4169000</v>
      </c>
      <c r="L26" s="706">
        <f>VLOOKUP(A26,'narrative scores'!$A$2:$F$48,6,)</f>
        <v>200</v>
      </c>
      <c r="M26" s="491">
        <f t="shared" si="3"/>
        <v>0.9569377990430622</v>
      </c>
      <c r="N26" s="433"/>
    </row>
    <row r="27" spans="1:14">
      <c r="A27" s="433">
        <v>32</v>
      </c>
      <c r="B27" s="433" t="s">
        <v>48</v>
      </c>
      <c r="C27" s="511">
        <f>'#32-Union Cecil County'!C7</f>
        <v>1200</v>
      </c>
      <c r="D27" s="460">
        <f>'#32-Union Cecil County'!F108</f>
        <v>2245</v>
      </c>
      <c r="E27" s="706">
        <f>'#32-Union Cecil County'!F121</f>
        <v>141135143</v>
      </c>
      <c r="F27" s="706">
        <f>'#32-Union Cecil County'!K152</f>
        <v>11287213</v>
      </c>
      <c r="G27" s="805">
        <f t="shared" si="0"/>
        <v>7.99745035862542E-2</v>
      </c>
      <c r="H27" s="706">
        <f>VLOOKUP(A27,'Rate Support'!$A$5:$H$50,8,)</f>
        <v>3705050.401025434</v>
      </c>
      <c r="I27" s="706">
        <f t="shared" si="1"/>
        <v>7582162.598974566</v>
      </c>
      <c r="J27" s="805">
        <f t="shared" si="2"/>
        <v>5.3722711706003415E-2</v>
      </c>
      <c r="K27" s="706">
        <f>'#32-Union Cecil County'!K148</f>
        <v>3767210</v>
      </c>
      <c r="L27" s="706">
        <f>VLOOKUP(A27,'narrative scores'!$A$2:$F$48,6,)</f>
        <v>195</v>
      </c>
      <c r="M27" s="491">
        <f t="shared" si="3"/>
        <v>0.93301435406698563</v>
      </c>
      <c r="N27" s="433"/>
    </row>
    <row r="28" spans="1:14">
      <c r="A28" s="433">
        <v>33</v>
      </c>
      <c r="B28" s="433" t="s">
        <v>13</v>
      </c>
      <c r="C28" s="511">
        <f>'#33-Carroll Hospital '!C7</f>
        <v>1975</v>
      </c>
      <c r="D28" s="460">
        <f>'#33-Carroll Hospital '!F108</f>
        <v>2080</v>
      </c>
      <c r="E28" s="706">
        <f>'#33-Carroll Hospital '!F121</f>
        <v>207816000</v>
      </c>
      <c r="F28" s="706">
        <f>'#33-Carroll Hospital '!K152</f>
        <v>18020053</v>
      </c>
      <c r="G28" s="805">
        <f t="shared" si="0"/>
        <v>8.6711576586980796E-2</v>
      </c>
      <c r="H28" s="706">
        <f>VLOOKUP(A28,'Rate Support'!$A$5:$H$50,8,)</f>
        <v>6058129.5623309752</v>
      </c>
      <c r="I28" s="706">
        <f t="shared" si="1"/>
        <v>11961923.437669024</v>
      </c>
      <c r="J28" s="805">
        <f t="shared" si="2"/>
        <v>5.7560165904786083E-2</v>
      </c>
      <c r="K28" s="706">
        <f>'#33-Carroll Hospital '!K148</f>
        <v>6198891</v>
      </c>
      <c r="L28" s="706">
        <f>VLOOKUP(A28,'narrative scores'!$A$2:$F$48,6,)</f>
        <v>207.33333333333334</v>
      </c>
      <c r="M28" s="807">
        <f t="shared" si="3"/>
        <v>0.99202551834130781</v>
      </c>
      <c r="N28" s="433"/>
    </row>
    <row r="29" spans="1:14">
      <c r="A29" s="433">
        <v>34</v>
      </c>
      <c r="B29" s="433" t="s">
        <v>23</v>
      </c>
      <c r="C29" s="511">
        <f>'#34-Harbor Hospital'!C7</f>
        <v>1367</v>
      </c>
      <c r="D29" s="460">
        <f>'#34-Harbor Hospital'!F108</f>
        <v>142</v>
      </c>
      <c r="E29" s="706">
        <f>'#34-Harbor Hospital'!F121</f>
        <v>198800877</v>
      </c>
      <c r="F29" s="706">
        <f>'#34-Harbor Hospital'!K152</f>
        <v>23286038</v>
      </c>
      <c r="G29" s="805">
        <f t="shared" si="0"/>
        <v>0.11713247120132171</v>
      </c>
      <c r="H29" s="706">
        <f>VLOOKUP(A29,'Rate Support'!$A$5:$H$50,8,)</f>
        <v>13245645.346526986</v>
      </c>
      <c r="I29" s="706">
        <f t="shared" si="1"/>
        <v>10040392.653473014</v>
      </c>
      <c r="J29" s="805">
        <f t="shared" si="2"/>
        <v>5.0504770426505786E-2</v>
      </c>
      <c r="K29" s="706">
        <f>'#34-Harbor Hospital'!K148</f>
        <v>8102570</v>
      </c>
      <c r="L29" s="706">
        <f>VLOOKUP(A29,'narrative scores'!$A$2:$F$48,6,)</f>
        <v>199.66666666666666</v>
      </c>
      <c r="M29" s="491">
        <f t="shared" si="3"/>
        <v>0.95534290271132372</v>
      </c>
      <c r="N29" s="433"/>
    </row>
    <row r="30" spans="1:14">
      <c r="A30" s="433">
        <v>35</v>
      </c>
      <c r="B30" s="433" t="s">
        <v>15</v>
      </c>
      <c r="C30" s="511">
        <f>'#35-Civista Medical Center'!C7</f>
        <v>0</v>
      </c>
      <c r="D30" s="460">
        <f>'#35-Civista Medical Center'!F108</f>
        <v>1722</v>
      </c>
      <c r="E30" s="706">
        <f>'#35-Civista Medical Center'!F121</f>
        <v>115151000</v>
      </c>
      <c r="F30" s="706">
        <f>'#35-Civista Medical Center'!K152</f>
        <v>8516295</v>
      </c>
      <c r="G30" s="805">
        <f t="shared" si="0"/>
        <v>7.3957629547290085E-2</v>
      </c>
      <c r="H30" s="706">
        <f>VLOOKUP(A30,'Rate Support'!$A$5:$H$50,8,)</f>
        <v>4823107.0778683657</v>
      </c>
      <c r="I30" s="706">
        <f t="shared" si="1"/>
        <v>3693187.9221316343</v>
      </c>
      <c r="J30" s="805">
        <f t="shared" si="2"/>
        <v>3.2072564911565113E-2</v>
      </c>
      <c r="K30" s="706">
        <f>'#35-Civista Medical Center'!K148</f>
        <v>1436027</v>
      </c>
      <c r="L30" s="706">
        <f>VLOOKUP(A30,'narrative scores'!$A$2:$F$48,6,)</f>
        <v>196.66666666666666</v>
      </c>
      <c r="M30" s="491">
        <f t="shared" si="3"/>
        <v>0.94098883572567782</v>
      </c>
      <c r="N30" s="433"/>
    </row>
    <row r="31" spans="1:14">
      <c r="A31" s="433">
        <v>37</v>
      </c>
      <c r="B31" s="433" t="s">
        <v>38</v>
      </c>
      <c r="C31" s="511">
        <f>'#37-Shore Health Easton'!C7</f>
        <v>2063</v>
      </c>
      <c r="D31" s="460">
        <f>'#37-Shore Health Easton'!F108</f>
        <v>1030</v>
      </c>
      <c r="E31" s="706">
        <f>'#37-Shore Health Easton'!F121</f>
        <v>156018000</v>
      </c>
      <c r="F31" s="706">
        <f>'#37-Shore Health Easton'!K152</f>
        <v>19296882.928185783</v>
      </c>
      <c r="G31" s="805">
        <f t="shared" si="0"/>
        <v>0.12368369629264434</v>
      </c>
      <c r="H31" s="706">
        <f>VLOOKUP(A31,'Rate Support'!$A$5:$H$50,8,)</f>
        <v>5989099.2882186901</v>
      </c>
      <c r="I31" s="706">
        <f t="shared" si="1"/>
        <v>13307783.639967093</v>
      </c>
      <c r="J31" s="805">
        <f t="shared" si="2"/>
        <v>8.5296463484771587E-2</v>
      </c>
      <c r="K31" s="706">
        <f>'#37-Shore Health Easton'!K148</f>
        <v>8301400</v>
      </c>
      <c r="L31" s="706">
        <f>VLOOKUP(A31,'narrative scores'!$A$2:$F$48,6,)</f>
        <v>199</v>
      </c>
      <c r="M31" s="491">
        <f t="shared" si="3"/>
        <v>0.95215311004784686</v>
      </c>
      <c r="N31" s="433"/>
    </row>
    <row r="32" spans="1:14">
      <c r="A32" s="433">
        <v>38</v>
      </c>
      <c r="B32" s="433" t="s">
        <v>820</v>
      </c>
      <c r="C32" s="511">
        <f>'#38-UM Midtown'!C7</f>
        <v>1383</v>
      </c>
      <c r="D32" s="460">
        <f>'#38-UM Midtown'!F108</f>
        <v>862</v>
      </c>
      <c r="E32" s="706">
        <f>'#38-UM Midtown'!F121</f>
        <v>190985000</v>
      </c>
      <c r="F32" s="706">
        <f>'#38-UM Midtown'!K152</f>
        <v>42133210.244000003</v>
      </c>
      <c r="G32" s="805">
        <f t="shared" si="0"/>
        <v>0.22061004918710894</v>
      </c>
      <c r="H32" s="706">
        <f>VLOOKUP(A32,'Rate Support'!$A$5:$H$50,8,)</f>
        <v>20157704.101587884</v>
      </c>
      <c r="I32" s="706">
        <f t="shared" si="1"/>
        <v>21975506.142412119</v>
      </c>
      <c r="J32" s="805">
        <f t="shared" si="2"/>
        <v>0.11506404242433761</v>
      </c>
      <c r="K32" s="706">
        <f>'#38-UM Midtown'!K148</f>
        <v>23597000</v>
      </c>
      <c r="L32" s="706">
        <f>VLOOKUP(A32,'narrative scores'!$A$2:$F$48,6,)</f>
        <v>181.66666666666666</v>
      </c>
      <c r="M32" s="491">
        <f t="shared" si="3"/>
        <v>0.86921850079744811</v>
      </c>
      <c r="N32" s="433"/>
    </row>
    <row r="33" spans="1:14">
      <c r="A33" s="433">
        <v>39</v>
      </c>
      <c r="B33" s="433" t="s">
        <v>12</v>
      </c>
      <c r="C33" s="511">
        <f>'#39-Calvert Memorial'!C7</f>
        <v>1141</v>
      </c>
      <c r="D33" s="460">
        <f>'#39-Calvert Memorial'!F108</f>
        <v>165</v>
      </c>
      <c r="E33" s="706">
        <f>'#39-Calvert Memorial'!F121</f>
        <v>118592518</v>
      </c>
      <c r="F33" s="706">
        <f>'#39-Calvert Memorial'!K152</f>
        <v>18620001.912724659</v>
      </c>
      <c r="G33" s="805">
        <f t="shared" si="0"/>
        <v>0.15700823480891651</v>
      </c>
      <c r="H33" s="706">
        <f>VLOOKUP(A33,'Rate Support'!$A$5:$H$50,8,)</f>
        <v>7290665.1016964447</v>
      </c>
      <c r="I33" s="706">
        <f t="shared" si="1"/>
        <v>11329336.811028214</v>
      </c>
      <c r="J33" s="805">
        <f t="shared" si="2"/>
        <v>9.5531632198147726E-2</v>
      </c>
      <c r="K33" s="706">
        <f>'#39-Calvert Memorial'!K148</f>
        <v>7447389</v>
      </c>
      <c r="L33" s="706">
        <f>VLOOKUP(A33,'narrative scores'!$A$2:$F$48,6,)</f>
        <v>174.66666666666666</v>
      </c>
      <c r="M33" s="491">
        <f t="shared" si="3"/>
        <v>0.83572567783094098</v>
      </c>
      <c r="N33" s="433"/>
    </row>
    <row r="34" spans="1:14">
      <c r="A34" s="433">
        <v>40</v>
      </c>
      <c r="B34" s="433" t="s">
        <v>34</v>
      </c>
      <c r="C34" s="511">
        <f>'#40-Northwest'!C7</f>
        <v>1642</v>
      </c>
      <c r="D34" s="460">
        <f>'#40-Northwest'!F108</f>
        <v>2180</v>
      </c>
      <c r="E34" s="706">
        <f>'#40-Northwest'!F121</f>
        <v>206698000</v>
      </c>
      <c r="F34" s="706">
        <f>'#40-Northwest'!K152</f>
        <v>16664283.7623</v>
      </c>
      <c r="G34" s="805">
        <f t="shared" si="0"/>
        <v>8.0621407862195085E-2</v>
      </c>
      <c r="H34" s="706">
        <f>VLOOKUP(A34,'Rate Support'!$A$5:$H$50,8,)</f>
        <v>3355133.0919379899</v>
      </c>
      <c r="I34" s="706">
        <f t="shared" si="1"/>
        <v>13309150.670362011</v>
      </c>
      <c r="J34" s="805">
        <f t="shared" si="2"/>
        <v>6.4389353890032849E-2</v>
      </c>
      <c r="K34" s="706">
        <f>'#40-Northwest'!K148</f>
        <v>3957922</v>
      </c>
      <c r="L34" s="706">
        <f>VLOOKUP(A34,'narrative scores'!$A$2:$F$48,6,)</f>
        <v>206.66666666666666</v>
      </c>
      <c r="M34" s="491">
        <f t="shared" si="3"/>
        <v>0.98883572567783085</v>
      </c>
      <c r="N34" s="433"/>
    </row>
    <row r="35" spans="1:14">
      <c r="A35" s="433">
        <v>43</v>
      </c>
      <c r="B35" s="433" t="s">
        <v>10</v>
      </c>
      <c r="C35" s="511">
        <f>'#43-UM Baltimore Washington'!C7</f>
        <v>2759</v>
      </c>
      <c r="D35" s="460">
        <f>'#43-UM Baltimore Washington'!F108</f>
        <v>200</v>
      </c>
      <c r="E35" s="706">
        <f>'#43-UM Baltimore Washington'!F121</f>
        <v>364852000</v>
      </c>
      <c r="F35" s="706">
        <f>'#43-UM Baltimore Washington'!K152</f>
        <v>47393711.348626211</v>
      </c>
      <c r="G35" s="805">
        <f t="shared" si="0"/>
        <v>0.12989845567141256</v>
      </c>
      <c r="H35" s="706">
        <f>VLOOKUP(A35,'Rate Support'!$A$5:$H$50,8,)</f>
        <v>20555835.144361425</v>
      </c>
      <c r="I35" s="706">
        <f t="shared" si="1"/>
        <v>26837876.204264786</v>
      </c>
      <c r="J35" s="805">
        <f t="shared" si="2"/>
        <v>7.3558254317544605E-2</v>
      </c>
      <c r="K35" s="706">
        <f>'#43-UM Baltimore Washington'!K148</f>
        <v>25709288</v>
      </c>
      <c r="L35" s="706">
        <f>VLOOKUP(A35,'narrative scores'!$A$2:$F$48,6,)</f>
        <v>201.66666666666666</v>
      </c>
      <c r="M35" s="491">
        <f t="shared" si="3"/>
        <v>0.96491228070175439</v>
      </c>
      <c r="N35" s="433"/>
    </row>
    <row r="36" spans="1:14">
      <c r="A36" s="433">
        <v>44</v>
      </c>
      <c r="B36" s="433" t="s">
        <v>21</v>
      </c>
      <c r="C36" s="511">
        <f>'#44-GBMC'!C7</f>
        <v>2603</v>
      </c>
      <c r="D36" s="460">
        <f>'#44-GBMC'!F108</f>
        <v>4264</v>
      </c>
      <c r="E36" s="706">
        <f>'#44-GBMC'!F121</f>
        <v>379063000</v>
      </c>
      <c r="F36" s="706">
        <f>'#44-GBMC'!K152</f>
        <v>18891695.949999996</v>
      </c>
      <c r="G36" s="805">
        <f t="shared" si="0"/>
        <v>4.9837879059681359E-2</v>
      </c>
      <c r="H36" s="706">
        <f>VLOOKUP(A36,'Rate Support'!$A$5:$H$50,8,)</f>
        <v>10550195.19384749</v>
      </c>
      <c r="I36" s="706">
        <f t="shared" si="1"/>
        <v>8341500.7561525051</v>
      </c>
      <c r="J36" s="805">
        <f t="shared" si="2"/>
        <v>2.2005578904172936E-2</v>
      </c>
      <c r="K36" s="706">
        <f>'#44-GBMC'!K148</f>
        <v>4616593</v>
      </c>
      <c r="L36" s="706">
        <f>VLOOKUP(A36,'narrative scores'!$A$2:$F$48,6,)</f>
        <v>166.66666666666666</v>
      </c>
      <c r="M36" s="491">
        <f t="shared" si="3"/>
        <v>0.79744816586921841</v>
      </c>
      <c r="N36" s="433"/>
    </row>
    <row r="37" spans="1:14">
      <c r="A37" s="433">
        <v>45</v>
      </c>
      <c r="B37" s="433" t="s">
        <v>31</v>
      </c>
      <c r="C37" s="511">
        <f>'#45-McCready'!C7</f>
        <v>0</v>
      </c>
      <c r="D37" s="460">
        <f>'#45-McCready'!F108</f>
        <v>76</v>
      </c>
      <c r="E37" s="706">
        <f>'#45-McCready'!F121</f>
        <v>15337808</v>
      </c>
      <c r="F37" s="706">
        <f>'#45-McCready'!K152</f>
        <v>756991.34199999995</v>
      </c>
      <c r="G37" s="805">
        <f t="shared" si="0"/>
        <v>4.9354597606124678E-2</v>
      </c>
      <c r="H37" s="706">
        <f>VLOOKUP(A37,'Rate Support'!$A$5:$H$50,8,)</f>
        <v>713485.31007080805</v>
      </c>
      <c r="I37" s="706">
        <f t="shared" si="1"/>
        <v>43506.0319291919</v>
      </c>
      <c r="J37" s="805">
        <f t="shared" si="2"/>
        <v>2.8365221372696737E-3</v>
      </c>
      <c r="K37" s="706">
        <f>'#45-McCready'!K148</f>
        <v>633321</v>
      </c>
      <c r="L37" s="706">
        <f>VLOOKUP(A37,'narrative scores'!$A$2:$F$48,6,)</f>
        <v>125</v>
      </c>
      <c r="M37" s="491">
        <f t="shared" si="3"/>
        <v>0.59808612440191389</v>
      </c>
      <c r="N37" s="433"/>
    </row>
    <row r="38" spans="1:14">
      <c r="A38" s="433">
        <v>48</v>
      </c>
      <c r="B38" s="433" t="s">
        <v>25</v>
      </c>
      <c r="C38" s="511">
        <f>'#48-Howard County'!C7</f>
        <v>2038</v>
      </c>
      <c r="D38" s="460">
        <f>'#48-Howard County'!F108</f>
        <v>485</v>
      </c>
      <c r="E38" s="706">
        <f>'#48-Howard County'!F121</f>
        <v>223533000</v>
      </c>
      <c r="F38" s="706">
        <f>'#48-Howard County'!K152</f>
        <v>20588815.920644991</v>
      </c>
      <c r="G38" s="805">
        <f t="shared" si="0"/>
        <v>9.2106382147803645E-2</v>
      </c>
      <c r="H38" s="706">
        <f>VLOOKUP(A38,'Rate Support'!$A$5:$H$50,8,)</f>
        <v>6759123.2013815977</v>
      </c>
      <c r="I38" s="706">
        <f t="shared" si="1"/>
        <v>13829692.719263393</v>
      </c>
      <c r="J38" s="805">
        <f t="shared" si="2"/>
        <v>6.1868684799396036E-2</v>
      </c>
      <c r="K38" s="706">
        <f>'#48-Howard County'!K148</f>
        <v>6093350</v>
      </c>
      <c r="L38" s="706">
        <f>VLOOKUP(A38,'narrative scores'!$A$2:$F$48,6,)</f>
        <v>199</v>
      </c>
      <c r="M38" s="491">
        <f t="shared" si="3"/>
        <v>0.95215311004784686</v>
      </c>
      <c r="N38" s="433"/>
    </row>
    <row r="39" spans="1:14">
      <c r="A39" s="433">
        <v>49</v>
      </c>
      <c r="B39" s="433" t="s">
        <v>47</v>
      </c>
      <c r="C39" s="511">
        <f>'#49-UCH Upper Chesapeake'!C7</f>
        <v>1926</v>
      </c>
      <c r="D39" s="460">
        <f>'#49-UCH Upper Chesapeake'!F108</f>
        <v>2497.6</v>
      </c>
      <c r="E39" s="706">
        <f>'#49-UCH Upper Chesapeake'!F121</f>
        <v>225852000</v>
      </c>
      <c r="F39" s="706">
        <f>'#49-UCH Upper Chesapeake'!K152</f>
        <v>14820063.711784111</v>
      </c>
      <c r="G39" s="805">
        <f t="shared" si="0"/>
        <v>6.5618474539893876E-2</v>
      </c>
      <c r="H39" s="706">
        <f>VLOOKUP(A39,'Rate Support'!$A$5:$H$50,8,)</f>
        <v>5819508.4670810429</v>
      </c>
      <c r="I39" s="706">
        <f t="shared" si="1"/>
        <v>9000555.2447030693</v>
      </c>
      <c r="J39" s="805">
        <f t="shared" si="2"/>
        <v>3.9851563168371629E-2</v>
      </c>
      <c r="K39" s="706">
        <f>'#49-UCH Upper Chesapeake'!K148</f>
        <v>5760273</v>
      </c>
      <c r="L39" s="706">
        <f>VLOOKUP(A39,'narrative scores'!$A$2:$F$48,6,)</f>
        <v>199.33333333333334</v>
      </c>
      <c r="M39" s="491">
        <f t="shared" si="3"/>
        <v>0.95374800637958534</v>
      </c>
      <c r="N39" s="433"/>
    </row>
    <row r="40" spans="1:14">
      <c r="A40" s="433">
        <v>51</v>
      </c>
      <c r="B40" s="433" t="s">
        <v>16</v>
      </c>
      <c r="C40" s="511">
        <f>'#51-Doctors Community'!C7</f>
        <v>1516</v>
      </c>
      <c r="D40" s="460">
        <f>'#51-Doctors Community'!F108</f>
        <v>1348</v>
      </c>
      <c r="E40" s="706">
        <f>'#51-Doctors Community'!F121</f>
        <v>178022901</v>
      </c>
      <c r="F40" s="706">
        <f>'#51-Doctors Community'!K152</f>
        <v>20959891.762678046</v>
      </c>
      <c r="G40" s="805">
        <f t="shared" si="0"/>
        <v>0.11773705318215237</v>
      </c>
      <c r="H40" s="706">
        <f>VLOOKUP(A40,'Rate Support'!$A$5:$H$50,8,)</f>
        <v>12095812.64783759</v>
      </c>
      <c r="I40" s="706">
        <f t="shared" si="1"/>
        <v>8864079.1148404554</v>
      </c>
      <c r="J40" s="805">
        <f t="shared" si="2"/>
        <v>4.9791791196799197E-2</v>
      </c>
      <c r="K40" s="706">
        <f>'#51-Doctors Community'!K148</f>
        <v>15889496</v>
      </c>
      <c r="L40" s="706">
        <f>VLOOKUP(A40,'narrative scores'!$A$2:$F$48,6,)</f>
        <v>193</v>
      </c>
      <c r="M40" s="491">
        <f t="shared" si="3"/>
        <v>0.92344497607655507</v>
      </c>
      <c r="N40" s="433"/>
    </row>
    <row r="41" spans="1:14">
      <c r="A41" s="433">
        <v>54</v>
      </c>
      <c r="B41" s="433" t="s">
        <v>41</v>
      </c>
      <c r="C41" s="511">
        <f>'#62-Southern Maryland'!C7</f>
        <v>1715</v>
      </c>
      <c r="D41" s="460">
        <f>'#62-Southern Maryland'!F108</f>
        <v>3004</v>
      </c>
      <c r="E41" s="706">
        <f>'#62-Southern Maryland'!F121</f>
        <v>126371201</v>
      </c>
      <c r="F41" s="706">
        <f>'#62-Southern Maryland'!K152</f>
        <v>4162373.17</v>
      </c>
      <c r="G41" s="805">
        <f t="shared" si="0"/>
        <v>3.2937672009621874E-2</v>
      </c>
      <c r="H41" s="706">
        <f>VLOOKUP(A41,'Rate Support'!$A$5:$H$50,8,)</f>
        <v>1666031.0767164133</v>
      </c>
      <c r="I41" s="706">
        <f t="shared" si="1"/>
        <v>2496342.0932835867</v>
      </c>
      <c r="J41" s="805">
        <f t="shared" si="2"/>
        <v>1.9754042642069904E-2</v>
      </c>
      <c r="K41" s="706">
        <f>'#62-Southern Maryland'!K148</f>
        <v>981819</v>
      </c>
      <c r="L41" s="706">
        <f>VLOOKUP(A41,'narrative scores'!$A$2:$F$48,6,)</f>
        <v>197</v>
      </c>
      <c r="M41" s="491">
        <f t="shared" si="3"/>
        <v>0.9425837320574163</v>
      </c>
      <c r="N41" s="433"/>
    </row>
    <row r="42" spans="1:14">
      <c r="A42" s="433">
        <v>55</v>
      </c>
      <c r="B42" s="433" t="s">
        <v>29</v>
      </c>
      <c r="C42" s="511">
        <f>-'#55-Laurel Regional'!C7</f>
        <v>0</v>
      </c>
      <c r="D42" s="460">
        <f>'#55-Laurel Regional'!F108</f>
        <v>1182</v>
      </c>
      <c r="E42" s="706">
        <f>'#55-Laurel Regional'!F121</f>
        <v>101679200</v>
      </c>
      <c r="F42" s="706">
        <f>'#55-Laurel Regional'!K152</f>
        <v>17195387.1492</v>
      </c>
      <c r="G42" s="805">
        <f t="shared" si="0"/>
        <v>0.16911410740053029</v>
      </c>
      <c r="H42" s="706">
        <f>VLOOKUP(A42,'Rate Support'!$A$5:$H$50,8,)</f>
        <v>4651573.3214419074</v>
      </c>
      <c r="I42" s="706">
        <f t="shared" si="1"/>
        <v>12543813.827758092</v>
      </c>
      <c r="J42" s="805">
        <f t="shared" si="2"/>
        <v>0.1233665668864241</v>
      </c>
      <c r="K42" s="706">
        <f>'#55-Laurel Regional'!K148</f>
        <v>5836000</v>
      </c>
      <c r="L42" s="706">
        <f>VLOOKUP(A42,'narrative scores'!$A$2:$F$48,6,)</f>
        <v>177</v>
      </c>
      <c r="M42" s="491">
        <f t="shared" si="3"/>
        <v>0.84688995215311003</v>
      </c>
      <c r="N42" s="433"/>
    </row>
    <row r="43" spans="1:14">
      <c r="A43" s="433">
        <v>60</v>
      </c>
      <c r="B43" s="433" t="s">
        <v>17</v>
      </c>
      <c r="C43" s="511">
        <f>'#60-Ft Washington'!C7</f>
        <v>0</v>
      </c>
      <c r="D43" s="460">
        <f>'#60-Ft Washington'!F108</f>
        <v>300</v>
      </c>
      <c r="E43" s="706">
        <f>'#60-Ft Washington'!F121</f>
        <v>38806279</v>
      </c>
      <c r="F43" s="706">
        <f>'#60-Ft Washington'!K152</f>
        <v>1932433.18</v>
      </c>
      <c r="G43" s="805">
        <f t="shared" si="0"/>
        <v>4.9796920235511369E-2</v>
      </c>
      <c r="H43" s="706">
        <f>VLOOKUP(A43,'Rate Support'!$A$5:$H$50,8,)</f>
        <v>1588621.3879773258</v>
      </c>
      <c r="I43" s="706">
        <f t="shared" si="1"/>
        <v>343811.79202267411</v>
      </c>
      <c r="J43" s="805">
        <f t="shared" si="2"/>
        <v>8.8596948968664088E-3</v>
      </c>
      <c r="K43" s="706">
        <f>'#60-Ft Washington'!K148</f>
        <v>1241478</v>
      </c>
      <c r="L43" s="706">
        <f>VLOOKUP(A43,'narrative scores'!$A$2:$F$48,6,)</f>
        <v>192.33333333333334</v>
      </c>
      <c r="M43" s="491">
        <f t="shared" si="3"/>
        <v>0.92025518341307821</v>
      </c>
      <c r="N43" s="433"/>
    </row>
    <row r="44" spans="1:14">
      <c r="A44" s="433">
        <v>61</v>
      </c>
      <c r="B44" s="433" t="s">
        <v>9</v>
      </c>
      <c r="C44" s="511">
        <f>'#61-Atlantic General'!C7</f>
        <v>811</v>
      </c>
      <c r="D44" s="460">
        <f>'#61-Atlantic General'!F108</f>
        <v>98.5</v>
      </c>
      <c r="E44" s="706">
        <f>'#61-Atlantic General'!F121</f>
        <v>94139531</v>
      </c>
      <c r="F44" s="706">
        <f>'#61-Atlantic General'!K152</f>
        <v>10921739.408980001</v>
      </c>
      <c r="G44" s="805">
        <f t="shared" si="0"/>
        <v>0.11601650542512264</v>
      </c>
      <c r="H44" s="706">
        <f>VLOOKUP(A44,'Rate Support'!$A$5:$H$50,8,)</f>
        <v>2914206.2809868995</v>
      </c>
      <c r="I44" s="706">
        <f t="shared" si="1"/>
        <v>8007533.1279931013</v>
      </c>
      <c r="J44" s="805">
        <f t="shared" si="2"/>
        <v>8.5060261538727033E-2</v>
      </c>
      <c r="K44" s="706">
        <f>'#61-Atlantic General'!K148</f>
        <v>3700771</v>
      </c>
      <c r="L44" s="706">
        <f>VLOOKUP(A44,'narrative scores'!$A$2:$F$48,6,)</f>
        <v>201.33333333333334</v>
      </c>
      <c r="M44" s="491">
        <f t="shared" si="3"/>
        <v>0.96331738437001602</v>
      </c>
      <c r="N44" s="433"/>
    </row>
    <row r="45" spans="1:14">
      <c r="A45" s="433">
        <v>2001</v>
      </c>
      <c r="B45" s="433" t="s">
        <v>822</v>
      </c>
      <c r="C45" s="511">
        <f>'#2001-UM Rehab &amp; Ortho'!C7</f>
        <v>686</v>
      </c>
      <c r="D45" s="460">
        <f>'#2001-UM Rehab &amp; Ortho'!F108</f>
        <v>1724</v>
      </c>
      <c r="E45" s="706">
        <f>'#2001-UM Rehab &amp; Ortho'!F121</f>
        <v>101635160</v>
      </c>
      <c r="F45" s="706">
        <f>'#2001-UM Rehab &amp; Ortho'!K152</f>
        <v>12664538.569197418</v>
      </c>
      <c r="G45" s="805">
        <f t="shared" si="0"/>
        <v>0.1246078480045431</v>
      </c>
      <c r="H45" s="706">
        <f>VLOOKUP(A45,'Rate Support'!$A$5:$H$50,8,)</f>
        <v>8446403.3701818325</v>
      </c>
      <c r="I45" s="706">
        <f t="shared" si="1"/>
        <v>4218135.1990155857</v>
      </c>
      <c r="J45" s="805">
        <f t="shared" si="2"/>
        <v>4.1502716176327031E-2</v>
      </c>
      <c r="K45" s="706">
        <f>'#2001-UM Rehab &amp; Ortho'!K148</f>
        <v>3248000</v>
      </c>
      <c r="L45" s="706">
        <f>VLOOKUP(A45,'narrative scores'!$A$2:$F$48,6,)</f>
        <v>191.66666666666666</v>
      </c>
      <c r="M45" s="491">
        <f t="shared" si="3"/>
        <v>0.91706539074960125</v>
      </c>
      <c r="N45" s="433"/>
    </row>
    <row r="46" spans="1:14">
      <c r="A46" s="433">
        <v>2004</v>
      </c>
      <c r="B46" s="433" t="s">
        <v>22</v>
      </c>
      <c r="C46" s="511">
        <f>'#2004-Good Samaritan'!C7</f>
        <v>2362</v>
      </c>
      <c r="D46" s="460">
        <f>'#2004-Good Samaritan'!F108</f>
        <v>2233</v>
      </c>
      <c r="E46" s="706">
        <f>'#2004-Good Samaritan'!F121</f>
        <v>307783651</v>
      </c>
      <c r="F46" s="706">
        <f>'#2004-Good Samaritan'!K152</f>
        <v>25221573</v>
      </c>
      <c r="G46" s="805">
        <f t="shared" si="0"/>
        <v>8.1945785352971853E-2</v>
      </c>
      <c r="H46" s="706">
        <f>VLOOKUP(A46,'Rate Support'!$A$5:$H$50,8,)</f>
        <v>11573474.739117377</v>
      </c>
      <c r="I46" s="706">
        <f t="shared" si="1"/>
        <v>13648098.260882623</v>
      </c>
      <c r="J46" s="805">
        <f t="shared" si="2"/>
        <v>4.4343155383788149E-2</v>
      </c>
      <c r="K46" s="706">
        <f>'#2004-Good Samaritan'!K148</f>
        <v>7360438</v>
      </c>
      <c r="L46" s="706">
        <f>VLOOKUP(A46,'narrative scores'!$A$2:$F$48,6,)</f>
        <v>204</v>
      </c>
      <c r="M46" s="491">
        <f t="shared" si="3"/>
        <v>0.97607655502392343</v>
      </c>
      <c r="N46" s="433"/>
    </row>
    <row r="47" spans="1:14">
      <c r="A47" s="433">
        <v>5034</v>
      </c>
      <c r="B47" s="433" t="s">
        <v>818</v>
      </c>
      <c r="C47" s="511">
        <f>'#5034-Mt. Washington Pediatric'!C7</f>
        <v>600</v>
      </c>
      <c r="D47" s="460">
        <f>'#5034-Mt. Washington Pediatric'!F108</f>
        <v>2092</v>
      </c>
      <c r="E47" s="706">
        <f>'#5034-Mt. Washington Pediatric'!F121</f>
        <v>49158000</v>
      </c>
      <c r="F47" s="706">
        <f>'#5034-Mt. Washington Pediatric'!K152</f>
        <v>1531638.5583248425</v>
      </c>
      <c r="G47" s="805">
        <f t="shared" si="0"/>
        <v>3.1157462840734822E-2</v>
      </c>
      <c r="H47" s="706">
        <v>0</v>
      </c>
      <c r="I47" s="706">
        <f t="shared" si="1"/>
        <v>1531638.5583248425</v>
      </c>
      <c r="J47" s="805">
        <f t="shared" si="2"/>
        <v>3.1157462840734822E-2</v>
      </c>
      <c r="K47" s="706">
        <f>'#5034-Mt. Washington Pediatric'!K148</f>
        <v>106878</v>
      </c>
      <c r="L47" s="706">
        <f>VLOOKUP(A47,'narrative scores'!$A$2:$F$48,6,)</f>
        <v>189</v>
      </c>
      <c r="M47" s="491">
        <f t="shared" si="3"/>
        <v>0.90430622009569372</v>
      </c>
      <c r="N47" s="433"/>
    </row>
    <row r="48" spans="1:14">
      <c r="A48" s="653">
        <v>5050</v>
      </c>
      <c r="B48" s="433" t="s">
        <v>37</v>
      </c>
      <c r="C48" s="511">
        <f>'#5050-Shady Grove Adventist'!C7</f>
        <v>2088</v>
      </c>
      <c r="D48" s="460">
        <f>'#5050-Shady Grove Adventist'!F108</f>
        <v>1730.5</v>
      </c>
      <c r="E48" s="706">
        <f>'#5050-Shady Grove Adventist'!F121</f>
        <v>292521487.21400005</v>
      </c>
      <c r="F48" s="706">
        <f>'#5050-Shady Grove Adventist'!K152</f>
        <v>25229520.524519704</v>
      </c>
      <c r="G48" s="805">
        <f t="shared" si="0"/>
        <v>8.624843516559362E-2</v>
      </c>
      <c r="H48" s="706">
        <f>VLOOKUP(A48,'Rate Support'!$A$5:$H$50,8,)</f>
        <v>8633880.9079317115</v>
      </c>
      <c r="I48" s="706">
        <f t="shared" si="1"/>
        <v>16595639.616587993</v>
      </c>
      <c r="J48" s="805">
        <f t="shared" si="2"/>
        <v>5.6733061815890176E-2</v>
      </c>
      <c r="K48" s="706">
        <f>'#5050-Shady Grove Adventist'!K148</f>
        <v>7088997.4204277303</v>
      </c>
      <c r="L48" s="706">
        <f>VLOOKUP(A48,'narrative scores'!$A$2:$F$48,6,)</f>
        <v>203.66666666666666</v>
      </c>
      <c r="M48" s="491">
        <f t="shared" si="3"/>
        <v>0.97448165869218495</v>
      </c>
      <c r="N48" s="433"/>
    </row>
    <row r="49" spans="1:14">
      <c r="A49" s="433"/>
      <c r="B49" s="433"/>
      <c r="C49" s="517"/>
      <c r="D49" s="518"/>
      <c r="E49" s="512"/>
      <c r="F49" s="512"/>
      <c r="G49" s="805"/>
      <c r="H49" s="519"/>
      <c r="I49" s="513"/>
      <c r="J49" s="805"/>
      <c r="K49" s="512"/>
      <c r="L49" s="433"/>
      <c r="M49" s="433"/>
      <c r="N49" s="433"/>
    </row>
    <row r="50" spans="1:14" s="6" customFormat="1">
      <c r="A50" s="433"/>
      <c r="B50" s="518" t="s">
        <v>53</v>
      </c>
      <c r="C50" s="520">
        <f>SUM(C2:C48)</f>
        <v>76438</v>
      </c>
      <c r="D50" s="521">
        <f>SUM(D2:D48)</f>
        <v>86836.3922529103</v>
      </c>
      <c r="E50" s="522">
        <f>SUM(E2:E48)</f>
        <v>13625073340.212002</v>
      </c>
      <c r="F50" s="522">
        <f>SUM(F2:F48)</f>
        <v>1505554322.2208085</v>
      </c>
      <c r="G50" s="804">
        <f>F50/E50</f>
        <v>0.11049880500660722</v>
      </c>
      <c r="H50" s="523">
        <f>SUM(H2:H48)</f>
        <v>793127728.36828935</v>
      </c>
      <c r="I50" s="524">
        <f>SUM(I2:I48)</f>
        <v>712426593.85251915</v>
      </c>
      <c r="J50" s="804">
        <f>I50/E50</f>
        <v>5.2287908920821559E-2</v>
      </c>
      <c r="K50" s="522">
        <f>SUM(K2:K48)</f>
        <v>518234531.73605531</v>
      </c>
      <c r="L50" s="433"/>
      <c r="M50" s="433"/>
      <c r="N50" s="433"/>
    </row>
    <row r="51" spans="1:14" s="5" customFormat="1">
      <c r="A51" s="518"/>
      <c r="B51" s="518"/>
      <c r="C51" s="517"/>
      <c r="D51" s="518"/>
      <c r="E51" s="522"/>
      <c r="F51" s="522"/>
      <c r="G51" s="806"/>
      <c r="H51" s="523"/>
      <c r="I51" s="513"/>
      <c r="J51" s="525"/>
      <c r="K51" s="522"/>
      <c r="L51" s="782">
        <f>MEDIAN(L2:L48)</f>
        <v>199</v>
      </c>
      <c r="M51" s="785">
        <f>MEDIAN(M2:M48)</f>
        <v>0.95215311004784686</v>
      </c>
      <c r="N51" s="518" t="s">
        <v>67</v>
      </c>
    </row>
    <row r="52" spans="1:14" s="5" customFormat="1">
      <c r="A52" s="518"/>
      <c r="B52" s="518" t="s">
        <v>54</v>
      </c>
      <c r="C52" s="520">
        <f>AVERAGE(C2:C48)</f>
        <v>1698.6222222222223</v>
      </c>
      <c r="D52" s="520">
        <f>AVERAGE(D2:D48)</f>
        <v>1847.5828138917086</v>
      </c>
      <c r="E52" s="526"/>
      <c r="F52" s="526"/>
      <c r="G52" s="804">
        <f>AVERAGE(G2:G48)</f>
        <v>0.11115941337475684</v>
      </c>
      <c r="H52" s="518"/>
      <c r="I52" s="524"/>
      <c r="J52" s="804">
        <f>AVERAGE(J2:J48)</f>
        <v>6.295600368284418E-2</v>
      </c>
      <c r="K52" s="522"/>
      <c r="L52" s="783">
        <f>AVERAGE(L2:L48)</f>
        <v>193.94326241134752</v>
      </c>
      <c r="M52" s="785">
        <f>AVERAGE(M2:M48)</f>
        <v>0.92795819335572938</v>
      </c>
      <c r="N52" s="518" t="s">
        <v>68</v>
      </c>
    </row>
    <row r="53" spans="1:14">
      <c r="A53" s="433"/>
      <c r="B53" s="433"/>
      <c r="C53" s="515"/>
      <c r="D53" s="433"/>
      <c r="E53" s="512"/>
      <c r="F53" s="512"/>
      <c r="G53" s="805"/>
      <c r="H53" s="519"/>
      <c r="I53" s="513"/>
      <c r="J53" s="491"/>
      <c r="K53" s="512"/>
      <c r="L53" s="518"/>
      <c r="M53" s="433"/>
      <c r="N53" s="433"/>
    </row>
    <row r="54" spans="1:14">
      <c r="C54" s="808"/>
      <c r="D54" s="808"/>
      <c r="E54" s="808"/>
      <c r="F54" s="808"/>
      <c r="G54" s="808"/>
      <c r="H54" s="808"/>
      <c r="I54" s="808"/>
      <c r="J54" s="808"/>
    </row>
    <row r="55" spans="1:14">
      <c r="C55" s="4"/>
      <c r="D55" s="8"/>
      <c r="E55" s="502"/>
      <c r="F55" s="502"/>
      <c r="G55" s="498"/>
      <c r="H55" s="7"/>
      <c r="I55" s="501"/>
      <c r="J55" s="498"/>
    </row>
    <row r="58" spans="1:14">
      <c r="D58" s="761"/>
    </row>
  </sheetData>
  <sortState ref="A2:M48">
    <sortCondition ref="A2:A48"/>
  </sortState>
  <dataConsolidate/>
  <mergeCells count="1">
    <mergeCell ref="C54:J54"/>
  </mergeCells>
  <pageMargins left="0.7" right="0.7" top="0.75" bottom="0.75" header="0.3" footer="0.3"/>
  <pageSetup paperSize="5" scale="62" orientation="landscape" r:id="rId1"/>
  <headerFooter>
    <oddHeader xml:space="preserve">&amp;LATTACHMENT II
&amp;CFY 2013 CB Analysis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20"/>
  <sheetViews>
    <sheetView view="pageBreakPreview" zoomScaleNormal="100" zoomScaleSheetLayoutView="100" workbookViewId="0">
      <selection activeCell="C4" sqref="C4"/>
    </sheetView>
  </sheetViews>
  <sheetFormatPr defaultRowHeight="12.75"/>
  <cols>
    <col min="1" max="1" width="6.28515625" style="40" customWidth="1"/>
    <col min="2" max="2" width="4.42578125" style="40" customWidth="1"/>
    <col min="3" max="3" width="56.140625" style="40" bestFit="1" customWidth="1"/>
    <col min="4" max="4" width="16.5703125" style="40" hidden="1" customWidth="1"/>
    <col min="5" max="5" width="0.42578125" style="40" hidden="1" customWidth="1"/>
    <col min="6" max="6" width="28.140625" style="40" customWidth="1"/>
    <col min="7" max="7" width="19.28515625" style="40" bestFit="1" customWidth="1"/>
    <col min="8" max="8" width="15.7109375" style="40" bestFit="1" customWidth="1"/>
    <col min="9" max="9" width="16.28515625" style="40" bestFit="1" customWidth="1"/>
    <col min="10" max="10" width="16.5703125" style="40" bestFit="1" customWidth="1"/>
    <col min="11" max="11" width="16.42578125" style="40" bestFit="1" customWidth="1"/>
    <col min="12" max="12" width="15.5703125" style="40" bestFit="1" customWidth="1"/>
    <col min="13" max="13" width="14.85546875" style="40" bestFit="1" customWidth="1"/>
    <col min="14" max="14" width="16" style="40" bestFit="1" customWidth="1"/>
    <col min="15" max="15" width="14.85546875" style="40" bestFit="1" customWidth="1"/>
    <col min="16" max="16" width="16" style="40" bestFit="1" customWidth="1"/>
    <col min="17" max="17" width="12.7109375" style="40" bestFit="1" customWidth="1"/>
    <col min="18" max="18" width="14.85546875" style="40" bestFit="1" customWidth="1"/>
    <col min="19" max="256" width="9.140625" style="40"/>
    <col min="257" max="257" width="6.28515625" style="40" customWidth="1"/>
    <col min="258" max="258" width="4.42578125" style="40" customWidth="1"/>
    <col min="259" max="259" width="38.42578125" style="40" customWidth="1"/>
    <col min="260" max="261" width="0" style="40" hidden="1" customWidth="1"/>
    <col min="262" max="262" width="28.140625" style="40" customWidth="1"/>
    <col min="263" max="263" width="19.28515625" style="40" bestFit="1" customWidth="1"/>
    <col min="264" max="264" width="18" style="40" bestFit="1" customWidth="1"/>
    <col min="265" max="265" width="16.28515625" style="40" bestFit="1" customWidth="1"/>
    <col min="266" max="266" width="16.5703125" style="40" bestFit="1" customWidth="1"/>
    <col min="267" max="267" width="16.42578125" style="40" bestFit="1" customWidth="1"/>
    <col min="268" max="268" width="15.5703125" style="40" bestFit="1" customWidth="1"/>
    <col min="269" max="269" width="14.85546875" style="40" bestFit="1" customWidth="1"/>
    <col min="270" max="270" width="16" style="40" bestFit="1" customWidth="1"/>
    <col min="271" max="271" width="14.85546875" style="40" bestFit="1" customWidth="1"/>
    <col min="272" max="272" width="16" style="40" bestFit="1" customWidth="1"/>
    <col min="273" max="273" width="12.7109375" style="40" bestFit="1" customWidth="1"/>
    <col min="274" max="274" width="14.85546875" style="40" bestFit="1" customWidth="1"/>
    <col min="275" max="512" width="9.140625" style="40"/>
    <col min="513" max="513" width="6.28515625" style="40" customWidth="1"/>
    <col min="514" max="514" width="4.42578125" style="40" customWidth="1"/>
    <col min="515" max="515" width="38.42578125" style="40" customWidth="1"/>
    <col min="516" max="517" width="0" style="40" hidden="1" customWidth="1"/>
    <col min="518" max="518" width="28.140625" style="40" customWidth="1"/>
    <col min="519" max="519" width="19.28515625" style="40" bestFit="1" customWidth="1"/>
    <col min="520" max="520" width="18" style="40" bestFit="1" customWidth="1"/>
    <col min="521" max="521" width="16.28515625" style="40" bestFit="1" customWidth="1"/>
    <col min="522" max="522" width="16.5703125" style="40" bestFit="1" customWidth="1"/>
    <col min="523" max="523" width="16.42578125" style="40" bestFit="1" customWidth="1"/>
    <col min="524" max="524" width="15.5703125" style="40" bestFit="1" customWidth="1"/>
    <col min="525" max="525" width="14.85546875" style="40" bestFit="1" customWidth="1"/>
    <col min="526" max="526" width="16" style="40" bestFit="1" customWidth="1"/>
    <col min="527" max="527" width="14.85546875" style="40" bestFit="1" customWidth="1"/>
    <col min="528" max="528" width="16" style="40" bestFit="1" customWidth="1"/>
    <col min="529" max="529" width="12.7109375" style="40" bestFit="1" customWidth="1"/>
    <col min="530" max="530" width="14.85546875" style="40" bestFit="1" customWidth="1"/>
    <col min="531" max="768" width="9.140625" style="40"/>
    <col min="769" max="769" width="6.28515625" style="40" customWidth="1"/>
    <col min="770" max="770" width="4.42578125" style="40" customWidth="1"/>
    <col min="771" max="771" width="38.42578125" style="40" customWidth="1"/>
    <col min="772" max="773" width="0" style="40" hidden="1" customWidth="1"/>
    <col min="774" max="774" width="28.140625" style="40" customWidth="1"/>
    <col min="775" max="775" width="19.28515625" style="40" bestFit="1" customWidth="1"/>
    <col min="776" max="776" width="18" style="40" bestFit="1" customWidth="1"/>
    <col min="777" max="777" width="16.28515625" style="40" bestFit="1" customWidth="1"/>
    <col min="778" max="778" width="16.5703125" style="40" bestFit="1" customWidth="1"/>
    <col min="779" max="779" width="16.42578125" style="40" bestFit="1" customWidth="1"/>
    <col min="780" max="780" width="15.5703125" style="40" bestFit="1" customWidth="1"/>
    <col min="781" max="781" width="14.85546875" style="40" bestFit="1" customWidth="1"/>
    <col min="782" max="782" width="16" style="40" bestFit="1" customWidth="1"/>
    <col min="783" max="783" width="14.85546875" style="40" bestFit="1" customWidth="1"/>
    <col min="784" max="784" width="16" style="40" bestFit="1" customWidth="1"/>
    <col min="785" max="785" width="12.7109375" style="40" bestFit="1" customWidth="1"/>
    <col min="786" max="786" width="14.85546875" style="40" bestFit="1" customWidth="1"/>
    <col min="787" max="1024" width="9.140625" style="40"/>
    <col min="1025" max="1025" width="6.28515625" style="40" customWidth="1"/>
    <col min="1026" max="1026" width="4.42578125" style="40" customWidth="1"/>
    <col min="1027" max="1027" width="38.42578125" style="40" customWidth="1"/>
    <col min="1028" max="1029" width="0" style="40" hidden="1" customWidth="1"/>
    <col min="1030" max="1030" width="28.140625" style="40" customWidth="1"/>
    <col min="1031" max="1031" width="19.28515625" style="40" bestFit="1" customWidth="1"/>
    <col min="1032" max="1032" width="18" style="40" bestFit="1" customWidth="1"/>
    <col min="1033" max="1033" width="16.28515625" style="40" bestFit="1" customWidth="1"/>
    <col min="1034" max="1034" width="16.5703125" style="40" bestFit="1" customWidth="1"/>
    <col min="1035" max="1035" width="16.42578125" style="40" bestFit="1" customWidth="1"/>
    <col min="1036" max="1036" width="15.5703125" style="40" bestFit="1" customWidth="1"/>
    <col min="1037" max="1037" width="14.85546875" style="40" bestFit="1" customWidth="1"/>
    <col min="1038" max="1038" width="16" style="40" bestFit="1" customWidth="1"/>
    <col min="1039" max="1039" width="14.85546875" style="40" bestFit="1" customWidth="1"/>
    <col min="1040" max="1040" width="16" style="40" bestFit="1" customWidth="1"/>
    <col min="1041" max="1041" width="12.7109375" style="40" bestFit="1" customWidth="1"/>
    <col min="1042" max="1042" width="14.85546875" style="40" bestFit="1" customWidth="1"/>
    <col min="1043" max="1280" width="9.140625" style="40"/>
    <col min="1281" max="1281" width="6.28515625" style="40" customWidth="1"/>
    <col min="1282" max="1282" width="4.42578125" style="40" customWidth="1"/>
    <col min="1283" max="1283" width="38.42578125" style="40" customWidth="1"/>
    <col min="1284" max="1285" width="0" style="40" hidden="1" customWidth="1"/>
    <col min="1286" max="1286" width="28.140625" style="40" customWidth="1"/>
    <col min="1287" max="1287" width="19.28515625" style="40" bestFit="1" customWidth="1"/>
    <col min="1288" max="1288" width="18" style="40" bestFit="1" customWidth="1"/>
    <col min="1289" max="1289" width="16.28515625" style="40" bestFit="1" customWidth="1"/>
    <col min="1290" max="1290" width="16.5703125" style="40" bestFit="1" customWidth="1"/>
    <col min="1291" max="1291" width="16.42578125" style="40" bestFit="1" customWidth="1"/>
    <col min="1292" max="1292" width="15.5703125" style="40" bestFit="1" customWidth="1"/>
    <col min="1293" max="1293" width="14.85546875" style="40" bestFit="1" customWidth="1"/>
    <col min="1294" max="1294" width="16" style="40" bestFit="1" customWidth="1"/>
    <col min="1295" max="1295" width="14.85546875" style="40" bestFit="1" customWidth="1"/>
    <col min="1296" max="1296" width="16" style="40" bestFit="1" customWidth="1"/>
    <col min="1297" max="1297" width="12.7109375" style="40" bestFit="1" customWidth="1"/>
    <col min="1298" max="1298" width="14.85546875" style="40" bestFit="1" customWidth="1"/>
    <col min="1299" max="1536" width="9.140625" style="40"/>
    <col min="1537" max="1537" width="6.28515625" style="40" customWidth="1"/>
    <col min="1538" max="1538" width="4.42578125" style="40" customWidth="1"/>
    <col min="1539" max="1539" width="38.42578125" style="40" customWidth="1"/>
    <col min="1540" max="1541" width="0" style="40" hidden="1" customWidth="1"/>
    <col min="1542" max="1542" width="28.140625" style="40" customWidth="1"/>
    <col min="1543" max="1543" width="19.28515625" style="40" bestFit="1" customWidth="1"/>
    <col min="1544" max="1544" width="18" style="40" bestFit="1" customWidth="1"/>
    <col min="1545" max="1545" width="16.28515625" style="40" bestFit="1" customWidth="1"/>
    <col min="1546" max="1546" width="16.5703125" style="40" bestFit="1" customWidth="1"/>
    <col min="1547" max="1547" width="16.42578125" style="40" bestFit="1" customWidth="1"/>
    <col min="1548" max="1548" width="15.5703125" style="40" bestFit="1" customWidth="1"/>
    <col min="1549" max="1549" width="14.85546875" style="40" bestFit="1" customWidth="1"/>
    <col min="1550" max="1550" width="16" style="40" bestFit="1" customWidth="1"/>
    <col min="1551" max="1551" width="14.85546875" style="40" bestFit="1" customWidth="1"/>
    <col min="1552" max="1552" width="16" style="40" bestFit="1" customWidth="1"/>
    <col min="1553" max="1553" width="12.7109375" style="40" bestFit="1" customWidth="1"/>
    <col min="1554" max="1554" width="14.85546875" style="40" bestFit="1" customWidth="1"/>
    <col min="1555" max="1792" width="9.140625" style="40"/>
    <col min="1793" max="1793" width="6.28515625" style="40" customWidth="1"/>
    <col min="1794" max="1794" width="4.42578125" style="40" customWidth="1"/>
    <col min="1795" max="1795" width="38.42578125" style="40" customWidth="1"/>
    <col min="1796" max="1797" width="0" style="40" hidden="1" customWidth="1"/>
    <col min="1798" max="1798" width="28.140625" style="40" customWidth="1"/>
    <col min="1799" max="1799" width="19.28515625" style="40" bestFit="1" customWidth="1"/>
    <col min="1800" max="1800" width="18" style="40" bestFit="1" customWidth="1"/>
    <col min="1801" max="1801" width="16.28515625" style="40" bestFit="1" customWidth="1"/>
    <col min="1802" max="1802" width="16.5703125" style="40" bestFit="1" customWidth="1"/>
    <col min="1803" max="1803" width="16.42578125" style="40" bestFit="1" customWidth="1"/>
    <col min="1804" max="1804" width="15.5703125" style="40" bestFit="1" customWidth="1"/>
    <col min="1805" max="1805" width="14.85546875" style="40" bestFit="1" customWidth="1"/>
    <col min="1806" max="1806" width="16" style="40" bestFit="1" customWidth="1"/>
    <col min="1807" max="1807" width="14.85546875" style="40" bestFit="1" customWidth="1"/>
    <col min="1808" max="1808" width="16" style="40" bestFit="1" customWidth="1"/>
    <col min="1809" max="1809" width="12.7109375" style="40" bestFit="1" customWidth="1"/>
    <col min="1810" max="1810" width="14.85546875" style="40" bestFit="1" customWidth="1"/>
    <col min="1811" max="2048" width="9.140625" style="40"/>
    <col min="2049" max="2049" width="6.28515625" style="40" customWidth="1"/>
    <col min="2050" max="2050" width="4.42578125" style="40" customWidth="1"/>
    <col min="2051" max="2051" width="38.42578125" style="40" customWidth="1"/>
    <col min="2052" max="2053" width="0" style="40" hidden="1" customWidth="1"/>
    <col min="2054" max="2054" width="28.140625" style="40" customWidth="1"/>
    <col min="2055" max="2055" width="19.28515625" style="40" bestFit="1" customWidth="1"/>
    <col min="2056" max="2056" width="18" style="40" bestFit="1" customWidth="1"/>
    <col min="2057" max="2057" width="16.28515625" style="40" bestFit="1" customWidth="1"/>
    <col min="2058" max="2058" width="16.5703125" style="40" bestFit="1" customWidth="1"/>
    <col min="2059" max="2059" width="16.42578125" style="40" bestFit="1" customWidth="1"/>
    <col min="2060" max="2060" width="15.5703125" style="40" bestFit="1" customWidth="1"/>
    <col min="2061" max="2061" width="14.85546875" style="40" bestFit="1" customWidth="1"/>
    <col min="2062" max="2062" width="16" style="40" bestFit="1" customWidth="1"/>
    <col min="2063" max="2063" width="14.85546875" style="40" bestFit="1" customWidth="1"/>
    <col min="2064" max="2064" width="16" style="40" bestFit="1" customWidth="1"/>
    <col min="2065" max="2065" width="12.7109375" style="40" bestFit="1" customWidth="1"/>
    <col min="2066" max="2066" width="14.85546875" style="40" bestFit="1" customWidth="1"/>
    <col min="2067" max="2304" width="9.140625" style="40"/>
    <col min="2305" max="2305" width="6.28515625" style="40" customWidth="1"/>
    <col min="2306" max="2306" width="4.42578125" style="40" customWidth="1"/>
    <col min="2307" max="2307" width="38.42578125" style="40" customWidth="1"/>
    <col min="2308" max="2309" width="0" style="40" hidden="1" customWidth="1"/>
    <col min="2310" max="2310" width="28.140625" style="40" customWidth="1"/>
    <col min="2311" max="2311" width="19.28515625" style="40" bestFit="1" customWidth="1"/>
    <col min="2312" max="2312" width="18" style="40" bestFit="1" customWidth="1"/>
    <col min="2313" max="2313" width="16.28515625" style="40" bestFit="1" customWidth="1"/>
    <col min="2314" max="2314" width="16.5703125" style="40" bestFit="1" customWidth="1"/>
    <col min="2315" max="2315" width="16.42578125" style="40" bestFit="1" customWidth="1"/>
    <col min="2316" max="2316" width="15.5703125" style="40" bestFit="1" customWidth="1"/>
    <col min="2317" max="2317" width="14.85546875" style="40" bestFit="1" customWidth="1"/>
    <col min="2318" max="2318" width="16" style="40" bestFit="1" customWidth="1"/>
    <col min="2319" max="2319" width="14.85546875" style="40" bestFit="1" customWidth="1"/>
    <col min="2320" max="2320" width="16" style="40" bestFit="1" customWidth="1"/>
    <col min="2321" max="2321" width="12.7109375" style="40" bestFit="1" customWidth="1"/>
    <col min="2322" max="2322" width="14.85546875" style="40" bestFit="1" customWidth="1"/>
    <col min="2323" max="2560" width="9.140625" style="40"/>
    <col min="2561" max="2561" width="6.28515625" style="40" customWidth="1"/>
    <col min="2562" max="2562" width="4.42578125" style="40" customWidth="1"/>
    <col min="2563" max="2563" width="38.42578125" style="40" customWidth="1"/>
    <col min="2564" max="2565" width="0" style="40" hidden="1" customWidth="1"/>
    <col min="2566" max="2566" width="28.140625" style="40" customWidth="1"/>
    <col min="2567" max="2567" width="19.28515625" style="40" bestFit="1" customWidth="1"/>
    <col min="2568" max="2568" width="18" style="40" bestFit="1" customWidth="1"/>
    <col min="2569" max="2569" width="16.28515625" style="40" bestFit="1" customWidth="1"/>
    <col min="2570" max="2570" width="16.5703125" style="40" bestFit="1" customWidth="1"/>
    <col min="2571" max="2571" width="16.42578125" style="40" bestFit="1" customWidth="1"/>
    <col min="2572" max="2572" width="15.5703125" style="40" bestFit="1" customWidth="1"/>
    <col min="2573" max="2573" width="14.85546875" style="40" bestFit="1" customWidth="1"/>
    <col min="2574" max="2574" width="16" style="40" bestFit="1" customWidth="1"/>
    <col min="2575" max="2575" width="14.85546875" style="40" bestFit="1" customWidth="1"/>
    <col min="2576" max="2576" width="16" style="40" bestFit="1" customWidth="1"/>
    <col min="2577" max="2577" width="12.7109375" style="40" bestFit="1" customWidth="1"/>
    <col min="2578" max="2578" width="14.85546875" style="40" bestFit="1" customWidth="1"/>
    <col min="2579" max="2816" width="9.140625" style="40"/>
    <col min="2817" max="2817" width="6.28515625" style="40" customWidth="1"/>
    <col min="2818" max="2818" width="4.42578125" style="40" customWidth="1"/>
    <col min="2819" max="2819" width="38.42578125" style="40" customWidth="1"/>
    <col min="2820" max="2821" width="0" style="40" hidden="1" customWidth="1"/>
    <col min="2822" max="2822" width="28.140625" style="40" customWidth="1"/>
    <col min="2823" max="2823" width="19.28515625" style="40" bestFit="1" customWidth="1"/>
    <col min="2824" max="2824" width="18" style="40" bestFit="1" customWidth="1"/>
    <col min="2825" max="2825" width="16.28515625" style="40" bestFit="1" customWidth="1"/>
    <col min="2826" max="2826" width="16.5703125" style="40" bestFit="1" customWidth="1"/>
    <col min="2827" max="2827" width="16.42578125" style="40" bestFit="1" customWidth="1"/>
    <col min="2828" max="2828" width="15.5703125" style="40" bestFit="1" customWidth="1"/>
    <col min="2829" max="2829" width="14.85546875" style="40" bestFit="1" customWidth="1"/>
    <col min="2830" max="2830" width="16" style="40" bestFit="1" customWidth="1"/>
    <col min="2831" max="2831" width="14.85546875" style="40" bestFit="1" customWidth="1"/>
    <col min="2832" max="2832" width="16" style="40" bestFit="1" customWidth="1"/>
    <col min="2833" max="2833" width="12.7109375" style="40" bestFit="1" customWidth="1"/>
    <col min="2834" max="2834" width="14.85546875" style="40" bestFit="1" customWidth="1"/>
    <col min="2835" max="3072" width="9.140625" style="40"/>
    <col min="3073" max="3073" width="6.28515625" style="40" customWidth="1"/>
    <col min="3074" max="3074" width="4.42578125" style="40" customWidth="1"/>
    <col min="3075" max="3075" width="38.42578125" style="40" customWidth="1"/>
    <col min="3076" max="3077" width="0" style="40" hidden="1" customWidth="1"/>
    <col min="3078" max="3078" width="28.140625" style="40" customWidth="1"/>
    <col min="3079" max="3079" width="19.28515625" style="40" bestFit="1" customWidth="1"/>
    <col min="3080" max="3080" width="18" style="40" bestFit="1" customWidth="1"/>
    <col min="3081" max="3081" width="16.28515625" style="40" bestFit="1" customWidth="1"/>
    <col min="3082" max="3082" width="16.5703125" style="40" bestFit="1" customWidth="1"/>
    <col min="3083" max="3083" width="16.42578125" style="40" bestFit="1" customWidth="1"/>
    <col min="3084" max="3084" width="15.5703125" style="40" bestFit="1" customWidth="1"/>
    <col min="3085" max="3085" width="14.85546875" style="40" bestFit="1" customWidth="1"/>
    <col min="3086" max="3086" width="16" style="40" bestFit="1" customWidth="1"/>
    <col min="3087" max="3087" width="14.85546875" style="40" bestFit="1" customWidth="1"/>
    <col min="3088" max="3088" width="16" style="40" bestFit="1" customWidth="1"/>
    <col min="3089" max="3089" width="12.7109375" style="40" bestFit="1" customWidth="1"/>
    <col min="3090" max="3090" width="14.85546875" style="40" bestFit="1" customWidth="1"/>
    <col min="3091" max="3328" width="9.140625" style="40"/>
    <col min="3329" max="3329" width="6.28515625" style="40" customWidth="1"/>
    <col min="3330" max="3330" width="4.42578125" style="40" customWidth="1"/>
    <col min="3331" max="3331" width="38.42578125" style="40" customWidth="1"/>
    <col min="3332" max="3333" width="0" style="40" hidden="1" customWidth="1"/>
    <col min="3334" max="3334" width="28.140625" style="40" customWidth="1"/>
    <col min="3335" max="3335" width="19.28515625" style="40" bestFit="1" customWidth="1"/>
    <col min="3336" max="3336" width="18" style="40" bestFit="1" customWidth="1"/>
    <col min="3337" max="3337" width="16.28515625" style="40" bestFit="1" customWidth="1"/>
    <col min="3338" max="3338" width="16.5703125" style="40" bestFit="1" customWidth="1"/>
    <col min="3339" max="3339" width="16.42578125" style="40" bestFit="1" customWidth="1"/>
    <col min="3340" max="3340" width="15.5703125" style="40" bestFit="1" customWidth="1"/>
    <col min="3341" max="3341" width="14.85546875" style="40" bestFit="1" customWidth="1"/>
    <col min="3342" max="3342" width="16" style="40" bestFit="1" customWidth="1"/>
    <col min="3343" max="3343" width="14.85546875" style="40" bestFit="1" customWidth="1"/>
    <col min="3344" max="3344" width="16" style="40" bestFit="1" customWidth="1"/>
    <col min="3345" max="3345" width="12.7109375" style="40" bestFit="1" customWidth="1"/>
    <col min="3346" max="3346" width="14.85546875" style="40" bestFit="1" customWidth="1"/>
    <col min="3347" max="3584" width="9.140625" style="40"/>
    <col min="3585" max="3585" width="6.28515625" style="40" customWidth="1"/>
    <col min="3586" max="3586" width="4.42578125" style="40" customWidth="1"/>
    <col min="3587" max="3587" width="38.42578125" style="40" customWidth="1"/>
    <col min="3588" max="3589" width="0" style="40" hidden="1" customWidth="1"/>
    <col min="3590" max="3590" width="28.140625" style="40" customWidth="1"/>
    <col min="3591" max="3591" width="19.28515625" style="40" bestFit="1" customWidth="1"/>
    <col min="3592" max="3592" width="18" style="40" bestFit="1" customWidth="1"/>
    <col min="3593" max="3593" width="16.28515625" style="40" bestFit="1" customWidth="1"/>
    <col min="3594" max="3594" width="16.5703125" style="40" bestFit="1" customWidth="1"/>
    <col min="3595" max="3595" width="16.42578125" style="40" bestFit="1" customWidth="1"/>
    <col min="3596" max="3596" width="15.5703125" style="40" bestFit="1" customWidth="1"/>
    <col min="3597" max="3597" width="14.85546875" style="40" bestFit="1" customWidth="1"/>
    <col min="3598" max="3598" width="16" style="40" bestFit="1" customWidth="1"/>
    <col min="3599" max="3599" width="14.85546875" style="40" bestFit="1" customWidth="1"/>
    <col min="3600" max="3600" width="16" style="40" bestFit="1" customWidth="1"/>
    <col min="3601" max="3601" width="12.7109375" style="40" bestFit="1" customWidth="1"/>
    <col min="3602" max="3602" width="14.85546875" style="40" bestFit="1" customWidth="1"/>
    <col min="3603" max="3840" width="9.140625" style="40"/>
    <col min="3841" max="3841" width="6.28515625" style="40" customWidth="1"/>
    <col min="3842" max="3842" width="4.42578125" style="40" customWidth="1"/>
    <col min="3843" max="3843" width="38.42578125" style="40" customWidth="1"/>
    <col min="3844" max="3845" width="0" style="40" hidden="1" customWidth="1"/>
    <col min="3846" max="3846" width="28.140625" style="40" customWidth="1"/>
    <col min="3847" max="3847" width="19.28515625" style="40" bestFit="1" customWidth="1"/>
    <col min="3848" max="3848" width="18" style="40" bestFit="1" customWidth="1"/>
    <col min="3849" max="3849" width="16.28515625" style="40" bestFit="1" customWidth="1"/>
    <col min="3850" max="3850" width="16.5703125" style="40" bestFit="1" customWidth="1"/>
    <col min="3851" max="3851" width="16.42578125" style="40" bestFit="1" customWidth="1"/>
    <col min="3852" max="3852" width="15.5703125" style="40" bestFit="1" customWidth="1"/>
    <col min="3853" max="3853" width="14.85546875" style="40" bestFit="1" customWidth="1"/>
    <col min="3854" max="3854" width="16" style="40" bestFit="1" customWidth="1"/>
    <col min="3855" max="3855" width="14.85546875" style="40" bestFit="1" customWidth="1"/>
    <col min="3856" max="3856" width="16" style="40" bestFit="1" customWidth="1"/>
    <col min="3857" max="3857" width="12.7109375" style="40" bestFit="1" customWidth="1"/>
    <col min="3858" max="3858" width="14.85546875" style="40" bestFit="1" customWidth="1"/>
    <col min="3859" max="4096" width="9.140625" style="40"/>
    <col min="4097" max="4097" width="6.28515625" style="40" customWidth="1"/>
    <col min="4098" max="4098" width="4.42578125" style="40" customWidth="1"/>
    <col min="4099" max="4099" width="38.42578125" style="40" customWidth="1"/>
    <col min="4100" max="4101" width="0" style="40" hidden="1" customWidth="1"/>
    <col min="4102" max="4102" width="28.140625" style="40" customWidth="1"/>
    <col min="4103" max="4103" width="19.28515625" style="40" bestFit="1" customWidth="1"/>
    <col min="4104" max="4104" width="18" style="40" bestFit="1" customWidth="1"/>
    <col min="4105" max="4105" width="16.28515625" style="40" bestFit="1" customWidth="1"/>
    <col min="4106" max="4106" width="16.5703125" style="40" bestFit="1" customWidth="1"/>
    <col min="4107" max="4107" width="16.42578125" style="40" bestFit="1" customWidth="1"/>
    <col min="4108" max="4108" width="15.5703125" style="40" bestFit="1" customWidth="1"/>
    <col min="4109" max="4109" width="14.85546875" style="40" bestFit="1" customWidth="1"/>
    <col min="4110" max="4110" width="16" style="40" bestFit="1" customWidth="1"/>
    <col min="4111" max="4111" width="14.85546875" style="40" bestFit="1" customWidth="1"/>
    <col min="4112" max="4112" width="16" style="40" bestFit="1" customWidth="1"/>
    <col min="4113" max="4113" width="12.7109375" style="40" bestFit="1" customWidth="1"/>
    <col min="4114" max="4114" width="14.85546875" style="40" bestFit="1" customWidth="1"/>
    <col min="4115" max="4352" width="9.140625" style="40"/>
    <col min="4353" max="4353" width="6.28515625" style="40" customWidth="1"/>
    <col min="4354" max="4354" width="4.42578125" style="40" customWidth="1"/>
    <col min="4355" max="4355" width="38.42578125" style="40" customWidth="1"/>
    <col min="4356" max="4357" width="0" style="40" hidden="1" customWidth="1"/>
    <col min="4358" max="4358" width="28.140625" style="40" customWidth="1"/>
    <col min="4359" max="4359" width="19.28515625" style="40" bestFit="1" customWidth="1"/>
    <col min="4360" max="4360" width="18" style="40" bestFit="1" customWidth="1"/>
    <col min="4361" max="4361" width="16.28515625" style="40" bestFit="1" customWidth="1"/>
    <col min="4362" max="4362" width="16.5703125" style="40" bestFit="1" customWidth="1"/>
    <col min="4363" max="4363" width="16.42578125" style="40" bestFit="1" customWidth="1"/>
    <col min="4364" max="4364" width="15.5703125" style="40" bestFit="1" customWidth="1"/>
    <col min="4365" max="4365" width="14.85546875" style="40" bestFit="1" customWidth="1"/>
    <col min="4366" max="4366" width="16" style="40" bestFit="1" customWidth="1"/>
    <col min="4367" max="4367" width="14.85546875" style="40" bestFit="1" customWidth="1"/>
    <col min="4368" max="4368" width="16" style="40" bestFit="1" customWidth="1"/>
    <col min="4369" max="4369" width="12.7109375" style="40" bestFit="1" customWidth="1"/>
    <col min="4370" max="4370" width="14.85546875" style="40" bestFit="1" customWidth="1"/>
    <col min="4371" max="4608" width="9.140625" style="40"/>
    <col min="4609" max="4609" width="6.28515625" style="40" customWidth="1"/>
    <col min="4610" max="4610" width="4.42578125" style="40" customWidth="1"/>
    <col min="4611" max="4611" width="38.42578125" style="40" customWidth="1"/>
    <col min="4612" max="4613" width="0" style="40" hidden="1" customWidth="1"/>
    <col min="4614" max="4614" width="28.140625" style="40" customWidth="1"/>
    <col min="4615" max="4615" width="19.28515625" style="40" bestFit="1" customWidth="1"/>
    <col min="4616" max="4616" width="18" style="40" bestFit="1" customWidth="1"/>
    <col min="4617" max="4617" width="16.28515625" style="40" bestFit="1" customWidth="1"/>
    <col min="4618" max="4618" width="16.5703125" style="40" bestFit="1" customWidth="1"/>
    <col min="4619" max="4619" width="16.42578125" style="40" bestFit="1" customWidth="1"/>
    <col min="4620" max="4620" width="15.5703125" style="40" bestFit="1" customWidth="1"/>
    <col min="4621" max="4621" width="14.85546875" style="40" bestFit="1" customWidth="1"/>
    <col min="4622" max="4622" width="16" style="40" bestFit="1" customWidth="1"/>
    <col min="4623" max="4623" width="14.85546875" style="40" bestFit="1" customWidth="1"/>
    <col min="4624" max="4624" width="16" style="40" bestFit="1" customWidth="1"/>
    <col min="4625" max="4625" width="12.7109375" style="40" bestFit="1" customWidth="1"/>
    <col min="4626" max="4626" width="14.85546875" style="40" bestFit="1" customWidth="1"/>
    <col min="4627" max="4864" width="9.140625" style="40"/>
    <col min="4865" max="4865" width="6.28515625" style="40" customWidth="1"/>
    <col min="4866" max="4866" width="4.42578125" style="40" customWidth="1"/>
    <col min="4867" max="4867" width="38.42578125" style="40" customWidth="1"/>
    <col min="4868" max="4869" width="0" style="40" hidden="1" customWidth="1"/>
    <col min="4870" max="4870" width="28.140625" style="40" customWidth="1"/>
    <col min="4871" max="4871" width="19.28515625" style="40" bestFit="1" customWidth="1"/>
    <col min="4872" max="4872" width="18" style="40" bestFit="1" customWidth="1"/>
    <col min="4873" max="4873" width="16.28515625" style="40" bestFit="1" customWidth="1"/>
    <col min="4874" max="4874" width="16.5703125" style="40" bestFit="1" customWidth="1"/>
    <col min="4875" max="4875" width="16.42578125" style="40" bestFit="1" customWidth="1"/>
    <col min="4876" max="4876" width="15.5703125" style="40" bestFit="1" customWidth="1"/>
    <col min="4877" max="4877" width="14.85546875" style="40" bestFit="1" customWidth="1"/>
    <col min="4878" max="4878" width="16" style="40" bestFit="1" customWidth="1"/>
    <col min="4879" max="4879" width="14.85546875" style="40" bestFit="1" customWidth="1"/>
    <col min="4880" max="4880" width="16" style="40" bestFit="1" customWidth="1"/>
    <col min="4881" max="4881" width="12.7109375" style="40" bestFit="1" customWidth="1"/>
    <col min="4882" max="4882" width="14.85546875" style="40" bestFit="1" customWidth="1"/>
    <col min="4883" max="5120" width="9.140625" style="40"/>
    <col min="5121" max="5121" width="6.28515625" style="40" customWidth="1"/>
    <col min="5122" max="5122" width="4.42578125" style="40" customWidth="1"/>
    <col min="5123" max="5123" width="38.42578125" style="40" customWidth="1"/>
    <col min="5124" max="5125" width="0" style="40" hidden="1" customWidth="1"/>
    <col min="5126" max="5126" width="28.140625" style="40" customWidth="1"/>
    <col min="5127" max="5127" width="19.28515625" style="40" bestFit="1" customWidth="1"/>
    <col min="5128" max="5128" width="18" style="40" bestFit="1" customWidth="1"/>
    <col min="5129" max="5129" width="16.28515625" style="40" bestFit="1" customWidth="1"/>
    <col min="5130" max="5130" width="16.5703125" style="40" bestFit="1" customWidth="1"/>
    <col min="5131" max="5131" width="16.42578125" style="40" bestFit="1" customWidth="1"/>
    <col min="5132" max="5132" width="15.5703125" style="40" bestFit="1" customWidth="1"/>
    <col min="5133" max="5133" width="14.85546875" style="40" bestFit="1" customWidth="1"/>
    <col min="5134" max="5134" width="16" style="40" bestFit="1" customWidth="1"/>
    <col min="5135" max="5135" width="14.85546875" style="40" bestFit="1" customWidth="1"/>
    <col min="5136" max="5136" width="16" style="40" bestFit="1" customWidth="1"/>
    <col min="5137" max="5137" width="12.7109375" style="40" bestFit="1" customWidth="1"/>
    <col min="5138" max="5138" width="14.85546875" style="40" bestFit="1" customWidth="1"/>
    <col min="5139" max="5376" width="9.140625" style="40"/>
    <col min="5377" max="5377" width="6.28515625" style="40" customWidth="1"/>
    <col min="5378" max="5378" width="4.42578125" style="40" customWidth="1"/>
    <col min="5379" max="5379" width="38.42578125" style="40" customWidth="1"/>
    <col min="5380" max="5381" width="0" style="40" hidden="1" customWidth="1"/>
    <col min="5382" max="5382" width="28.140625" style="40" customWidth="1"/>
    <col min="5383" max="5383" width="19.28515625" style="40" bestFit="1" customWidth="1"/>
    <col min="5384" max="5384" width="18" style="40" bestFit="1" customWidth="1"/>
    <col min="5385" max="5385" width="16.28515625" style="40" bestFit="1" customWidth="1"/>
    <col min="5386" max="5386" width="16.5703125" style="40" bestFit="1" customWidth="1"/>
    <col min="5387" max="5387" width="16.42578125" style="40" bestFit="1" customWidth="1"/>
    <col min="5388" max="5388" width="15.5703125" style="40" bestFit="1" customWidth="1"/>
    <col min="5389" max="5389" width="14.85546875" style="40" bestFit="1" customWidth="1"/>
    <col min="5390" max="5390" width="16" style="40" bestFit="1" customWidth="1"/>
    <col min="5391" max="5391" width="14.85546875" style="40" bestFit="1" customWidth="1"/>
    <col min="5392" max="5392" width="16" style="40" bestFit="1" customWidth="1"/>
    <col min="5393" max="5393" width="12.7109375" style="40" bestFit="1" customWidth="1"/>
    <col min="5394" max="5394" width="14.85546875" style="40" bestFit="1" customWidth="1"/>
    <col min="5395" max="5632" width="9.140625" style="40"/>
    <col min="5633" max="5633" width="6.28515625" style="40" customWidth="1"/>
    <col min="5634" max="5634" width="4.42578125" style="40" customWidth="1"/>
    <col min="5635" max="5635" width="38.42578125" style="40" customWidth="1"/>
    <col min="5636" max="5637" width="0" style="40" hidden="1" customWidth="1"/>
    <col min="5638" max="5638" width="28.140625" style="40" customWidth="1"/>
    <col min="5639" max="5639" width="19.28515625" style="40" bestFit="1" customWidth="1"/>
    <col min="5640" max="5640" width="18" style="40" bestFit="1" customWidth="1"/>
    <col min="5641" max="5641" width="16.28515625" style="40" bestFit="1" customWidth="1"/>
    <col min="5642" max="5642" width="16.5703125" style="40" bestFit="1" customWidth="1"/>
    <col min="5643" max="5643" width="16.42578125" style="40" bestFit="1" customWidth="1"/>
    <col min="5644" max="5644" width="15.5703125" style="40" bestFit="1" customWidth="1"/>
    <col min="5645" max="5645" width="14.85546875" style="40" bestFit="1" customWidth="1"/>
    <col min="5646" max="5646" width="16" style="40" bestFit="1" customWidth="1"/>
    <col min="5647" max="5647" width="14.85546875" style="40" bestFit="1" customWidth="1"/>
    <col min="5648" max="5648" width="16" style="40" bestFit="1" customWidth="1"/>
    <col min="5649" max="5649" width="12.7109375" style="40" bestFit="1" customWidth="1"/>
    <col min="5650" max="5650" width="14.85546875" style="40" bestFit="1" customWidth="1"/>
    <col min="5651" max="5888" width="9.140625" style="40"/>
    <col min="5889" max="5889" width="6.28515625" style="40" customWidth="1"/>
    <col min="5890" max="5890" width="4.42578125" style="40" customWidth="1"/>
    <col min="5891" max="5891" width="38.42578125" style="40" customWidth="1"/>
    <col min="5892" max="5893" width="0" style="40" hidden="1" customWidth="1"/>
    <col min="5894" max="5894" width="28.140625" style="40" customWidth="1"/>
    <col min="5895" max="5895" width="19.28515625" style="40" bestFit="1" customWidth="1"/>
    <col min="5896" max="5896" width="18" style="40" bestFit="1" customWidth="1"/>
    <col min="5897" max="5897" width="16.28515625" style="40" bestFit="1" customWidth="1"/>
    <col min="5898" max="5898" width="16.5703125" style="40" bestFit="1" customWidth="1"/>
    <col min="5899" max="5899" width="16.42578125" style="40" bestFit="1" customWidth="1"/>
    <col min="5900" max="5900" width="15.5703125" style="40" bestFit="1" customWidth="1"/>
    <col min="5901" max="5901" width="14.85546875" style="40" bestFit="1" customWidth="1"/>
    <col min="5902" max="5902" width="16" style="40" bestFit="1" customWidth="1"/>
    <col min="5903" max="5903" width="14.85546875" style="40" bestFit="1" customWidth="1"/>
    <col min="5904" max="5904" width="16" style="40" bestFit="1" customWidth="1"/>
    <col min="5905" max="5905" width="12.7109375" style="40" bestFit="1" customWidth="1"/>
    <col min="5906" max="5906" width="14.85546875" style="40" bestFit="1" customWidth="1"/>
    <col min="5907" max="6144" width="9.140625" style="40"/>
    <col min="6145" max="6145" width="6.28515625" style="40" customWidth="1"/>
    <col min="6146" max="6146" width="4.42578125" style="40" customWidth="1"/>
    <col min="6147" max="6147" width="38.42578125" style="40" customWidth="1"/>
    <col min="6148" max="6149" width="0" style="40" hidden="1" customWidth="1"/>
    <col min="6150" max="6150" width="28.140625" style="40" customWidth="1"/>
    <col min="6151" max="6151" width="19.28515625" style="40" bestFit="1" customWidth="1"/>
    <col min="6152" max="6152" width="18" style="40" bestFit="1" customWidth="1"/>
    <col min="6153" max="6153" width="16.28515625" style="40" bestFit="1" customWidth="1"/>
    <col min="6154" max="6154" width="16.5703125" style="40" bestFit="1" customWidth="1"/>
    <col min="6155" max="6155" width="16.42578125" style="40" bestFit="1" customWidth="1"/>
    <col min="6156" max="6156" width="15.5703125" style="40" bestFit="1" customWidth="1"/>
    <col min="6157" max="6157" width="14.85546875" style="40" bestFit="1" customWidth="1"/>
    <col min="6158" max="6158" width="16" style="40" bestFit="1" customWidth="1"/>
    <col min="6159" max="6159" width="14.85546875" style="40" bestFit="1" customWidth="1"/>
    <col min="6160" max="6160" width="16" style="40" bestFit="1" customWidth="1"/>
    <col min="6161" max="6161" width="12.7109375" style="40" bestFit="1" customWidth="1"/>
    <col min="6162" max="6162" width="14.85546875" style="40" bestFit="1" customWidth="1"/>
    <col min="6163" max="6400" width="9.140625" style="40"/>
    <col min="6401" max="6401" width="6.28515625" style="40" customWidth="1"/>
    <col min="6402" max="6402" width="4.42578125" style="40" customWidth="1"/>
    <col min="6403" max="6403" width="38.42578125" style="40" customWidth="1"/>
    <col min="6404" max="6405" width="0" style="40" hidden="1" customWidth="1"/>
    <col min="6406" max="6406" width="28.140625" style="40" customWidth="1"/>
    <col min="6407" max="6407" width="19.28515625" style="40" bestFit="1" customWidth="1"/>
    <col min="6408" max="6408" width="18" style="40" bestFit="1" customWidth="1"/>
    <col min="6409" max="6409" width="16.28515625" style="40" bestFit="1" customWidth="1"/>
    <col min="6410" max="6410" width="16.5703125" style="40" bestFit="1" customWidth="1"/>
    <col min="6411" max="6411" width="16.42578125" style="40" bestFit="1" customWidth="1"/>
    <col min="6412" max="6412" width="15.5703125" style="40" bestFit="1" customWidth="1"/>
    <col min="6413" max="6413" width="14.85546875" style="40" bestFit="1" customWidth="1"/>
    <col min="6414" max="6414" width="16" style="40" bestFit="1" customWidth="1"/>
    <col min="6415" max="6415" width="14.85546875" style="40" bestFit="1" customWidth="1"/>
    <col min="6416" max="6416" width="16" style="40" bestFit="1" customWidth="1"/>
    <col min="6417" max="6417" width="12.7109375" style="40" bestFit="1" customWidth="1"/>
    <col min="6418" max="6418" width="14.85546875" style="40" bestFit="1" customWidth="1"/>
    <col min="6419" max="6656" width="9.140625" style="40"/>
    <col min="6657" max="6657" width="6.28515625" style="40" customWidth="1"/>
    <col min="6658" max="6658" width="4.42578125" style="40" customWidth="1"/>
    <col min="6659" max="6659" width="38.42578125" style="40" customWidth="1"/>
    <col min="6660" max="6661" width="0" style="40" hidden="1" customWidth="1"/>
    <col min="6662" max="6662" width="28.140625" style="40" customWidth="1"/>
    <col min="6663" max="6663" width="19.28515625" style="40" bestFit="1" customWidth="1"/>
    <col min="6664" max="6664" width="18" style="40" bestFit="1" customWidth="1"/>
    <col min="6665" max="6665" width="16.28515625" style="40" bestFit="1" customWidth="1"/>
    <col min="6666" max="6666" width="16.5703125" style="40" bestFit="1" customWidth="1"/>
    <col min="6667" max="6667" width="16.42578125" style="40" bestFit="1" customWidth="1"/>
    <col min="6668" max="6668" width="15.5703125" style="40" bestFit="1" customWidth="1"/>
    <col min="6669" max="6669" width="14.85546875" style="40" bestFit="1" customWidth="1"/>
    <col min="6670" max="6670" width="16" style="40" bestFit="1" customWidth="1"/>
    <col min="6671" max="6671" width="14.85546875" style="40" bestFit="1" customWidth="1"/>
    <col min="6672" max="6672" width="16" style="40" bestFit="1" customWidth="1"/>
    <col min="6673" max="6673" width="12.7109375" style="40" bestFit="1" customWidth="1"/>
    <col min="6674" max="6674" width="14.85546875" style="40" bestFit="1" customWidth="1"/>
    <col min="6675" max="6912" width="9.140625" style="40"/>
    <col min="6913" max="6913" width="6.28515625" style="40" customWidth="1"/>
    <col min="6914" max="6914" width="4.42578125" style="40" customWidth="1"/>
    <col min="6915" max="6915" width="38.42578125" style="40" customWidth="1"/>
    <col min="6916" max="6917" width="0" style="40" hidden="1" customWidth="1"/>
    <col min="6918" max="6918" width="28.140625" style="40" customWidth="1"/>
    <col min="6919" max="6919" width="19.28515625" style="40" bestFit="1" customWidth="1"/>
    <col min="6920" max="6920" width="18" style="40" bestFit="1" customWidth="1"/>
    <col min="6921" max="6921" width="16.28515625" style="40" bestFit="1" customWidth="1"/>
    <col min="6922" max="6922" width="16.5703125" style="40" bestFit="1" customWidth="1"/>
    <col min="6923" max="6923" width="16.42578125" style="40" bestFit="1" customWidth="1"/>
    <col min="6924" max="6924" width="15.5703125" style="40" bestFit="1" customWidth="1"/>
    <col min="6925" max="6925" width="14.85546875" style="40" bestFit="1" customWidth="1"/>
    <col min="6926" max="6926" width="16" style="40" bestFit="1" customWidth="1"/>
    <col min="6927" max="6927" width="14.85546875" style="40" bestFit="1" customWidth="1"/>
    <col min="6928" max="6928" width="16" style="40" bestFit="1" customWidth="1"/>
    <col min="6929" max="6929" width="12.7109375" style="40" bestFit="1" customWidth="1"/>
    <col min="6930" max="6930" width="14.85546875" style="40" bestFit="1" customWidth="1"/>
    <col min="6931" max="7168" width="9.140625" style="40"/>
    <col min="7169" max="7169" width="6.28515625" style="40" customWidth="1"/>
    <col min="7170" max="7170" width="4.42578125" style="40" customWidth="1"/>
    <col min="7171" max="7171" width="38.42578125" style="40" customWidth="1"/>
    <col min="7172" max="7173" width="0" style="40" hidden="1" customWidth="1"/>
    <col min="7174" max="7174" width="28.140625" style="40" customWidth="1"/>
    <col min="7175" max="7175" width="19.28515625" style="40" bestFit="1" customWidth="1"/>
    <col min="7176" max="7176" width="18" style="40" bestFit="1" customWidth="1"/>
    <col min="7177" max="7177" width="16.28515625" style="40" bestFit="1" customWidth="1"/>
    <col min="7178" max="7178" width="16.5703125" style="40" bestFit="1" customWidth="1"/>
    <col min="7179" max="7179" width="16.42578125" style="40" bestFit="1" customWidth="1"/>
    <col min="7180" max="7180" width="15.5703125" style="40" bestFit="1" customWidth="1"/>
    <col min="7181" max="7181" width="14.85546875" style="40" bestFit="1" customWidth="1"/>
    <col min="7182" max="7182" width="16" style="40" bestFit="1" customWidth="1"/>
    <col min="7183" max="7183" width="14.85546875" style="40" bestFit="1" customWidth="1"/>
    <col min="7184" max="7184" width="16" style="40" bestFit="1" customWidth="1"/>
    <col min="7185" max="7185" width="12.7109375" style="40" bestFit="1" customWidth="1"/>
    <col min="7186" max="7186" width="14.85546875" style="40" bestFit="1" customWidth="1"/>
    <col min="7187" max="7424" width="9.140625" style="40"/>
    <col min="7425" max="7425" width="6.28515625" style="40" customWidth="1"/>
    <col min="7426" max="7426" width="4.42578125" style="40" customWidth="1"/>
    <col min="7427" max="7427" width="38.42578125" style="40" customWidth="1"/>
    <col min="7428" max="7429" width="0" style="40" hidden="1" customWidth="1"/>
    <col min="7430" max="7430" width="28.140625" style="40" customWidth="1"/>
    <col min="7431" max="7431" width="19.28515625" style="40" bestFit="1" customWidth="1"/>
    <col min="7432" max="7432" width="18" style="40" bestFit="1" customWidth="1"/>
    <col min="7433" max="7433" width="16.28515625" style="40" bestFit="1" customWidth="1"/>
    <col min="7434" max="7434" width="16.5703125" style="40" bestFit="1" customWidth="1"/>
    <col min="7435" max="7435" width="16.42578125" style="40" bestFit="1" customWidth="1"/>
    <col min="7436" max="7436" width="15.5703125" style="40" bestFit="1" customWidth="1"/>
    <col min="7437" max="7437" width="14.85546875" style="40" bestFit="1" customWidth="1"/>
    <col min="7438" max="7438" width="16" style="40" bestFit="1" customWidth="1"/>
    <col min="7439" max="7439" width="14.85546875" style="40" bestFit="1" customWidth="1"/>
    <col min="7440" max="7440" width="16" style="40" bestFit="1" customWidth="1"/>
    <col min="7441" max="7441" width="12.7109375" style="40" bestFit="1" customWidth="1"/>
    <col min="7442" max="7442" width="14.85546875" style="40" bestFit="1" customWidth="1"/>
    <col min="7443" max="7680" width="9.140625" style="40"/>
    <col min="7681" max="7681" width="6.28515625" style="40" customWidth="1"/>
    <col min="7682" max="7682" width="4.42578125" style="40" customWidth="1"/>
    <col min="7683" max="7683" width="38.42578125" style="40" customWidth="1"/>
    <col min="7684" max="7685" width="0" style="40" hidden="1" customWidth="1"/>
    <col min="7686" max="7686" width="28.140625" style="40" customWidth="1"/>
    <col min="7687" max="7687" width="19.28515625" style="40" bestFit="1" customWidth="1"/>
    <col min="7688" max="7688" width="18" style="40" bestFit="1" customWidth="1"/>
    <col min="7689" max="7689" width="16.28515625" style="40" bestFit="1" customWidth="1"/>
    <col min="7690" max="7690" width="16.5703125" style="40" bestFit="1" customWidth="1"/>
    <col min="7691" max="7691" width="16.42578125" style="40" bestFit="1" customWidth="1"/>
    <col min="7692" max="7692" width="15.5703125" style="40" bestFit="1" customWidth="1"/>
    <col min="7693" max="7693" width="14.85546875" style="40" bestFit="1" customWidth="1"/>
    <col min="7694" max="7694" width="16" style="40" bestFit="1" customWidth="1"/>
    <col min="7695" max="7695" width="14.85546875" style="40" bestFit="1" customWidth="1"/>
    <col min="7696" max="7696" width="16" style="40" bestFit="1" customWidth="1"/>
    <col min="7697" max="7697" width="12.7109375" style="40" bestFit="1" customWidth="1"/>
    <col min="7698" max="7698" width="14.85546875" style="40" bestFit="1" customWidth="1"/>
    <col min="7699" max="7936" width="9.140625" style="40"/>
    <col min="7937" max="7937" width="6.28515625" style="40" customWidth="1"/>
    <col min="7938" max="7938" width="4.42578125" style="40" customWidth="1"/>
    <col min="7939" max="7939" width="38.42578125" style="40" customWidth="1"/>
    <col min="7940" max="7941" width="0" style="40" hidden="1" customWidth="1"/>
    <col min="7942" max="7942" width="28.140625" style="40" customWidth="1"/>
    <col min="7943" max="7943" width="19.28515625" style="40" bestFit="1" customWidth="1"/>
    <col min="7944" max="7944" width="18" style="40" bestFit="1" customWidth="1"/>
    <col min="7945" max="7945" width="16.28515625" style="40" bestFit="1" customWidth="1"/>
    <col min="7946" max="7946" width="16.5703125" style="40" bestFit="1" customWidth="1"/>
    <col min="7947" max="7947" width="16.42578125" style="40" bestFit="1" customWidth="1"/>
    <col min="7948" max="7948" width="15.5703125" style="40" bestFit="1" customWidth="1"/>
    <col min="7949" max="7949" width="14.85546875" style="40" bestFit="1" customWidth="1"/>
    <col min="7950" max="7950" width="16" style="40" bestFit="1" customWidth="1"/>
    <col min="7951" max="7951" width="14.85546875" style="40" bestFit="1" customWidth="1"/>
    <col min="7952" max="7952" width="16" style="40" bestFit="1" customWidth="1"/>
    <col min="7953" max="7953" width="12.7109375" style="40" bestFit="1" customWidth="1"/>
    <col min="7954" max="7954" width="14.85546875" style="40" bestFit="1" customWidth="1"/>
    <col min="7955" max="8192" width="9.140625" style="40"/>
    <col min="8193" max="8193" width="6.28515625" style="40" customWidth="1"/>
    <col min="8194" max="8194" width="4.42578125" style="40" customWidth="1"/>
    <col min="8195" max="8195" width="38.42578125" style="40" customWidth="1"/>
    <col min="8196" max="8197" width="0" style="40" hidden="1" customWidth="1"/>
    <col min="8198" max="8198" width="28.140625" style="40" customWidth="1"/>
    <col min="8199" max="8199" width="19.28515625" style="40" bestFit="1" customWidth="1"/>
    <col min="8200" max="8200" width="18" style="40" bestFit="1" customWidth="1"/>
    <col min="8201" max="8201" width="16.28515625" style="40" bestFit="1" customWidth="1"/>
    <col min="8202" max="8202" width="16.5703125" style="40" bestFit="1" customWidth="1"/>
    <col min="8203" max="8203" width="16.42578125" style="40" bestFit="1" customWidth="1"/>
    <col min="8204" max="8204" width="15.5703125" style="40" bestFit="1" customWidth="1"/>
    <col min="8205" max="8205" width="14.85546875" style="40" bestFit="1" customWidth="1"/>
    <col min="8206" max="8206" width="16" style="40" bestFit="1" customWidth="1"/>
    <col min="8207" max="8207" width="14.85546875" style="40" bestFit="1" customWidth="1"/>
    <col min="8208" max="8208" width="16" style="40" bestFit="1" customWidth="1"/>
    <col min="8209" max="8209" width="12.7109375" style="40" bestFit="1" customWidth="1"/>
    <col min="8210" max="8210" width="14.85546875" style="40" bestFit="1" customWidth="1"/>
    <col min="8211" max="8448" width="9.140625" style="40"/>
    <col min="8449" max="8449" width="6.28515625" style="40" customWidth="1"/>
    <col min="8450" max="8450" width="4.42578125" style="40" customWidth="1"/>
    <col min="8451" max="8451" width="38.42578125" style="40" customWidth="1"/>
    <col min="8452" max="8453" width="0" style="40" hidden="1" customWidth="1"/>
    <col min="8454" max="8454" width="28.140625" style="40" customWidth="1"/>
    <col min="8455" max="8455" width="19.28515625" style="40" bestFit="1" customWidth="1"/>
    <col min="8456" max="8456" width="18" style="40" bestFit="1" customWidth="1"/>
    <col min="8457" max="8457" width="16.28515625" style="40" bestFit="1" customWidth="1"/>
    <col min="8458" max="8458" width="16.5703125" style="40" bestFit="1" customWidth="1"/>
    <col min="8459" max="8459" width="16.42578125" style="40" bestFit="1" customWidth="1"/>
    <col min="8460" max="8460" width="15.5703125" style="40" bestFit="1" customWidth="1"/>
    <col min="8461" max="8461" width="14.85546875" style="40" bestFit="1" customWidth="1"/>
    <col min="8462" max="8462" width="16" style="40" bestFit="1" customWidth="1"/>
    <col min="8463" max="8463" width="14.85546875" style="40" bestFit="1" customWidth="1"/>
    <col min="8464" max="8464" width="16" style="40" bestFit="1" customWidth="1"/>
    <col min="8465" max="8465" width="12.7109375" style="40" bestFit="1" customWidth="1"/>
    <col min="8466" max="8466" width="14.85546875" style="40" bestFit="1" customWidth="1"/>
    <col min="8467" max="8704" width="9.140625" style="40"/>
    <col min="8705" max="8705" width="6.28515625" style="40" customWidth="1"/>
    <col min="8706" max="8706" width="4.42578125" style="40" customWidth="1"/>
    <col min="8707" max="8707" width="38.42578125" style="40" customWidth="1"/>
    <col min="8708" max="8709" width="0" style="40" hidden="1" customWidth="1"/>
    <col min="8710" max="8710" width="28.140625" style="40" customWidth="1"/>
    <col min="8711" max="8711" width="19.28515625" style="40" bestFit="1" customWidth="1"/>
    <col min="8712" max="8712" width="18" style="40" bestFit="1" customWidth="1"/>
    <col min="8713" max="8713" width="16.28515625" style="40" bestFit="1" customWidth="1"/>
    <col min="8714" max="8714" width="16.5703125" style="40" bestFit="1" customWidth="1"/>
    <col min="8715" max="8715" width="16.42578125" style="40" bestFit="1" customWidth="1"/>
    <col min="8716" max="8716" width="15.5703125" style="40" bestFit="1" customWidth="1"/>
    <col min="8717" max="8717" width="14.85546875" style="40" bestFit="1" customWidth="1"/>
    <col min="8718" max="8718" width="16" style="40" bestFit="1" customWidth="1"/>
    <col min="8719" max="8719" width="14.85546875" style="40" bestFit="1" customWidth="1"/>
    <col min="8720" max="8720" width="16" style="40" bestFit="1" customWidth="1"/>
    <col min="8721" max="8721" width="12.7109375" style="40" bestFit="1" customWidth="1"/>
    <col min="8722" max="8722" width="14.85546875" style="40" bestFit="1" customWidth="1"/>
    <col min="8723" max="8960" width="9.140625" style="40"/>
    <col min="8961" max="8961" width="6.28515625" style="40" customWidth="1"/>
    <col min="8962" max="8962" width="4.42578125" style="40" customWidth="1"/>
    <col min="8963" max="8963" width="38.42578125" style="40" customWidth="1"/>
    <col min="8964" max="8965" width="0" style="40" hidden="1" customWidth="1"/>
    <col min="8966" max="8966" width="28.140625" style="40" customWidth="1"/>
    <col min="8967" max="8967" width="19.28515625" style="40" bestFit="1" customWidth="1"/>
    <col min="8968" max="8968" width="18" style="40" bestFit="1" customWidth="1"/>
    <col min="8969" max="8969" width="16.28515625" style="40" bestFit="1" customWidth="1"/>
    <col min="8970" max="8970" width="16.5703125" style="40" bestFit="1" customWidth="1"/>
    <col min="8971" max="8971" width="16.42578125" style="40" bestFit="1" customWidth="1"/>
    <col min="8972" max="8972" width="15.5703125" style="40" bestFit="1" customWidth="1"/>
    <col min="8973" max="8973" width="14.85546875" style="40" bestFit="1" customWidth="1"/>
    <col min="8974" max="8974" width="16" style="40" bestFit="1" customWidth="1"/>
    <col min="8975" max="8975" width="14.85546875" style="40" bestFit="1" customWidth="1"/>
    <col min="8976" max="8976" width="16" style="40" bestFit="1" customWidth="1"/>
    <col min="8977" max="8977" width="12.7109375" style="40" bestFit="1" customWidth="1"/>
    <col min="8978" max="8978" width="14.85546875" style="40" bestFit="1" customWidth="1"/>
    <col min="8979" max="9216" width="9.140625" style="40"/>
    <col min="9217" max="9217" width="6.28515625" style="40" customWidth="1"/>
    <col min="9218" max="9218" width="4.42578125" style="40" customWidth="1"/>
    <col min="9219" max="9219" width="38.42578125" style="40" customWidth="1"/>
    <col min="9220" max="9221" width="0" style="40" hidden="1" customWidth="1"/>
    <col min="9222" max="9222" width="28.140625" style="40" customWidth="1"/>
    <col min="9223" max="9223" width="19.28515625" style="40" bestFit="1" customWidth="1"/>
    <col min="9224" max="9224" width="18" style="40" bestFit="1" customWidth="1"/>
    <col min="9225" max="9225" width="16.28515625" style="40" bestFit="1" customWidth="1"/>
    <col min="9226" max="9226" width="16.5703125" style="40" bestFit="1" customWidth="1"/>
    <col min="9227" max="9227" width="16.42578125" style="40" bestFit="1" customWidth="1"/>
    <col min="9228" max="9228" width="15.5703125" style="40" bestFit="1" customWidth="1"/>
    <col min="9229" max="9229" width="14.85546875" style="40" bestFit="1" customWidth="1"/>
    <col min="9230" max="9230" width="16" style="40" bestFit="1" customWidth="1"/>
    <col min="9231" max="9231" width="14.85546875" style="40" bestFit="1" customWidth="1"/>
    <col min="9232" max="9232" width="16" style="40" bestFit="1" customWidth="1"/>
    <col min="9233" max="9233" width="12.7109375" style="40" bestFit="1" customWidth="1"/>
    <col min="9234" max="9234" width="14.85546875" style="40" bestFit="1" customWidth="1"/>
    <col min="9235" max="9472" width="9.140625" style="40"/>
    <col min="9473" max="9473" width="6.28515625" style="40" customWidth="1"/>
    <col min="9474" max="9474" width="4.42578125" style="40" customWidth="1"/>
    <col min="9475" max="9475" width="38.42578125" style="40" customWidth="1"/>
    <col min="9476" max="9477" width="0" style="40" hidden="1" customWidth="1"/>
    <col min="9478" max="9478" width="28.140625" style="40" customWidth="1"/>
    <col min="9479" max="9479" width="19.28515625" style="40" bestFit="1" customWidth="1"/>
    <col min="9480" max="9480" width="18" style="40" bestFit="1" customWidth="1"/>
    <col min="9481" max="9481" width="16.28515625" style="40" bestFit="1" customWidth="1"/>
    <col min="9482" max="9482" width="16.5703125" style="40" bestFit="1" customWidth="1"/>
    <col min="9483" max="9483" width="16.42578125" style="40" bestFit="1" customWidth="1"/>
    <col min="9484" max="9484" width="15.5703125" style="40" bestFit="1" customWidth="1"/>
    <col min="9485" max="9485" width="14.85546875" style="40" bestFit="1" customWidth="1"/>
    <col min="9486" max="9486" width="16" style="40" bestFit="1" customWidth="1"/>
    <col min="9487" max="9487" width="14.85546875" style="40" bestFit="1" customWidth="1"/>
    <col min="9488" max="9488" width="16" style="40" bestFit="1" customWidth="1"/>
    <col min="9489" max="9489" width="12.7109375" style="40" bestFit="1" customWidth="1"/>
    <col min="9490" max="9490" width="14.85546875" style="40" bestFit="1" customWidth="1"/>
    <col min="9491" max="9728" width="9.140625" style="40"/>
    <col min="9729" max="9729" width="6.28515625" style="40" customWidth="1"/>
    <col min="9730" max="9730" width="4.42578125" style="40" customWidth="1"/>
    <col min="9731" max="9731" width="38.42578125" style="40" customWidth="1"/>
    <col min="9732" max="9733" width="0" style="40" hidden="1" customWidth="1"/>
    <col min="9734" max="9734" width="28.140625" style="40" customWidth="1"/>
    <col min="9735" max="9735" width="19.28515625" style="40" bestFit="1" customWidth="1"/>
    <col min="9736" max="9736" width="18" style="40" bestFit="1" customWidth="1"/>
    <col min="9737" max="9737" width="16.28515625" style="40" bestFit="1" customWidth="1"/>
    <col min="9738" max="9738" width="16.5703125" style="40" bestFit="1" customWidth="1"/>
    <col min="9739" max="9739" width="16.42578125" style="40" bestFit="1" customWidth="1"/>
    <col min="9740" max="9740" width="15.5703125" style="40" bestFit="1" customWidth="1"/>
    <col min="9741" max="9741" width="14.85546875" style="40" bestFit="1" customWidth="1"/>
    <col min="9742" max="9742" width="16" style="40" bestFit="1" customWidth="1"/>
    <col min="9743" max="9743" width="14.85546875" style="40" bestFit="1" customWidth="1"/>
    <col min="9744" max="9744" width="16" style="40" bestFit="1" customWidth="1"/>
    <col min="9745" max="9745" width="12.7109375" style="40" bestFit="1" customWidth="1"/>
    <col min="9746" max="9746" width="14.85546875" style="40" bestFit="1" customWidth="1"/>
    <col min="9747" max="9984" width="9.140625" style="40"/>
    <col min="9985" max="9985" width="6.28515625" style="40" customWidth="1"/>
    <col min="9986" max="9986" width="4.42578125" style="40" customWidth="1"/>
    <col min="9987" max="9987" width="38.42578125" style="40" customWidth="1"/>
    <col min="9988" max="9989" width="0" style="40" hidden="1" customWidth="1"/>
    <col min="9990" max="9990" width="28.140625" style="40" customWidth="1"/>
    <col min="9991" max="9991" width="19.28515625" style="40" bestFit="1" customWidth="1"/>
    <col min="9992" max="9992" width="18" style="40" bestFit="1" customWidth="1"/>
    <col min="9993" max="9993" width="16.28515625" style="40" bestFit="1" customWidth="1"/>
    <col min="9994" max="9994" width="16.5703125" style="40" bestFit="1" customWidth="1"/>
    <col min="9995" max="9995" width="16.42578125" style="40" bestFit="1" customWidth="1"/>
    <col min="9996" max="9996" width="15.5703125" style="40" bestFit="1" customWidth="1"/>
    <col min="9997" max="9997" width="14.85546875" style="40" bestFit="1" customWidth="1"/>
    <col min="9998" max="9998" width="16" style="40" bestFit="1" customWidth="1"/>
    <col min="9999" max="9999" width="14.85546875" style="40" bestFit="1" customWidth="1"/>
    <col min="10000" max="10000" width="16" style="40" bestFit="1" customWidth="1"/>
    <col min="10001" max="10001" width="12.7109375" style="40" bestFit="1" customWidth="1"/>
    <col min="10002" max="10002" width="14.85546875" style="40" bestFit="1" customWidth="1"/>
    <col min="10003" max="10240" width="9.140625" style="40"/>
    <col min="10241" max="10241" width="6.28515625" style="40" customWidth="1"/>
    <col min="10242" max="10242" width="4.42578125" style="40" customWidth="1"/>
    <col min="10243" max="10243" width="38.42578125" style="40" customWidth="1"/>
    <col min="10244" max="10245" width="0" style="40" hidden="1" customWidth="1"/>
    <col min="10246" max="10246" width="28.140625" style="40" customWidth="1"/>
    <col min="10247" max="10247" width="19.28515625" style="40" bestFit="1" customWidth="1"/>
    <col min="10248" max="10248" width="18" style="40" bestFit="1" customWidth="1"/>
    <col min="10249" max="10249" width="16.28515625" style="40" bestFit="1" customWidth="1"/>
    <col min="10250" max="10250" width="16.5703125" style="40" bestFit="1" customWidth="1"/>
    <col min="10251" max="10251" width="16.42578125" style="40" bestFit="1" customWidth="1"/>
    <col min="10252" max="10252" width="15.5703125" style="40" bestFit="1" customWidth="1"/>
    <col min="10253" max="10253" width="14.85546875" style="40" bestFit="1" customWidth="1"/>
    <col min="10254" max="10254" width="16" style="40" bestFit="1" customWidth="1"/>
    <col min="10255" max="10255" width="14.85546875" style="40" bestFit="1" customWidth="1"/>
    <col min="10256" max="10256" width="16" style="40" bestFit="1" customWidth="1"/>
    <col min="10257" max="10257" width="12.7109375" style="40" bestFit="1" customWidth="1"/>
    <col min="10258" max="10258" width="14.85546875" style="40" bestFit="1" customWidth="1"/>
    <col min="10259" max="10496" width="9.140625" style="40"/>
    <col min="10497" max="10497" width="6.28515625" style="40" customWidth="1"/>
    <col min="10498" max="10498" width="4.42578125" style="40" customWidth="1"/>
    <col min="10499" max="10499" width="38.42578125" style="40" customWidth="1"/>
    <col min="10500" max="10501" width="0" style="40" hidden="1" customWidth="1"/>
    <col min="10502" max="10502" width="28.140625" style="40" customWidth="1"/>
    <col min="10503" max="10503" width="19.28515625" style="40" bestFit="1" customWidth="1"/>
    <col min="10504" max="10504" width="18" style="40" bestFit="1" customWidth="1"/>
    <col min="10505" max="10505" width="16.28515625" style="40" bestFit="1" customWidth="1"/>
    <col min="10506" max="10506" width="16.5703125" style="40" bestFit="1" customWidth="1"/>
    <col min="10507" max="10507" width="16.42578125" style="40" bestFit="1" customWidth="1"/>
    <col min="10508" max="10508" width="15.5703125" style="40" bestFit="1" customWidth="1"/>
    <col min="10509" max="10509" width="14.85546875" style="40" bestFit="1" customWidth="1"/>
    <col min="10510" max="10510" width="16" style="40" bestFit="1" customWidth="1"/>
    <col min="10511" max="10511" width="14.85546875" style="40" bestFit="1" customWidth="1"/>
    <col min="10512" max="10512" width="16" style="40" bestFit="1" customWidth="1"/>
    <col min="10513" max="10513" width="12.7109375" style="40" bestFit="1" customWidth="1"/>
    <col min="10514" max="10514" width="14.85546875" style="40" bestFit="1" customWidth="1"/>
    <col min="10515" max="10752" width="9.140625" style="40"/>
    <col min="10753" max="10753" width="6.28515625" style="40" customWidth="1"/>
    <col min="10754" max="10754" width="4.42578125" style="40" customWidth="1"/>
    <col min="10755" max="10755" width="38.42578125" style="40" customWidth="1"/>
    <col min="10756" max="10757" width="0" style="40" hidden="1" customWidth="1"/>
    <col min="10758" max="10758" width="28.140625" style="40" customWidth="1"/>
    <col min="10759" max="10759" width="19.28515625" style="40" bestFit="1" customWidth="1"/>
    <col min="10760" max="10760" width="18" style="40" bestFit="1" customWidth="1"/>
    <col min="10761" max="10761" width="16.28515625" style="40" bestFit="1" customWidth="1"/>
    <col min="10762" max="10762" width="16.5703125" style="40" bestFit="1" customWidth="1"/>
    <col min="10763" max="10763" width="16.42578125" style="40" bestFit="1" customWidth="1"/>
    <col min="10764" max="10764" width="15.5703125" style="40" bestFit="1" customWidth="1"/>
    <col min="10765" max="10765" width="14.85546875" style="40" bestFit="1" customWidth="1"/>
    <col min="10766" max="10766" width="16" style="40" bestFit="1" customWidth="1"/>
    <col min="10767" max="10767" width="14.85546875" style="40" bestFit="1" customWidth="1"/>
    <col min="10768" max="10768" width="16" style="40" bestFit="1" customWidth="1"/>
    <col min="10769" max="10769" width="12.7109375" style="40" bestFit="1" customWidth="1"/>
    <col min="10770" max="10770" width="14.85546875" style="40" bestFit="1" customWidth="1"/>
    <col min="10771" max="11008" width="9.140625" style="40"/>
    <col min="11009" max="11009" width="6.28515625" style="40" customWidth="1"/>
    <col min="11010" max="11010" width="4.42578125" style="40" customWidth="1"/>
    <col min="11011" max="11011" width="38.42578125" style="40" customWidth="1"/>
    <col min="11012" max="11013" width="0" style="40" hidden="1" customWidth="1"/>
    <col min="11014" max="11014" width="28.140625" style="40" customWidth="1"/>
    <col min="11015" max="11015" width="19.28515625" style="40" bestFit="1" customWidth="1"/>
    <col min="11016" max="11016" width="18" style="40" bestFit="1" customWidth="1"/>
    <col min="11017" max="11017" width="16.28515625" style="40" bestFit="1" customWidth="1"/>
    <col min="11018" max="11018" width="16.5703125" style="40" bestFit="1" customWidth="1"/>
    <col min="11019" max="11019" width="16.42578125" style="40" bestFit="1" customWidth="1"/>
    <col min="11020" max="11020" width="15.5703125" style="40" bestFit="1" customWidth="1"/>
    <col min="11021" max="11021" width="14.85546875" style="40" bestFit="1" customWidth="1"/>
    <col min="11022" max="11022" width="16" style="40" bestFit="1" customWidth="1"/>
    <col min="11023" max="11023" width="14.85546875" style="40" bestFit="1" customWidth="1"/>
    <col min="11024" max="11024" width="16" style="40" bestFit="1" customWidth="1"/>
    <col min="11025" max="11025" width="12.7109375" style="40" bestFit="1" customWidth="1"/>
    <col min="11026" max="11026" width="14.85546875" style="40" bestFit="1" customWidth="1"/>
    <col min="11027" max="11264" width="9.140625" style="40"/>
    <col min="11265" max="11265" width="6.28515625" style="40" customWidth="1"/>
    <col min="11266" max="11266" width="4.42578125" style="40" customWidth="1"/>
    <col min="11267" max="11267" width="38.42578125" style="40" customWidth="1"/>
    <col min="11268" max="11269" width="0" style="40" hidden="1" customWidth="1"/>
    <col min="11270" max="11270" width="28.140625" style="40" customWidth="1"/>
    <col min="11271" max="11271" width="19.28515625" style="40" bestFit="1" customWidth="1"/>
    <col min="11272" max="11272" width="18" style="40" bestFit="1" customWidth="1"/>
    <col min="11273" max="11273" width="16.28515625" style="40" bestFit="1" customWidth="1"/>
    <col min="11274" max="11274" width="16.5703125" style="40" bestFit="1" customWidth="1"/>
    <col min="11275" max="11275" width="16.42578125" style="40" bestFit="1" customWidth="1"/>
    <col min="11276" max="11276" width="15.5703125" style="40" bestFit="1" customWidth="1"/>
    <col min="11277" max="11277" width="14.85546875" style="40" bestFit="1" customWidth="1"/>
    <col min="11278" max="11278" width="16" style="40" bestFit="1" customWidth="1"/>
    <col min="11279" max="11279" width="14.85546875" style="40" bestFit="1" customWidth="1"/>
    <col min="11280" max="11280" width="16" style="40" bestFit="1" customWidth="1"/>
    <col min="11281" max="11281" width="12.7109375" style="40" bestFit="1" customWidth="1"/>
    <col min="11282" max="11282" width="14.85546875" style="40" bestFit="1" customWidth="1"/>
    <col min="11283" max="11520" width="9.140625" style="40"/>
    <col min="11521" max="11521" width="6.28515625" style="40" customWidth="1"/>
    <col min="11522" max="11522" width="4.42578125" style="40" customWidth="1"/>
    <col min="11523" max="11523" width="38.42578125" style="40" customWidth="1"/>
    <col min="11524" max="11525" width="0" style="40" hidden="1" customWidth="1"/>
    <col min="11526" max="11526" width="28.140625" style="40" customWidth="1"/>
    <col min="11527" max="11527" width="19.28515625" style="40" bestFit="1" customWidth="1"/>
    <col min="11528" max="11528" width="18" style="40" bestFit="1" customWidth="1"/>
    <col min="11529" max="11529" width="16.28515625" style="40" bestFit="1" customWidth="1"/>
    <col min="11530" max="11530" width="16.5703125" style="40" bestFit="1" customWidth="1"/>
    <col min="11531" max="11531" width="16.42578125" style="40" bestFit="1" customWidth="1"/>
    <col min="11532" max="11532" width="15.5703125" style="40" bestFit="1" customWidth="1"/>
    <col min="11533" max="11533" width="14.85546875" style="40" bestFit="1" customWidth="1"/>
    <col min="11534" max="11534" width="16" style="40" bestFit="1" customWidth="1"/>
    <col min="11535" max="11535" width="14.85546875" style="40" bestFit="1" customWidth="1"/>
    <col min="11536" max="11536" width="16" style="40" bestFit="1" customWidth="1"/>
    <col min="11537" max="11537" width="12.7109375" style="40" bestFit="1" customWidth="1"/>
    <col min="11538" max="11538" width="14.85546875" style="40" bestFit="1" customWidth="1"/>
    <col min="11539" max="11776" width="9.140625" style="40"/>
    <col min="11777" max="11777" width="6.28515625" style="40" customWidth="1"/>
    <col min="11778" max="11778" width="4.42578125" style="40" customWidth="1"/>
    <col min="11779" max="11779" width="38.42578125" style="40" customWidth="1"/>
    <col min="11780" max="11781" width="0" style="40" hidden="1" customWidth="1"/>
    <col min="11782" max="11782" width="28.140625" style="40" customWidth="1"/>
    <col min="11783" max="11783" width="19.28515625" style="40" bestFit="1" customWidth="1"/>
    <col min="11784" max="11784" width="18" style="40" bestFit="1" customWidth="1"/>
    <col min="11785" max="11785" width="16.28515625" style="40" bestFit="1" customWidth="1"/>
    <col min="11786" max="11786" width="16.5703125" style="40" bestFit="1" customWidth="1"/>
    <col min="11787" max="11787" width="16.42578125" style="40" bestFit="1" customWidth="1"/>
    <col min="11788" max="11788" width="15.5703125" style="40" bestFit="1" customWidth="1"/>
    <col min="11789" max="11789" width="14.85546875" style="40" bestFit="1" customWidth="1"/>
    <col min="11790" max="11790" width="16" style="40" bestFit="1" customWidth="1"/>
    <col min="11791" max="11791" width="14.85546875" style="40" bestFit="1" customWidth="1"/>
    <col min="11792" max="11792" width="16" style="40" bestFit="1" customWidth="1"/>
    <col min="11793" max="11793" width="12.7109375" style="40" bestFit="1" customWidth="1"/>
    <col min="11794" max="11794" width="14.85546875" style="40" bestFit="1" customWidth="1"/>
    <col min="11795" max="12032" width="9.140625" style="40"/>
    <col min="12033" max="12033" width="6.28515625" style="40" customWidth="1"/>
    <col min="12034" max="12034" width="4.42578125" style="40" customWidth="1"/>
    <col min="12035" max="12035" width="38.42578125" style="40" customWidth="1"/>
    <col min="12036" max="12037" width="0" style="40" hidden="1" customWidth="1"/>
    <col min="12038" max="12038" width="28.140625" style="40" customWidth="1"/>
    <col min="12039" max="12039" width="19.28515625" style="40" bestFit="1" customWidth="1"/>
    <col min="12040" max="12040" width="18" style="40" bestFit="1" customWidth="1"/>
    <col min="12041" max="12041" width="16.28515625" style="40" bestFit="1" customWidth="1"/>
    <col min="12042" max="12042" width="16.5703125" style="40" bestFit="1" customWidth="1"/>
    <col min="12043" max="12043" width="16.42578125" style="40" bestFit="1" customWidth="1"/>
    <col min="12044" max="12044" width="15.5703125" style="40" bestFit="1" customWidth="1"/>
    <col min="12045" max="12045" width="14.85546875" style="40" bestFit="1" customWidth="1"/>
    <col min="12046" max="12046" width="16" style="40" bestFit="1" customWidth="1"/>
    <col min="12047" max="12047" width="14.85546875" style="40" bestFit="1" customWidth="1"/>
    <col min="12048" max="12048" width="16" style="40" bestFit="1" customWidth="1"/>
    <col min="12049" max="12049" width="12.7109375" style="40" bestFit="1" customWidth="1"/>
    <col min="12050" max="12050" width="14.85546875" style="40" bestFit="1" customWidth="1"/>
    <col min="12051" max="12288" width="9.140625" style="40"/>
    <col min="12289" max="12289" width="6.28515625" style="40" customWidth="1"/>
    <col min="12290" max="12290" width="4.42578125" style="40" customWidth="1"/>
    <col min="12291" max="12291" width="38.42578125" style="40" customWidth="1"/>
    <col min="12292" max="12293" width="0" style="40" hidden="1" customWidth="1"/>
    <col min="12294" max="12294" width="28.140625" style="40" customWidth="1"/>
    <col min="12295" max="12295" width="19.28515625" style="40" bestFit="1" customWidth="1"/>
    <col min="12296" max="12296" width="18" style="40" bestFit="1" customWidth="1"/>
    <col min="12297" max="12297" width="16.28515625" style="40" bestFit="1" customWidth="1"/>
    <col min="12298" max="12298" width="16.5703125" style="40" bestFit="1" customWidth="1"/>
    <col min="12299" max="12299" width="16.42578125" style="40" bestFit="1" customWidth="1"/>
    <col min="12300" max="12300" width="15.5703125" style="40" bestFit="1" customWidth="1"/>
    <col min="12301" max="12301" width="14.85546875" style="40" bestFit="1" customWidth="1"/>
    <col min="12302" max="12302" width="16" style="40" bestFit="1" customWidth="1"/>
    <col min="12303" max="12303" width="14.85546875" style="40" bestFit="1" customWidth="1"/>
    <col min="12304" max="12304" width="16" style="40" bestFit="1" customWidth="1"/>
    <col min="12305" max="12305" width="12.7109375" style="40" bestFit="1" customWidth="1"/>
    <col min="12306" max="12306" width="14.85546875" style="40" bestFit="1" customWidth="1"/>
    <col min="12307" max="12544" width="9.140625" style="40"/>
    <col min="12545" max="12545" width="6.28515625" style="40" customWidth="1"/>
    <col min="12546" max="12546" width="4.42578125" style="40" customWidth="1"/>
    <col min="12547" max="12547" width="38.42578125" style="40" customWidth="1"/>
    <col min="12548" max="12549" width="0" style="40" hidden="1" customWidth="1"/>
    <col min="12550" max="12550" width="28.140625" style="40" customWidth="1"/>
    <col min="12551" max="12551" width="19.28515625" style="40" bestFit="1" customWidth="1"/>
    <col min="12552" max="12552" width="18" style="40" bestFit="1" customWidth="1"/>
    <col min="12553" max="12553" width="16.28515625" style="40" bestFit="1" customWidth="1"/>
    <col min="12554" max="12554" width="16.5703125" style="40" bestFit="1" customWidth="1"/>
    <col min="12555" max="12555" width="16.42578125" style="40" bestFit="1" customWidth="1"/>
    <col min="12556" max="12556" width="15.5703125" style="40" bestFit="1" customWidth="1"/>
    <col min="12557" max="12557" width="14.85546875" style="40" bestFit="1" customWidth="1"/>
    <col min="12558" max="12558" width="16" style="40" bestFit="1" customWidth="1"/>
    <col min="12559" max="12559" width="14.85546875" style="40" bestFit="1" customWidth="1"/>
    <col min="12560" max="12560" width="16" style="40" bestFit="1" customWidth="1"/>
    <col min="12561" max="12561" width="12.7109375" style="40" bestFit="1" customWidth="1"/>
    <col min="12562" max="12562" width="14.85546875" style="40" bestFit="1" customWidth="1"/>
    <col min="12563" max="12800" width="9.140625" style="40"/>
    <col min="12801" max="12801" width="6.28515625" style="40" customWidth="1"/>
    <col min="12802" max="12802" width="4.42578125" style="40" customWidth="1"/>
    <col min="12803" max="12803" width="38.42578125" style="40" customWidth="1"/>
    <col min="12804" max="12805" width="0" style="40" hidden="1" customWidth="1"/>
    <col min="12806" max="12806" width="28.140625" style="40" customWidth="1"/>
    <col min="12807" max="12807" width="19.28515625" style="40" bestFit="1" customWidth="1"/>
    <col min="12808" max="12808" width="18" style="40" bestFit="1" customWidth="1"/>
    <col min="12809" max="12809" width="16.28515625" style="40" bestFit="1" customWidth="1"/>
    <col min="12810" max="12810" width="16.5703125" style="40" bestFit="1" customWidth="1"/>
    <col min="12811" max="12811" width="16.42578125" style="40" bestFit="1" customWidth="1"/>
    <col min="12812" max="12812" width="15.5703125" style="40" bestFit="1" customWidth="1"/>
    <col min="12813" max="12813" width="14.85546875" style="40" bestFit="1" customWidth="1"/>
    <col min="12814" max="12814" width="16" style="40" bestFit="1" customWidth="1"/>
    <col min="12815" max="12815" width="14.85546875" style="40" bestFit="1" customWidth="1"/>
    <col min="12816" max="12816" width="16" style="40" bestFit="1" customWidth="1"/>
    <col min="12817" max="12817" width="12.7109375" style="40" bestFit="1" customWidth="1"/>
    <col min="12818" max="12818" width="14.85546875" style="40" bestFit="1" customWidth="1"/>
    <col min="12819" max="13056" width="9.140625" style="40"/>
    <col min="13057" max="13057" width="6.28515625" style="40" customWidth="1"/>
    <col min="13058" max="13058" width="4.42578125" style="40" customWidth="1"/>
    <col min="13059" max="13059" width="38.42578125" style="40" customWidth="1"/>
    <col min="13060" max="13061" width="0" style="40" hidden="1" customWidth="1"/>
    <col min="13062" max="13062" width="28.140625" style="40" customWidth="1"/>
    <col min="13063" max="13063" width="19.28515625" style="40" bestFit="1" customWidth="1"/>
    <col min="13064" max="13064" width="18" style="40" bestFit="1" customWidth="1"/>
    <col min="13065" max="13065" width="16.28515625" style="40" bestFit="1" customWidth="1"/>
    <col min="13066" max="13066" width="16.5703125" style="40" bestFit="1" customWidth="1"/>
    <col min="13067" max="13067" width="16.42578125" style="40" bestFit="1" customWidth="1"/>
    <col min="13068" max="13068" width="15.5703125" style="40" bestFit="1" customWidth="1"/>
    <col min="13069" max="13069" width="14.85546875" style="40" bestFit="1" customWidth="1"/>
    <col min="13070" max="13070" width="16" style="40" bestFit="1" customWidth="1"/>
    <col min="13071" max="13071" width="14.85546875" style="40" bestFit="1" customWidth="1"/>
    <col min="13072" max="13072" width="16" style="40" bestFit="1" customWidth="1"/>
    <col min="13073" max="13073" width="12.7109375" style="40" bestFit="1" customWidth="1"/>
    <col min="13074" max="13074" width="14.85546875" style="40" bestFit="1" customWidth="1"/>
    <col min="13075" max="13312" width="9.140625" style="40"/>
    <col min="13313" max="13313" width="6.28515625" style="40" customWidth="1"/>
    <col min="13314" max="13314" width="4.42578125" style="40" customWidth="1"/>
    <col min="13315" max="13315" width="38.42578125" style="40" customWidth="1"/>
    <col min="13316" max="13317" width="0" style="40" hidden="1" customWidth="1"/>
    <col min="13318" max="13318" width="28.140625" style="40" customWidth="1"/>
    <col min="13319" max="13319" width="19.28515625" style="40" bestFit="1" customWidth="1"/>
    <col min="13320" max="13320" width="18" style="40" bestFit="1" customWidth="1"/>
    <col min="13321" max="13321" width="16.28515625" style="40" bestFit="1" customWidth="1"/>
    <col min="13322" max="13322" width="16.5703125" style="40" bestFit="1" customWidth="1"/>
    <col min="13323" max="13323" width="16.42578125" style="40" bestFit="1" customWidth="1"/>
    <col min="13324" max="13324" width="15.5703125" style="40" bestFit="1" customWidth="1"/>
    <col min="13325" max="13325" width="14.85546875" style="40" bestFit="1" customWidth="1"/>
    <col min="13326" max="13326" width="16" style="40" bestFit="1" customWidth="1"/>
    <col min="13327" max="13327" width="14.85546875" style="40" bestFit="1" customWidth="1"/>
    <col min="13328" max="13328" width="16" style="40" bestFit="1" customWidth="1"/>
    <col min="13329" max="13329" width="12.7109375" style="40" bestFit="1" customWidth="1"/>
    <col min="13330" max="13330" width="14.85546875" style="40" bestFit="1" customWidth="1"/>
    <col min="13331" max="13568" width="9.140625" style="40"/>
    <col min="13569" max="13569" width="6.28515625" style="40" customWidth="1"/>
    <col min="13570" max="13570" width="4.42578125" style="40" customWidth="1"/>
    <col min="13571" max="13571" width="38.42578125" style="40" customWidth="1"/>
    <col min="13572" max="13573" width="0" style="40" hidden="1" customWidth="1"/>
    <col min="13574" max="13574" width="28.140625" style="40" customWidth="1"/>
    <col min="13575" max="13575" width="19.28515625" style="40" bestFit="1" customWidth="1"/>
    <col min="13576" max="13576" width="18" style="40" bestFit="1" customWidth="1"/>
    <col min="13577" max="13577" width="16.28515625" style="40" bestFit="1" customWidth="1"/>
    <col min="13578" max="13578" width="16.5703125" style="40" bestFit="1" customWidth="1"/>
    <col min="13579" max="13579" width="16.42578125" style="40" bestFit="1" customWidth="1"/>
    <col min="13580" max="13580" width="15.5703125" style="40" bestFit="1" customWidth="1"/>
    <col min="13581" max="13581" width="14.85546875" style="40" bestFit="1" customWidth="1"/>
    <col min="13582" max="13582" width="16" style="40" bestFit="1" customWidth="1"/>
    <col min="13583" max="13583" width="14.85546875" style="40" bestFit="1" customWidth="1"/>
    <col min="13584" max="13584" width="16" style="40" bestFit="1" customWidth="1"/>
    <col min="13585" max="13585" width="12.7109375" style="40" bestFit="1" customWidth="1"/>
    <col min="13586" max="13586" width="14.85546875" style="40" bestFit="1" customWidth="1"/>
    <col min="13587" max="13824" width="9.140625" style="40"/>
    <col min="13825" max="13825" width="6.28515625" style="40" customWidth="1"/>
    <col min="13826" max="13826" width="4.42578125" style="40" customWidth="1"/>
    <col min="13827" max="13827" width="38.42578125" style="40" customWidth="1"/>
    <col min="13828" max="13829" width="0" style="40" hidden="1" customWidth="1"/>
    <col min="13830" max="13830" width="28.140625" style="40" customWidth="1"/>
    <col min="13831" max="13831" width="19.28515625" style="40" bestFit="1" customWidth="1"/>
    <col min="13832" max="13832" width="18" style="40" bestFit="1" customWidth="1"/>
    <col min="13833" max="13833" width="16.28515625" style="40" bestFit="1" customWidth="1"/>
    <col min="13834" max="13834" width="16.5703125" style="40" bestFit="1" customWidth="1"/>
    <col min="13835" max="13835" width="16.42578125" style="40" bestFit="1" customWidth="1"/>
    <col min="13836" max="13836" width="15.5703125" style="40" bestFit="1" customWidth="1"/>
    <col min="13837" max="13837" width="14.85546875" style="40" bestFit="1" customWidth="1"/>
    <col min="13838" max="13838" width="16" style="40" bestFit="1" customWidth="1"/>
    <col min="13839" max="13839" width="14.85546875" style="40" bestFit="1" customWidth="1"/>
    <col min="13840" max="13840" width="16" style="40" bestFit="1" customWidth="1"/>
    <col min="13841" max="13841" width="12.7109375" style="40" bestFit="1" customWidth="1"/>
    <col min="13842" max="13842" width="14.85546875" style="40" bestFit="1" customWidth="1"/>
    <col min="13843" max="14080" width="9.140625" style="40"/>
    <col min="14081" max="14081" width="6.28515625" style="40" customWidth="1"/>
    <col min="14082" max="14082" width="4.42578125" style="40" customWidth="1"/>
    <col min="14083" max="14083" width="38.42578125" style="40" customWidth="1"/>
    <col min="14084" max="14085" width="0" style="40" hidden="1" customWidth="1"/>
    <col min="14086" max="14086" width="28.140625" style="40" customWidth="1"/>
    <col min="14087" max="14087" width="19.28515625" style="40" bestFit="1" customWidth="1"/>
    <col min="14088" max="14088" width="18" style="40" bestFit="1" customWidth="1"/>
    <col min="14089" max="14089" width="16.28515625" style="40" bestFit="1" customWidth="1"/>
    <col min="14090" max="14090" width="16.5703125" style="40" bestFit="1" customWidth="1"/>
    <col min="14091" max="14091" width="16.42578125" style="40" bestFit="1" customWidth="1"/>
    <col min="14092" max="14092" width="15.5703125" style="40" bestFit="1" customWidth="1"/>
    <col min="14093" max="14093" width="14.85546875" style="40" bestFit="1" customWidth="1"/>
    <col min="14094" max="14094" width="16" style="40" bestFit="1" customWidth="1"/>
    <col min="14095" max="14095" width="14.85546875" style="40" bestFit="1" customWidth="1"/>
    <col min="14096" max="14096" width="16" style="40" bestFit="1" customWidth="1"/>
    <col min="14097" max="14097" width="12.7109375" style="40" bestFit="1" customWidth="1"/>
    <col min="14098" max="14098" width="14.85546875" style="40" bestFit="1" customWidth="1"/>
    <col min="14099" max="14336" width="9.140625" style="40"/>
    <col min="14337" max="14337" width="6.28515625" style="40" customWidth="1"/>
    <col min="14338" max="14338" width="4.42578125" style="40" customWidth="1"/>
    <col min="14339" max="14339" width="38.42578125" style="40" customWidth="1"/>
    <col min="14340" max="14341" width="0" style="40" hidden="1" customWidth="1"/>
    <col min="14342" max="14342" width="28.140625" style="40" customWidth="1"/>
    <col min="14343" max="14343" width="19.28515625" style="40" bestFit="1" customWidth="1"/>
    <col min="14344" max="14344" width="18" style="40" bestFit="1" customWidth="1"/>
    <col min="14345" max="14345" width="16.28515625" style="40" bestFit="1" customWidth="1"/>
    <col min="14346" max="14346" width="16.5703125" style="40" bestFit="1" customWidth="1"/>
    <col min="14347" max="14347" width="16.42578125" style="40" bestFit="1" customWidth="1"/>
    <col min="14348" max="14348" width="15.5703125" style="40" bestFit="1" customWidth="1"/>
    <col min="14349" max="14349" width="14.85546875" style="40" bestFit="1" customWidth="1"/>
    <col min="14350" max="14350" width="16" style="40" bestFit="1" customWidth="1"/>
    <col min="14351" max="14351" width="14.85546875" style="40" bestFit="1" customWidth="1"/>
    <col min="14352" max="14352" width="16" style="40" bestFit="1" customWidth="1"/>
    <col min="14353" max="14353" width="12.7109375" style="40" bestFit="1" customWidth="1"/>
    <col min="14354" max="14354" width="14.85546875" style="40" bestFit="1" customWidth="1"/>
    <col min="14355" max="14592" width="9.140625" style="40"/>
    <col min="14593" max="14593" width="6.28515625" style="40" customWidth="1"/>
    <col min="14594" max="14594" width="4.42578125" style="40" customWidth="1"/>
    <col min="14595" max="14595" width="38.42578125" style="40" customWidth="1"/>
    <col min="14596" max="14597" width="0" style="40" hidden="1" customWidth="1"/>
    <col min="14598" max="14598" width="28.140625" style="40" customWidth="1"/>
    <col min="14599" max="14599" width="19.28515625" style="40" bestFit="1" customWidth="1"/>
    <col min="14600" max="14600" width="18" style="40" bestFit="1" customWidth="1"/>
    <col min="14601" max="14601" width="16.28515625" style="40" bestFit="1" customWidth="1"/>
    <col min="14602" max="14602" width="16.5703125" style="40" bestFit="1" customWidth="1"/>
    <col min="14603" max="14603" width="16.42578125" style="40" bestFit="1" customWidth="1"/>
    <col min="14604" max="14604" width="15.5703125" style="40" bestFit="1" customWidth="1"/>
    <col min="14605" max="14605" width="14.85546875" style="40" bestFit="1" customWidth="1"/>
    <col min="14606" max="14606" width="16" style="40" bestFit="1" customWidth="1"/>
    <col min="14607" max="14607" width="14.85546875" style="40" bestFit="1" customWidth="1"/>
    <col min="14608" max="14608" width="16" style="40" bestFit="1" customWidth="1"/>
    <col min="14609" max="14609" width="12.7109375" style="40" bestFit="1" customWidth="1"/>
    <col min="14610" max="14610" width="14.85546875" style="40" bestFit="1" customWidth="1"/>
    <col min="14611" max="14848" width="9.140625" style="40"/>
    <col min="14849" max="14849" width="6.28515625" style="40" customWidth="1"/>
    <col min="14850" max="14850" width="4.42578125" style="40" customWidth="1"/>
    <col min="14851" max="14851" width="38.42578125" style="40" customWidth="1"/>
    <col min="14852" max="14853" width="0" style="40" hidden="1" customWidth="1"/>
    <col min="14854" max="14854" width="28.140625" style="40" customWidth="1"/>
    <col min="14855" max="14855" width="19.28515625" style="40" bestFit="1" customWidth="1"/>
    <col min="14856" max="14856" width="18" style="40" bestFit="1" customWidth="1"/>
    <col min="14857" max="14857" width="16.28515625" style="40" bestFit="1" customWidth="1"/>
    <col min="14858" max="14858" width="16.5703125" style="40" bestFit="1" customWidth="1"/>
    <col min="14859" max="14859" width="16.42578125" style="40" bestFit="1" customWidth="1"/>
    <col min="14860" max="14860" width="15.5703125" style="40" bestFit="1" customWidth="1"/>
    <col min="14861" max="14861" width="14.85546875" style="40" bestFit="1" customWidth="1"/>
    <col min="14862" max="14862" width="16" style="40" bestFit="1" customWidth="1"/>
    <col min="14863" max="14863" width="14.85546875" style="40" bestFit="1" customWidth="1"/>
    <col min="14864" max="14864" width="16" style="40" bestFit="1" customWidth="1"/>
    <col min="14865" max="14865" width="12.7109375" style="40" bestFit="1" customWidth="1"/>
    <col min="14866" max="14866" width="14.85546875" style="40" bestFit="1" customWidth="1"/>
    <col min="14867" max="15104" width="9.140625" style="40"/>
    <col min="15105" max="15105" width="6.28515625" style="40" customWidth="1"/>
    <col min="15106" max="15106" width="4.42578125" style="40" customWidth="1"/>
    <col min="15107" max="15107" width="38.42578125" style="40" customWidth="1"/>
    <col min="15108" max="15109" width="0" style="40" hidden="1" customWidth="1"/>
    <col min="15110" max="15110" width="28.140625" style="40" customWidth="1"/>
    <col min="15111" max="15111" width="19.28515625" style="40" bestFit="1" customWidth="1"/>
    <col min="15112" max="15112" width="18" style="40" bestFit="1" customWidth="1"/>
    <col min="15113" max="15113" width="16.28515625" style="40" bestFit="1" customWidth="1"/>
    <col min="15114" max="15114" width="16.5703125" style="40" bestFit="1" customWidth="1"/>
    <col min="15115" max="15115" width="16.42578125" style="40" bestFit="1" customWidth="1"/>
    <col min="15116" max="15116" width="15.5703125" style="40" bestFit="1" customWidth="1"/>
    <col min="15117" max="15117" width="14.85546875" style="40" bestFit="1" customWidth="1"/>
    <col min="15118" max="15118" width="16" style="40" bestFit="1" customWidth="1"/>
    <col min="15119" max="15119" width="14.85546875" style="40" bestFit="1" customWidth="1"/>
    <col min="15120" max="15120" width="16" style="40" bestFit="1" customWidth="1"/>
    <col min="15121" max="15121" width="12.7109375" style="40" bestFit="1" customWidth="1"/>
    <col min="15122" max="15122" width="14.85546875" style="40" bestFit="1" customWidth="1"/>
    <col min="15123" max="15360" width="9.140625" style="40"/>
    <col min="15361" max="15361" width="6.28515625" style="40" customWidth="1"/>
    <col min="15362" max="15362" width="4.42578125" style="40" customWidth="1"/>
    <col min="15363" max="15363" width="38.42578125" style="40" customWidth="1"/>
    <col min="15364" max="15365" width="0" style="40" hidden="1" customWidth="1"/>
    <col min="15366" max="15366" width="28.140625" style="40" customWidth="1"/>
    <col min="15367" max="15367" width="19.28515625" style="40" bestFit="1" customWidth="1"/>
    <col min="15368" max="15368" width="18" style="40" bestFit="1" customWidth="1"/>
    <col min="15369" max="15369" width="16.28515625" style="40" bestFit="1" customWidth="1"/>
    <col min="15370" max="15370" width="16.5703125" style="40" bestFit="1" customWidth="1"/>
    <col min="15371" max="15371" width="16.42578125" style="40" bestFit="1" customWidth="1"/>
    <col min="15372" max="15372" width="15.5703125" style="40" bestFit="1" customWidth="1"/>
    <col min="15373" max="15373" width="14.85546875" style="40" bestFit="1" customWidth="1"/>
    <col min="15374" max="15374" width="16" style="40" bestFit="1" customWidth="1"/>
    <col min="15375" max="15375" width="14.85546875" style="40" bestFit="1" customWidth="1"/>
    <col min="15376" max="15376" width="16" style="40" bestFit="1" customWidth="1"/>
    <col min="15377" max="15377" width="12.7109375" style="40" bestFit="1" customWidth="1"/>
    <col min="15378" max="15378" width="14.85546875" style="40" bestFit="1" customWidth="1"/>
    <col min="15379" max="15616" width="9.140625" style="40"/>
    <col min="15617" max="15617" width="6.28515625" style="40" customWidth="1"/>
    <col min="15618" max="15618" width="4.42578125" style="40" customWidth="1"/>
    <col min="15619" max="15619" width="38.42578125" style="40" customWidth="1"/>
    <col min="15620" max="15621" width="0" style="40" hidden="1" customWidth="1"/>
    <col min="15622" max="15622" width="28.140625" style="40" customWidth="1"/>
    <col min="15623" max="15623" width="19.28515625" style="40" bestFit="1" customWidth="1"/>
    <col min="15624" max="15624" width="18" style="40" bestFit="1" customWidth="1"/>
    <col min="15625" max="15625" width="16.28515625" style="40" bestFit="1" customWidth="1"/>
    <col min="15626" max="15626" width="16.5703125" style="40" bestFit="1" customWidth="1"/>
    <col min="15627" max="15627" width="16.42578125" style="40" bestFit="1" customWidth="1"/>
    <col min="15628" max="15628" width="15.5703125" style="40" bestFit="1" customWidth="1"/>
    <col min="15629" max="15629" width="14.85546875" style="40" bestFit="1" customWidth="1"/>
    <col min="15630" max="15630" width="16" style="40" bestFit="1" customWidth="1"/>
    <col min="15631" max="15631" width="14.85546875" style="40" bestFit="1" customWidth="1"/>
    <col min="15632" max="15632" width="16" style="40" bestFit="1" customWidth="1"/>
    <col min="15633" max="15633" width="12.7109375" style="40" bestFit="1" customWidth="1"/>
    <col min="15634" max="15634" width="14.85546875" style="40" bestFit="1" customWidth="1"/>
    <col min="15635" max="15872" width="9.140625" style="40"/>
    <col min="15873" max="15873" width="6.28515625" style="40" customWidth="1"/>
    <col min="15874" max="15874" width="4.42578125" style="40" customWidth="1"/>
    <col min="15875" max="15875" width="38.42578125" style="40" customWidth="1"/>
    <col min="15876" max="15877" width="0" style="40" hidden="1" customWidth="1"/>
    <col min="15878" max="15878" width="28.140625" style="40" customWidth="1"/>
    <col min="15879" max="15879" width="19.28515625" style="40" bestFit="1" customWidth="1"/>
    <col min="15880" max="15880" width="18" style="40" bestFit="1" customWidth="1"/>
    <col min="15881" max="15881" width="16.28515625" style="40" bestFit="1" customWidth="1"/>
    <col min="15882" max="15882" width="16.5703125" style="40" bestFit="1" customWidth="1"/>
    <col min="15883" max="15883" width="16.42578125" style="40" bestFit="1" customWidth="1"/>
    <col min="15884" max="15884" width="15.5703125" style="40" bestFit="1" customWidth="1"/>
    <col min="15885" max="15885" width="14.85546875" style="40" bestFit="1" customWidth="1"/>
    <col min="15886" max="15886" width="16" style="40" bestFit="1" customWidth="1"/>
    <col min="15887" max="15887" width="14.85546875" style="40" bestFit="1" customWidth="1"/>
    <col min="15888" max="15888" width="16" style="40" bestFit="1" customWidth="1"/>
    <col min="15889" max="15889" width="12.7109375" style="40" bestFit="1" customWidth="1"/>
    <col min="15890" max="15890" width="14.85546875" style="40" bestFit="1" customWidth="1"/>
    <col min="15891" max="16128" width="9.140625" style="40"/>
    <col min="16129" max="16129" width="6.28515625" style="40" customWidth="1"/>
    <col min="16130" max="16130" width="4.42578125" style="40" customWidth="1"/>
    <col min="16131" max="16131" width="38.42578125" style="40" customWidth="1"/>
    <col min="16132" max="16133" width="0" style="40" hidden="1" customWidth="1"/>
    <col min="16134" max="16134" width="28.140625" style="40" customWidth="1"/>
    <col min="16135" max="16135" width="19.28515625" style="40" bestFit="1" customWidth="1"/>
    <col min="16136" max="16136" width="18" style="40" bestFit="1" customWidth="1"/>
    <col min="16137" max="16137" width="16.28515625" style="40" bestFit="1" customWidth="1"/>
    <col min="16138" max="16138" width="16.5703125" style="40" bestFit="1" customWidth="1"/>
    <col min="16139" max="16139" width="16.42578125" style="40" bestFit="1" customWidth="1"/>
    <col min="16140" max="16140" width="15.5703125" style="40" bestFit="1" customWidth="1"/>
    <col min="16141" max="16141" width="14.85546875" style="40" bestFit="1" customWidth="1"/>
    <col min="16142" max="16142" width="16" style="40" bestFit="1" customWidth="1"/>
    <col min="16143" max="16143" width="14.85546875" style="40" bestFit="1" customWidth="1"/>
    <col min="16144" max="16144" width="16" style="40" bestFit="1" customWidth="1"/>
    <col min="16145" max="16145" width="12.7109375" style="40" bestFit="1" customWidth="1"/>
    <col min="16146" max="16146" width="14.85546875" style="40" bestFit="1" customWidth="1"/>
    <col min="16147" max="16384" width="9.140625" style="40"/>
  </cols>
  <sheetData>
    <row r="1" spans="1:14" ht="20.25">
      <c r="F1" s="803" t="s">
        <v>1082</v>
      </c>
      <c r="G1" s="803"/>
      <c r="H1" s="803"/>
    </row>
    <row r="4" spans="1:14" ht="38.25">
      <c r="A4" s="435"/>
      <c r="B4" s="48" t="s">
        <v>144</v>
      </c>
      <c r="C4" s="39"/>
      <c r="D4" s="436"/>
      <c r="E4" s="435"/>
      <c r="F4" s="47" t="s">
        <v>145</v>
      </c>
      <c r="G4" s="47" t="s">
        <v>146</v>
      </c>
      <c r="H4" s="47" t="s">
        <v>147</v>
      </c>
      <c r="I4" s="47" t="s">
        <v>148</v>
      </c>
      <c r="J4" s="47" t="s">
        <v>382</v>
      </c>
      <c r="K4" s="113" t="s">
        <v>383</v>
      </c>
      <c r="L4" s="47" t="s">
        <v>384</v>
      </c>
    </row>
    <row r="5" spans="1:14">
      <c r="A5" s="122" t="s">
        <v>151</v>
      </c>
      <c r="C5" s="43" t="s">
        <v>152</v>
      </c>
      <c r="D5" s="49"/>
      <c r="E5" s="49"/>
      <c r="F5" s="49"/>
      <c r="G5" s="49"/>
      <c r="H5" s="49"/>
      <c r="I5" s="49"/>
      <c r="K5" s="382"/>
      <c r="L5" s="49"/>
    </row>
    <row r="6" spans="1:14">
      <c r="A6" s="122" t="s">
        <v>259</v>
      </c>
      <c r="C6" s="49" t="s">
        <v>153</v>
      </c>
      <c r="D6" s="49"/>
      <c r="E6" s="49"/>
      <c r="F6" s="123">
        <f>SUM('#1-Meritus'!F18,'#2-UMMS'!F18,'#3-Prince George''s'!F18,'#4-Holy Cross'!F18,'#5-Frederick Memorial'!F18,'#6-Harford Memorial'!F18,'#7-St. Joseph'!F18,'#8-Mercy'!F18,'#9-Johns Hopkins'!F18,'#10-Shore Health Dorchester'!F18,'#11-St. Agnes'!F18,'#12-Sinai'!F18,'#13-Bon Secours'!F18,'#15-Franklin Square'!F18,'#16-Washington Adventist'!F18,'#17-Garrett County'!F18,'#18-Montgomery General'!F18,'#19-Pennisula General'!F18,'#22-Suburban'!F18,'#23-Anne Arundel Medical Center'!F18,'#24-Union Memorial'!F18,'#27-Western Maryland Regional'!F18,'#28-St. Mary''s'!F18,'#29-JH Bayview'!F18,'#30-Chester River'!F18,'#32-Union Cecil County'!F18,'#33-Carroll Hospital '!F18,'#34-Harbor Hospital'!F18,'#35-Civista Medical Center'!F18,'#37-Shore Health Easton'!F18,'#38-UM Midtown'!F18,'#39-Calvert Memorial'!F18,'#40-Northwest'!F18,'#43-UM Baltimore Washington'!F18,'#44-GBMC'!F18,'#45-McCready'!F18,'#48-Howard County'!F18,'#49-UCH Upper Chesapeake'!F18,'#51-Doctors Community'!F18,'#55-Laurel Regional'!F18,'#60-Ft Washington'!F18,'#61-Atlantic General'!F18,'#62-Southern Maryland'!F18,'#2001-UM Rehab &amp; Ortho'!F18,'#2004-Good Samaritan'!F18,'#5034-Mt. Washington Pediatric'!F18,'#5050-Shady Grove Adventist'!F18)</f>
        <v>0</v>
      </c>
      <c r="G6" s="123">
        <f>SUM('#1-Meritus'!G18,'#2-UMMS'!G18,'#3-Prince George''s'!G18,'#4-Holy Cross'!G18,'#5-Frederick Memorial'!G18,'#6-Harford Memorial'!G18,'#7-St. Joseph'!G18,'#8-Mercy'!G18,'#9-Johns Hopkins'!G18,'#10-Shore Health Dorchester'!G18,'#11-St. Agnes'!G18,'#12-Sinai'!G18,'#13-Bon Secours'!G18,'#15-Franklin Square'!G18,'#16-Washington Adventist'!G18,'#17-Garrett County'!G18,'#18-Montgomery General'!G18,'#19-Pennisula General'!G18,'#22-Suburban'!G18,'#23-Anne Arundel Medical Center'!G18,'#24-Union Memorial'!G18,'#27-Western Maryland Regional'!G18,'#28-St. Mary''s'!G18,'#29-JH Bayview'!G18,'#30-Chester River'!G18,'#32-Union Cecil County'!G18,'#33-Carroll Hospital '!G18,'#34-Harbor Hospital'!G18,'#35-Civista Medical Center'!G18,'#37-Shore Health Easton'!G18,'#38-UM Midtown'!G18,'#39-Calvert Memorial'!G18,'#40-Northwest'!G18,'#43-UM Baltimore Washington'!G18,'#44-GBMC'!G18,'#45-McCready'!G18,'#48-Howard County'!G18,'#49-UCH Upper Chesapeake'!G18,'#51-Doctors Community'!G18,'#55-Laurel Regional'!G18,'#60-Ft Washington'!G18,'#61-Atlantic General'!G18,'#62-Southern Maryland'!G18,'#2001-UM Rehab &amp; Ortho'!G18,'#2004-Good Samaritan'!G18,'#5034-Mt. Washington Pediatric'!G18,'#5050-Shady Grove Adventist'!G18)</f>
        <v>0</v>
      </c>
      <c r="H6" s="123">
        <f>SUM('#1-Meritus'!H18,'#2-UMMS'!H18,'#3-Prince George''s'!H18,'#4-Holy Cross'!H18,'#5-Frederick Memorial'!H18,'#6-Harford Memorial'!H18,'#7-St. Joseph'!H18,'#8-Mercy'!H18,'#9-Johns Hopkins'!H18,'#10-Shore Health Dorchester'!H18,'#11-St. Agnes'!H18,'#12-Sinai'!H18,'#13-Bon Secours'!H18,'#15-Franklin Square'!H18,'#16-Washington Adventist'!H18,'#17-Garrett County'!H18,'#18-Montgomery General'!H18,'#19-Pennisula General'!H18,'#22-Suburban'!H18,'#23-Anne Arundel Medical Center'!H18,'#24-Union Memorial'!H18,'#27-Western Maryland Regional'!H18,'#28-St. Mary''s'!H18,'#29-JH Bayview'!H18,'#30-Chester River'!H18,'#32-Union Cecil County'!H18,'#33-Carroll Hospital '!H18,'#34-Harbor Hospital'!H18,'#35-Civista Medical Center'!H18,'#37-Shore Health Easton'!H18,'#38-UM Midtown'!H18,'#39-Calvert Memorial'!H18,'#40-Northwest'!H18,'#43-UM Baltimore Washington'!H18,'#44-GBMC'!H18,'#45-McCready'!H18,'#48-Howard County'!H18,'#49-UCH Upper Chesapeake'!H18,'#51-Doctors Community'!H18,'#55-Laurel Regional'!H18,'#60-Ft Washington'!H18,'#61-Atlantic General'!H18,'#62-Southern Maryland'!H18,'#2001-UM Rehab &amp; Ortho'!H18,'#2004-Good Samaritan'!H18,'#5034-Mt. Washington Pediatric'!H18,'#5050-Shady Grove Adventist'!H18)</f>
        <v>370856568.70639372</v>
      </c>
      <c r="I6" s="123">
        <f>SUM('#1-Meritus'!I18,'#2-UMMS'!I18,'#3-Prince George''s'!I18,'#4-Holy Cross'!I18,'#5-Frederick Memorial'!I18,'#6-Harford Memorial'!I18,'#7-St. Joseph'!I18,'#8-Mercy'!I18,'#9-Johns Hopkins'!I18,'#10-Shore Health Dorchester'!I18,'#11-St. Agnes'!I18,'#12-Sinai'!I18,'#13-Bon Secours'!I18,'#15-Franklin Square'!I18,'#16-Washington Adventist'!I18,'#17-Garrett County'!I18,'#18-Montgomery General'!I18,'#19-Pennisula General'!I18,'#22-Suburban'!I18,'#23-Anne Arundel Medical Center'!I18,'#24-Union Memorial'!I18,'#27-Western Maryland Regional'!I18,'#28-St. Mary''s'!I18,'#29-JH Bayview'!I18,'#30-Chester River'!I18,'#32-Union Cecil County'!I18,'#33-Carroll Hospital '!I18,'#34-Harbor Hospital'!I18,'#35-Civista Medical Center'!I18,'#37-Shore Health Easton'!I18,'#38-UM Midtown'!I18,'#39-Calvert Memorial'!I18,'#40-Northwest'!I18,'#43-UM Baltimore Washington'!I18,'#44-GBMC'!I18,'#45-McCready'!I18,'#48-Howard County'!I18,'#49-UCH Upper Chesapeake'!I18,'#51-Doctors Community'!I18,'#55-Laurel Regional'!I18,'#60-Ft Washington'!I18,'#61-Atlantic General'!I18,'#62-Southern Maryland'!I18,'#2001-UM Rehab &amp; Ortho'!I18,'#2004-Good Samaritan'!I18,'#5034-Mt. Washington Pediatric'!I18,'#5050-Shady Grove Adventist'!I18)</f>
        <v>0</v>
      </c>
      <c r="J6" s="123">
        <f>SUM('#1-Meritus'!J18,'#2-UMMS'!J18,'#3-Prince George''s'!J18,'#4-Holy Cross'!J18,'#5-Frederick Memorial'!J18,'#6-Harford Memorial'!J18,'#7-St. Joseph'!J18,'#8-Mercy'!J18,'#9-Johns Hopkins'!J18,'#10-Shore Health Dorchester'!J18,'#11-St. Agnes'!J18,'#12-Sinai'!J18,'#13-Bon Secours'!J18,'#15-Franklin Square'!J18,'#16-Washington Adventist'!J18,'#17-Garrett County'!J18,'#18-Montgomery General'!J18,'#19-Pennisula General'!J18,'#22-Suburban'!J18,'#23-Anne Arundel Medical Center'!J18,'#24-Union Memorial'!J18,'#27-Western Maryland Regional'!J18,'#28-St. Mary''s'!J18,'#29-JH Bayview'!J18,'#30-Chester River'!J18,'#32-Union Cecil County'!J18,'#33-Carroll Hospital '!J18,'#34-Harbor Hospital'!J18,'#35-Civista Medical Center'!J18,'#37-Shore Health Easton'!J18,'#38-UM Midtown'!J18,'#39-Calvert Memorial'!J18,'#40-Northwest'!J18,'#43-UM Baltimore Washington'!J18,'#44-GBMC'!J18,'#45-McCready'!J18,'#48-Howard County'!J18,'#49-UCH Upper Chesapeake'!J18,'#51-Doctors Community'!J18,'#55-Laurel Regional'!J18,'#60-Ft Washington'!J18,'#61-Atlantic General'!J18,'#62-Southern Maryland'!J18,'#2001-UM Rehab &amp; Ortho'!J18,'#2004-Good Samaritan'!J18,'#5034-Mt. Washington Pediatric'!J18,'#5050-Shady Grove Adventist'!J18)</f>
        <v>314380692.74617338</v>
      </c>
      <c r="K6" s="123">
        <f>SUM('#1-Meritus'!K18,'#2-UMMS'!K18,'#3-Prince George''s'!K18,'#4-Holy Cross'!K18,'#5-Frederick Memorial'!K18,'#6-Harford Memorial'!K18,'#7-St. Joseph'!K18,'#8-Mercy'!K18,'#9-Johns Hopkins'!K18,'#10-Shore Health Dorchester'!K18,'#11-St. Agnes'!K18,'#12-Sinai'!K18,'#13-Bon Secours'!K18,'#15-Franklin Square'!K18,'#16-Washington Adventist'!K18,'#17-Garrett County'!K18,'#18-Montgomery General'!K18,'#19-Pennisula General'!K18,'#22-Suburban'!K18,'#23-Anne Arundel Medical Center'!K18,'#24-Union Memorial'!K18,'#27-Western Maryland Regional'!K18,'#28-St. Mary''s'!K18,'#29-JH Bayview'!K18,'#30-Chester River'!K18,'#32-Union Cecil County'!K18,'#33-Carroll Hospital '!K18,'#34-Harbor Hospital'!K18,'#35-Civista Medical Center'!K18,'#37-Shore Health Easton'!K18,'#38-UM Midtown'!K18,'#39-Calvert Memorial'!K18,'#40-Northwest'!K18,'#43-UM Baltimore Washington'!K18,'#44-GBMC'!K18,'#45-McCready'!K18,'#48-Howard County'!K18,'#49-UCH Upper Chesapeake'!K18,'#51-Doctors Community'!K18,'#55-Laurel Regional'!K18,'#60-Ft Washington'!K18,'#61-Atlantic General'!K18,'#62-Southern Maryland'!K18,'#2001-UM Rehab &amp; Ortho'!K18,'#2004-Good Samaritan'!K18,'#5034-Mt. Washington Pediatric'!K18,'#5050-Shady Grove Adventist'!K18)</f>
        <v>56475875.960220315</v>
      </c>
      <c r="L6" s="123">
        <f>K6-I6</f>
        <v>56475875.960220315</v>
      </c>
      <c r="M6" s="131"/>
      <c r="N6" s="131"/>
    </row>
    <row r="7" spans="1:14" ht="38.25">
      <c r="A7" s="435" t="s">
        <v>154</v>
      </c>
      <c r="B7" s="435"/>
      <c r="C7" s="436"/>
      <c r="D7" s="436"/>
      <c r="E7" s="436"/>
      <c r="F7" s="47" t="s">
        <v>145</v>
      </c>
      <c r="G7" s="47" t="s">
        <v>146</v>
      </c>
      <c r="H7" s="47" t="s">
        <v>385</v>
      </c>
      <c r="I7" s="47" t="s">
        <v>386</v>
      </c>
      <c r="J7" s="113" t="s">
        <v>382</v>
      </c>
      <c r="K7" s="125" t="s">
        <v>383</v>
      </c>
      <c r="L7" s="47" t="s">
        <v>384</v>
      </c>
      <c r="M7" s="131"/>
      <c r="N7" s="131"/>
    </row>
    <row r="8" spans="1:14">
      <c r="A8" s="48" t="s">
        <v>260</v>
      </c>
      <c r="B8" s="43" t="s">
        <v>155</v>
      </c>
      <c r="J8" s="114"/>
      <c r="K8" s="126"/>
      <c r="M8" s="131"/>
      <c r="N8" s="131"/>
    </row>
    <row r="9" spans="1:14">
      <c r="A9" s="45" t="s">
        <v>164</v>
      </c>
      <c r="B9" s="49" t="s">
        <v>156</v>
      </c>
      <c r="F9" s="123">
        <f>SUM('#1-Meritus'!F21,'#2-UMMS'!F21,'#3-Prince George''s'!F21,'#4-Holy Cross'!F21,'#5-Frederick Memorial'!F21,'#6-Harford Memorial'!F21,'#7-St. Joseph'!F21,'#8-Mercy'!F21,'#9-Johns Hopkins'!F21,'#10-Shore Health Dorchester'!F21,'#11-St. Agnes'!F21,'#12-Sinai'!F21,'#13-Bon Secours'!F21,'#15-Franklin Square'!F21,'#16-Washington Adventist'!F21,'#17-Garrett County'!F21,'#18-Montgomery General'!F21,'#19-Pennisula General'!F21,'#22-Suburban'!F21,'#23-Anne Arundel Medical Center'!F21,'#24-Union Memorial'!F21,'#27-Western Maryland Regional'!F21,'#28-St. Mary''s'!F21,'#29-JH Bayview'!F21,'#30-Chester River'!F21,'#32-Union Cecil County'!F21,'#33-Carroll Hospital '!F21,'#34-Harbor Hospital'!F21,'#35-Civista Medical Center'!F21,'#37-Shore Health Easton'!F21,'#38-UM Midtown'!F21,'#39-Calvert Memorial'!F21,'#40-Northwest'!F21,'#43-UM Baltimore Washington'!F21,'#44-GBMC'!F21,'#45-McCready'!F21,'#48-Howard County'!F21,'#49-UCH Upper Chesapeake'!F21,'#51-Doctors Community'!F21,'#55-Laurel Regional'!F21,'#60-Ft Washington'!F21,'#61-Atlantic General'!F21,'#62-Southern Maryland'!F21,'#2001-UM Rehab &amp; Ortho'!F21,'#2004-Good Samaritan'!F21,'#5034-Mt. Washington Pediatric'!F21,'#5050-Shady Grove Adventist'!F21)</f>
        <v>246595.30333028993</v>
      </c>
      <c r="G9" s="123">
        <f>SUM('#1-Meritus'!G21,'#2-UMMS'!G21,'#3-Prince George''s'!G21,'#4-Holy Cross'!G21,'#5-Frederick Memorial'!G21,'#6-Harford Memorial'!G21,'#7-St. Joseph'!G21,'#8-Mercy'!G21,'#9-Johns Hopkins'!G21,'#10-Shore Health Dorchester'!G21,'#11-St. Agnes'!G21,'#12-Sinai'!G21,'#13-Bon Secours'!G21,'#15-Franklin Square'!G21,'#16-Washington Adventist'!G21,'#17-Garrett County'!G21,'#18-Montgomery General'!G21,'#19-Pennisula General'!G21,'#22-Suburban'!G21,'#23-Anne Arundel Medical Center'!G21,'#24-Union Memorial'!G21,'#27-Western Maryland Regional'!G21,'#28-St. Mary''s'!G21,'#29-JH Bayview'!G21,'#30-Chester River'!G21,'#32-Union Cecil County'!G21,'#33-Carroll Hospital '!G21,'#34-Harbor Hospital'!G21,'#35-Civista Medical Center'!G21,'#37-Shore Health Easton'!G21,'#38-UM Midtown'!G21,'#39-Calvert Memorial'!G21,'#40-Northwest'!G21,'#43-UM Baltimore Washington'!G21,'#44-GBMC'!G21,'#45-McCready'!G21,'#48-Howard County'!G21,'#49-UCH Upper Chesapeake'!G21,'#51-Doctors Community'!G21,'#55-Laurel Regional'!G21,'#60-Ft Washington'!G21,'#61-Atlantic General'!G21,'#62-Southern Maryland'!G21,'#2001-UM Rehab &amp; Ortho'!G21,'#2004-Good Samaritan'!G21,'#5034-Mt. Washington Pediatric'!G21,'#5050-Shady Grove Adventist'!G21)</f>
        <v>18023638.553888887</v>
      </c>
      <c r="H9" s="123">
        <f>SUM('#1-Meritus'!H21,'#2-UMMS'!H21,'#3-Prince George''s'!H21,'#4-Holy Cross'!H21,'#5-Frederick Memorial'!H21,'#6-Harford Memorial'!H21,'#7-St. Joseph'!H21,'#8-Mercy'!H21,'#9-Johns Hopkins'!H21,'#10-Shore Health Dorchester'!H21,'#11-St. Agnes'!H21,'#12-Sinai'!H21,'#13-Bon Secours'!H21,'#15-Franklin Square'!H21,'#16-Washington Adventist'!H21,'#17-Garrett County'!H21,'#18-Montgomery General'!H21,'#19-Pennisula General'!H21,'#22-Suburban'!H21,'#23-Anne Arundel Medical Center'!H21,'#24-Union Memorial'!H21,'#27-Western Maryland Regional'!H21,'#28-St. Mary''s'!H21,'#29-JH Bayview'!H21,'#30-Chester River'!H21,'#32-Union Cecil County'!H21,'#33-Carroll Hospital '!H21,'#34-Harbor Hospital'!H21,'#35-Civista Medical Center'!H21,'#37-Shore Health Easton'!H21,'#38-UM Midtown'!H21,'#39-Calvert Memorial'!H21,'#40-Northwest'!H21,'#43-UM Baltimore Washington'!H21,'#44-GBMC'!H21,'#45-McCready'!H21,'#48-Howard County'!H21,'#49-UCH Upper Chesapeake'!H21,'#51-Doctors Community'!H21,'#55-Laurel Regional'!H21,'#60-Ft Washington'!H21,'#61-Atlantic General'!H21,'#62-Southern Maryland'!H21,'#2001-UM Rehab &amp; Ortho'!H21,'#2004-Good Samaritan'!H21,'#5034-Mt. Washington Pediatric'!H21,'#5050-Shady Grove Adventist'!H21)</f>
        <v>15644691.91750364</v>
      </c>
      <c r="I9" s="123">
        <f>SUM('#1-Meritus'!I21,'#2-UMMS'!I21,'#3-Prince George''s'!I21,'#4-Holy Cross'!I21,'#5-Frederick Memorial'!I21,'#6-Harford Memorial'!I21,'#7-St. Joseph'!I21,'#8-Mercy'!I21,'#9-Johns Hopkins'!I21,'#10-Shore Health Dorchester'!I21,'#11-St. Agnes'!I21,'#12-Sinai'!I21,'#13-Bon Secours'!I21,'#15-Franklin Square'!I21,'#16-Washington Adventist'!I21,'#17-Garrett County'!I21,'#18-Montgomery General'!I21,'#19-Pennisula General'!I21,'#22-Suburban'!I21,'#23-Anne Arundel Medical Center'!I21,'#24-Union Memorial'!I21,'#27-Western Maryland Regional'!I21,'#28-St. Mary''s'!I21,'#29-JH Bayview'!I21,'#30-Chester River'!I21,'#32-Union Cecil County'!I21,'#33-Carroll Hospital '!I21,'#34-Harbor Hospital'!I21,'#35-Civista Medical Center'!I21,'#37-Shore Health Easton'!I21,'#38-UM Midtown'!I21,'#39-Calvert Memorial'!I21,'#40-Northwest'!I21,'#43-UM Baltimore Washington'!I21,'#44-GBMC'!I21,'#45-McCready'!I21,'#48-Howard County'!I21,'#49-UCH Upper Chesapeake'!I21,'#51-Doctors Community'!I21,'#55-Laurel Regional'!I21,'#60-Ft Washington'!I21,'#61-Atlantic General'!I21,'#62-Southern Maryland'!I21,'#2001-UM Rehab &amp; Ortho'!I21,'#2004-Good Samaritan'!I21,'#5034-Mt. Washington Pediatric'!I21,'#5050-Shady Grove Adventist'!I21)</f>
        <v>8799235.5032927059</v>
      </c>
      <c r="J9" s="123">
        <f>SUM('#1-Meritus'!J21,'#2-UMMS'!J21,'#3-Prince George''s'!J21,'#4-Holy Cross'!J21,'#5-Frederick Memorial'!J21,'#6-Harford Memorial'!J21,'#7-St. Joseph'!J21,'#8-Mercy'!J21,'#9-Johns Hopkins'!J21,'#10-Shore Health Dorchester'!J21,'#11-St. Agnes'!J21,'#12-Sinai'!J21,'#13-Bon Secours'!J21,'#15-Franklin Square'!J21,'#16-Washington Adventist'!J21,'#17-Garrett County'!J21,'#18-Montgomery General'!J21,'#19-Pennisula General'!J21,'#22-Suburban'!J21,'#23-Anne Arundel Medical Center'!J21,'#24-Union Memorial'!J21,'#27-Western Maryland Regional'!J21,'#28-St. Mary''s'!J21,'#29-JH Bayview'!J21,'#30-Chester River'!J21,'#32-Union Cecil County'!J21,'#33-Carroll Hospital '!J21,'#34-Harbor Hospital'!J21,'#35-Civista Medical Center'!J21,'#37-Shore Health Easton'!J21,'#38-UM Midtown'!J21,'#39-Calvert Memorial'!J21,'#40-Northwest'!J21,'#43-UM Baltimore Washington'!J21,'#44-GBMC'!J21,'#45-McCready'!J21,'#48-Howard County'!J21,'#49-UCH Upper Chesapeake'!J21,'#51-Doctors Community'!J21,'#55-Laurel Regional'!J21,'#60-Ft Washington'!J21,'#61-Atlantic General'!J21,'#62-Southern Maryland'!J21,'#2001-UM Rehab &amp; Ortho'!J21,'#2004-Good Samaritan'!J21,'#5034-Mt. Washington Pediatric'!J21,'#5050-Shady Grove Adventist'!J21)</f>
        <v>1377883.034</v>
      </c>
      <c r="K9" s="123">
        <f>+H9+I9-J9</f>
        <v>23066044.386796348</v>
      </c>
      <c r="L9" s="123">
        <f>+H9-J9</f>
        <v>14266808.88350364</v>
      </c>
      <c r="M9" s="131"/>
      <c r="N9" s="131"/>
    </row>
    <row r="10" spans="1:14">
      <c r="A10" s="45" t="s">
        <v>261</v>
      </c>
      <c r="B10" s="40" t="s">
        <v>157</v>
      </c>
      <c r="F10" s="123">
        <f>SUM('#1-Meritus'!F22,'#2-UMMS'!F22,'#3-Prince George''s'!F22,'#4-Holy Cross'!F22,'#5-Frederick Memorial'!F22,'#6-Harford Memorial'!F22,'#7-St. Joseph'!F22,'#8-Mercy'!F22,'#9-Johns Hopkins'!F22,'#10-Shore Health Dorchester'!F22,'#11-St. Agnes'!F22,'#12-Sinai'!F22,'#13-Bon Secours'!F22,'#15-Franklin Square'!F22,'#16-Washington Adventist'!F22,'#17-Garrett County'!F22,'#18-Montgomery General'!F22,'#19-Pennisula General'!F22,'#22-Suburban'!F22,'#23-Anne Arundel Medical Center'!F22,'#24-Union Memorial'!F22,'#27-Western Maryland Regional'!F22,'#28-St. Mary''s'!F22,'#29-JH Bayview'!F22,'#30-Chester River'!F22,'#32-Union Cecil County'!F22,'#33-Carroll Hospital '!F22,'#34-Harbor Hospital'!F22,'#35-Civista Medical Center'!F22,'#37-Shore Health Easton'!F22,'#38-UM Midtown'!F22,'#39-Calvert Memorial'!F22,'#40-Northwest'!F22,'#43-UM Baltimore Washington'!F22,'#44-GBMC'!F22,'#45-McCready'!F22,'#48-Howard County'!F22,'#49-UCH Upper Chesapeake'!F22,'#51-Doctors Community'!F22,'#55-Laurel Regional'!F22,'#60-Ft Washington'!F22,'#61-Atlantic General'!F22,'#62-Southern Maryland'!F22,'#2001-UM Rehab &amp; Ortho'!F22,'#2004-Good Samaritan'!F22,'#5034-Mt. Washington Pediatric'!F22,'#5050-Shady Grove Adventist'!F22)</f>
        <v>16079.410903903217</v>
      </c>
      <c r="G10" s="123">
        <f>SUM('#1-Meritus'!G22,'#2-UMMS'!G22,'#3-Prince George''s'!G22,'#4-Holy Cross'!G22,'#5-Frederick Memorial'!G22,'#6-Harford Memorial'!G22,'#7-St. Joseph'!G22,'#8-Mercy'!G22,'#9-Johns Hopkins'!G22,'#10-Shore Health Dorchester'!G22,'#11-St. Agnes'!G22,'#12-Sinai'!G22,'#13-Bon Secours'!G22,'#15-Franklin Square'!G22,'#16-Washington Adventist'!G22,'#17-Garrett County'!G22,'#18-Montgomery General'!G22,'#19-Pennisula General'!G22,'#22-Suburban'!G22,'#23-Anne Arundel Medical Center'!G22,'#24-Union Memorial'!G22,'#27-Western Maryland Regional'!G22,'#28-St. Mary''s'!G22,'#29-JH Bayview'!G22,'#30-Chester River'!G22,'#32-Union Cecil County'!G22,'#33-Carroll Hospital '!G22,'#34-Harbor Hospital'!G22,'#35-Civista Medical Center'!G22,'#37-Shore Health Easton'!G22,'#38-UM Midtown'!G22,'#39-Calvert Memorial'!G22,'#40-Northwest'!G22,'#43-UM Baltimore Washington'!G22,'#44-GBMC'!G22,'#45-McCready'!G22,'#48-Howard County'!G22,'#49-UCH Upper Chesapeake'!G22,'#51-Doctors Community'!G22,'#55-Laurel Regional'!G22,'#60-Ft Washington'!G22,'#61-Atlantic General'!G22,'#62-Southern Maryland'!G22,'#2001-UM Rehab &amp; Ortho'!G22,'#2004-Good Samaritan'!G22,'#5034-Mt. Washington Pediatric'!G22,'#5050-Shady Grove Adventist'!G22)</f>
        <v>48947.944444444445</v>
      </c>
      <c r="H10" s="123">
        <f>SUM('#1-Meritus'!H22,'#2-UMMS'!H22,'#3-Prince George''s'!H22,'#4-Holy Cross'!H22,'#5-Frederick Memorial'!H22,'#6-Harford Memorial'!H22,'#7-St. Joseph'!H22,'#8-Mercy'!H22,'#9-Johns Hopkins'!H22,'#10-Shore Health Dorchester'!H22,'#11-St. Agnes'!H22,'#12-Sinai'!H22,'#13-Bon Secours'!H22,'#15-Franklin Square'!H22,'#16-Washington Adventist'!H22,'#17-Garrett County'!H22,'#18-Montgomery General'!H22,'#19-Pennisula General'!H22,'#22-Suburban'!H22,'#23-Anne Arundel Medical Center'!H22,'#24-Union Memorial'!H22,'#27-Western Maryland Regional'!H22,'#28-St. Mary''s'!H22,'#29-JH Bayview'!H22,'#30-Chester River'!H22,'#32-Union Cecil County'!H22,'#33-Carroll Hospital '!H22,'#34-Harbor Hospital'!H22,'#35-Civista Medical Center'!H22,'#37-Shore Health Easton'!H22,'#38-UM Midtown'!H22,'#39-Calvert Memorial'!H22,'#40-Northwest'!H22,'#43-UM Baltimore Washington'!H22,'#44-GBMC'!H22,'#45-McCready'!H22,'#48-Howard County'!H22,'#49-UCH Upper Chesapeake'!H22,'#51-Doctors Community'!H22,'#55-Laurel Regional'!H22,'#60-Ft Washington'!H22,'#61-Atlantic General'!H22,'#62-Southern Maryland'!H22,'#2001-UM Rehab &amp; Ortho'!H22,'#2004-Good Samaritan'!H22,'#5034-Mt. Washington Pediatric'!H22,'#5050-Shady Grove Adventist'!H22)</f>
        <v>810519.09210669901</v>
      </c>
      <c r="I10" s="123">
        <f>SUM('#1-Meritus'!I22,'#2-UMMS'!I22,'#3-Prince George''s'!I22,'#4-Holy Cross'!I22,'#5-Frederick Memorial'!I22,'#6-Harford Memorial'!I22,'#7-St. Joseph'!I22,'#8-Mercy'!I22,'#9-Johns Hopkins'!I22,'#10-Shore Health Dorchester'!I22,'#11-St. Agnes'!I22,'#12-Sinai'!I22,'#13-Bon Secours'!I22,'#15-Franklin Square'!I22,'#16-Washington Adventist'!I22,'#17-Garrett County'!I22,'#18-Montgomery General'!I22,'#19-Pennisula General'!I22,'#22-Suburban'!I22,'#23-Anne Arundel Medical Center'!I22,'#24-Union Memorial'!I22,'#27-Western Maryland Regional'!I22,'#28-St. Mary''s'!I22,'#29-JH Bayview'!I22,'#30-Chester River'!I22,'#32-Union Cecil County'!I22,'#33-Carroll Hospital '!I22,'#34-Harbor Hospital'!I22,'#35-Civista Medical Center'!I22,'#37-Shore Health Easton'!I22,'#38-UM Midtown'!I22,'#39-Calvert Memorial'!I22,'#40-Northwest'!I22,'#43-UM Baltimore Washington'!I22,'#44-GBMC'!I22,'#45-McCready'!I22,'#48-Howard County'!I22,'#49-UCH Upper Chesapeake'!I22,'#51-Doctors Community'!I22,'#55-Laurel Regional'!I22,'#60-Ft Washington'!I22,'#61-Atlantic General'!I22,'#62-Southern Maryland'!I22,'#2001-UM Rehab &amp; Ortho'!I22,'#2004-Good Samaritan'!I22,'#5034-Mt. Washington Pediatric'!I22,'#5050-Shady Grove Adventist'!I22)</f>
        <v>451570.23136253789</v>
      </c>
      <c r="J10" s="123">
        <f>SUM('#1-Meritus'!J22,'#2-UMMS'!J22,'#3-Prince George''s'!J22,'#4-Holy Cross'!J22,'#5-Frederick Memorial'!J22,'#6-Harford Memorial'!J22,'#7-St. Joseph'!J22,'#8-Mercy'!J22,'#9-Johns Hopkins'!J22,'#10-Shore Health Dorchester'!J22,'#11-St. Agnes'!J22,'#12-Sinai'!J22,'#13-Bon Secours'!J22,'#15-Franklin Square'!J22,'#16-Washington Adventist'!J22,'#17-Garrett County'!J22,'#18-Montgomery General'!J22,'#19-Pennisula General'!J22,'#22-Suburban'!J22,'#23-Anne Arundel Medical Center'!J22,'#24-Union Memorial'!J22,'#27-Western Maryland Regional'!J22,'#28-St. Mary''s'!J22,'#29-JH Bayview'!J22,'#30-Chester River'!J22,'#32-Union Cecil County'!J22,'#33-Carroll Hospital '!J22,'#34-Harbor Hospital'!J22,'#35-Civista Medical Center'!J22,'#37-Shore Health Easton'!J22,'#38-UM Midtown'!J22,'#39-Calvert Memorial'!J22,'#40-Northwest'!J22,'#43-UM Baltimore Washington'!J22,'#44-GBMC'!J22,'#45-McCready'!J22,'#48-Howard County'!J22,'#49-UCH Upper Chesapeake'!J22,'#51-Doctors Community'!J22,'#55-Laurel Regional'!J22,'#60-Ft Washington'!J22,'#61-Atlantic General'!J22,'#62-Southern Maryland'!J22,'#2001-UM Rehab &amp; Ortho'!J22,'#2004-Good Samaritan'!J22,'#5034-Mt. Washington Pediatric'!J22,'#5050-Shady Grove Adventist'!J22)</f>
        <v>9432.1299999999992</v>
      </c>
      <c r="K10" s="123">
        <f t="shared" ref="K10:K18" si="0">+H10+I10-J10</f>
        <v>1252657.1934692371</v>
      </c>
      <c r="L10" s="123">
        <f t="shared" ref="L10:L18" si="1">+H10-J10</f>
        <v>801086.96210669901</v>
      </c>
      <c r="M10" s="131"/>
      <c r="N10" s="131"/>
    </row>
    <row r="11" spans="1:14">
      <c r="A11" s="45" t="s">
        <v>262</v>
      </c>
      <c r="B11" s="40" t="s">
        <v>158</v>
      </c>
      <c r="F11" s="123">
        <f>SUM('#1-Meritus'!F23,'#2-UMMS'!F23,'#3-Prince George''s'!F23,'#4-Holy Cross'!F23,'#5-Frederick Memorial'!F23,'#6-Harford Memorial'!F23,'#7-St. Joseph'!F23,'#8-Mercy'!F23,'#9-Johns Hopkins'!F23,'#10-Shore Health Dorchester'!F23,'#11-St. Agnes'!F23,'#12-Sinai'!F23,'#13-Bon Secours'!F23,'#15-Franklin Square'!F23,'#16-Washington Adventist'!F23,'#17-Garrett County'!F23,'#18-Montgomery General'!F23,'#19-Pennisula General'!F23,'#22-Suburban'!F23,'#23-Anne Arundel Medical Center'!F23,'#24-Union Memorial'!F23,'#27-Western Maryland Regional'!F23,'#28-St. Mary''s'!F23,'#29-JH Bayview'!F23,'#30-Chester River'!F23,'#32-Union Cecil County'!F23,'#33-Carroll Hospital '!F23,'#34-Harbor Hospital'!F23,'#35-Civista Medical Center'!F23,'#37-Shore Health Easton'!F23,'#38-UM Midtown'!F23,'#39-Calvert Memorial'!F23,'#40-Northwest'!F23,'#43-UM Baltimore Washington'!F23,'#44-GBMC'!F23,'#45-McCready'!F23,'#48-Howard County'!F23,'#49-UCH Upper Chesapeake'!F23,'#51-Doctors Community'!F23,'#55-Laurel Regional'!F23,'#60-Ft Washington'!F23,'#61-Atlantic General'!F23,'#62-Southern Maryland'!F23,'#2001-UM Rehab &amp; Ortho'!F23,'#2004-Good Samaritan'!F23,'#5034-Mt. Washington Pediatric'!F23,'#5050-Shady Grove Adventist'!F23)</f>
        <v>30816.5</v>
      </c>
      <c r="G11" s="123">
        <f>SUM('#1-Meritus'!G23,'#2-UMMS'!G23,'#3-Prince George''s'!G23,'#4-Holy Cross'!G23,'#5-Frederick Memorial'!G23,'#6-Harford Memorial'!G23,'#7-St. Joseph'!G23,'#8-Mercy'!G23,'#9-Johns Hopkins'!G23,'#10-Shore Health Dorchester'!G23,'#11-St. Agnes'!G23,'#12-Sinai'!G23,'#13-Bon Secours'!G23,'#15-Franklin Square'!G23,'#16-Washington Adventist'!G23,'#17-Garrett County'!G23,'#18-Montgomery General'!G23,'#19-Pennisula General'!G23,'#22-Suburban'!G23,'#23-Anne Arundel Medical Center'!G23,'#24-Union Memorial'!G23,'#27-Western Maryland Regional'!G23,'#28-St. Mary''s'!G23,'#29-JH Bayview'!G23,'#30-Chester River'!G23,'#32-Union Cecil County'!G23,'#33-Carroll Hospital '!G23,'#34-Harbor Hospital'!G23,'#35-Civista Medical Center'!G23,'#37-Shore Health Easton'!G23,'#38-UM Midtown'!G23,'#39-Calvert Memorial'!G23,'#40-Northwest'!G23,'#43-UM Baltimore Washington'!G23,'#44-GBMC'!G23,'#45-McCready'!G23,'#48-Howard County'!G23,'#49-UCH Upper Chesapeake'!G23,'#51-Doctors Community'!G23,'#55-Laurel Regional'!G23,'#60-Ft Washington'!G23,'#61-Atlantic General'!G23,'#62-Southern Maryland'!G23,'#2001-UM Rehab &amp; Ortho'!G23,'#2004-Good Samaritan'!G23,'#5034-Mt. Washington Pediatric'!G23,'#5050-Shady Grove Adventist'!G23)</f>
        <v>111494.00000000001</v>
      </c>
      <c r="H11" s="123">
        <f>SUM('#1-Meritus'!H23,'#2-UMMS'!H23,'#3-Prince George''s'!H23,'#4-Holy Cross'!H23,'#5-Frederick Memorial'!H23,'#6-Harford Memorial'!H23,'#7-St. Joseph'!H23,'#8-Mercy'!H23,'#9-Johns Hopkins'!H23,'#10-Shore Health Dorchester'!H23,'#11-St. Agnes'!H23,'#12-Sinai'!H23,'#13-Bon Secours'!H23,'#15-Franklin Square'!H23,'#16-Washington Adventist'!H23,'#17-Garrett County'!H23,'#18-Montgomery General'!H23,'#19-Pennisula General'!H23,'#22-Suburban'!H23,'#23-Anne Arundel Medical Center'!H23,'#24-Union Memorial'!H23,'#27-Western Maryland Regional'!H23,'#28-St. Mary''s'!H23,'#29-JH Bayview'!H23,'#30-Chester River'!H23,'#32-Union Cecil County'!H23,'#33-Carroll Hospital '!H23,'#34-Harbor Hospital'!H23,'#35-Civista Medical Center'!H23,'#37-Shore Health Easton'!H23,'#38-UM Midtown'!H23,'#39-Calvert Memorial'!H23,'#40-Northwest'!H23,'#43-UM Baltimore Washington'!H23,'#44-GBMC'!H23,'#45-McCready'!H23,'#48-Howard County'!H23,'#49-UCH Upper Chesapeake'!H23,'#51-Doctors Community'!H23,'#55-Laurel Regional'!H23,'#60-Ft Washington'!H23,'#61-Atlantic General'!H23,'#62-Southern Maryland'!H23,'#2001-UM Rehab &amp; Ortho'!H23,'#2004-Good Samaritan'!H23,'#5034-Mt. Washington Pediatric'!H23,'#5050-Shady Grove Adventist'!H23)</f>
        <v>1693385.2853181299</v>
      </c>
      <c r="I11" s="123">
        <f>SUM('#1-Meritus'!I23,'#2-UMMS'!I23,'#3-Prince George''s'!I23,'#4-Holy Cross'!I23,'#5-Frederick Memorial'!I23,'#6-Harford Memorial'!I23,'#7-St. Joseph'!I23,'#8-Mercy'!I23,'#9-Johns Hopkins'!I23,'#10-Shore Health Dorchester'!I23,'#11-St. Agnes'!I23,'#12-Sinai'!I23,'#13-Bon Secours'!I23,'#15-Franklin Square'!I23,'#16-Washington Adventist'!I23,'#17-Garrett County'!I23,'#18-Montgomery General'!I23,'#19-Pennisula General'!I23,'#22-Suburban'!I23,'#23-Anne Arundel Medical Center'!I23,'#24-Union Memorial'!I23,'#27-Western Maryland Regional'!I23,'#28-St. Mary''s'!I23,'#29-JH Bayview'!I23,'#30-Chester River'!I23,'#32-Union Cecil County'!I23,'#33-Carroll Hospital '!I23,'#34-Harbor Hospital'!I23,'#35-Civista Medical Center'!I23,'#37-Shore Health Easton'!I23,'#38-UM Midtown'!I23,'#39-Calvert Memorial'!I23,'#40-Northwest'!I23,'#43-UM Baltimore Washington'!I23,'#44-GBMC'!I23,'#45-McCready'!I23,'#48-Howard County'!I23,'#49-UCH Upper Chesapeake'!I23,'#51-Doctors Community'!I23,'#55-Laurel Regional'!I23,'#60-Ft Washington'!I23,'#61-Atlantic General'!I23,'#62-Southern Maryland'!I23,'#2001-UM Rehab &amp; Ortho'!I23,'#2004-Good Samaritan'!I23,'#5034-Mt. Washington Pediatric'!I23,'#5050-Shady Grove Adventist'!I23)</f>
        <v>918426.6244156051</v>
      </c>
      <c r="J11" s="123">
        <f>SUM('#1-Meritus'!J23,'#2-UMMS'!J23,'#3-Prince George''s'!J23,'#4-Holy Cross'!J23,'#5-Frederick Memorial'!J23,'#6-Harford Memorial'!J23,'#7-St. Joseph'!J23,'#8-Mercy'!J23,'#9-Johns Hopkins'!J23,'#10-Shore Health Dorchester'!J23,'#11-St. Agnes'!J23,'#12-Sinai'!J23,'#13-Bon Secours'!J23,'#15-Franklin Square'!J23,'#16-Washington Adventist'!J23,'#17-Garrett County'!J23,'#18-Montgomery General'!J23,'#19-Pennisula General'!J23,'#22-Suburban'!J23,'#23-Anne Arundel Medical Center'!J23,'#24-Union Memorial'!J23,'#27-Western Maryland Regional'!J23,'#28-St. Mary''s'!J23,'#29-JH Bayview'!J23,'#30-Chester River'!J23,'#32-Union Cecil County'!J23,'#33-Carroll Hospital '!J23,'#34-Harbor Hospital'!J23,'#35-Civista Medical Center'!J23,'#37-Shore Health Easton'!J23,'#38-UM Midtown'!J23,'#39-Calvert Memorial'!J23,'#40-Northwest'!J23,'#43-UM Baltimore Washington'!J23,'#44-GBMC'!J23,'#45-McCready'!J23,'#48-Howard County'!J23,'#49-UCH Upper Chesapeake'!J23,'#51-Doctors Community'!J23,'#55-Laurel Regional'!J23,'#60-Ft Washington'!J23,'#61-Atlantic General'!J23,'#62-Southern Maryland'!J23,'#2001-UM Rehab &amp; Ortho'!J23,'#2004-Good Samaritan'!J23,'#5034-Mt. Washington Pediatric'!J23,'#5050-Shady Grove Adventist'!J23)</f>
        <v>884115</v>
      </c>
      <c r="K11" s="123">
        <f t="shared" si="0"/>
        <v>1727696.909733735</v>
      </c>
      <c r="L11" s="123">
        <f t="shared" si="1"/>
        <v>809270.28531812993</v>
      </c>
      <c r="M11" s="131"/>
      <c r="N11" s="131"/>
    </row>
    <row r="12" spans="1:14">
      <c r="A12" s="45" t="s">
        <v>263</v>
      </c>
      <c r="B12" s="40" t="s">
        <v>159</v>
      </c>
      <c r="F12" s="123">
        <f>SUM('#1-Meritus'!F24,'#2-UMMS'!F24,'#3-Prince George''s'!F24,'#4-Holy Cross'!F24,'#5-Frederick Memorial'!F24,'#6-Harford Memorial'!F24,'#7-St. Joseph'!F24,'#8-Mercy'!F24,'#9-Johns Hopkins'!F24,'#10-Shore Health Dorchester'!F24,'#11-St. Agnes'!F24,'#12-Sinai'!F24,'#13-Bon Secours'!F24,'#15-Franklin Square'!F24,'#16-Washington Adventist'!F24,'#17-Garrett County'!F24,'#18-Montgomery General'!F24,'#19-Pennisula General'!F24,'#22-Suburban'!F24,'#23-Anne Arundel Medical Center'!F24,'#24-Union Memorial'!F24,'#27-Western Maryland Regional'!F24,'#28-St. Mary''s'!F24,'#29-JH Bayview'!F24,'#30-Chester River'!F24,'#32-Union Cecil County'!F24,'#33-Carroll Hospital '!F24,'#34-Harbor Hospital'!F24,'#35-Civista Medical Center'!F24,'#37-Shore Health Easton'!F24,'#38-UM Midtown'!F24,'#39-Calvert Memorial'!F24,'#40-Northwest'!F24,'#43-UM Baltimore Washington'!F24,'#44-GBMC'!F24,'#45-McCready'!F24,'#48-Howard County'!F24,'#49-UCH Upper Chesapeake'!F24,'#51-Doctors Community'!F24,'#55-Laurel Regional'!F24,'#60-Ft Washington'!F24,'#61-Atlantic General'!F24,'#62-Southern Maryland'!F24,'#2001-UM Rehab &amp; Ortho'!F24,'#2004-Good Samaritan'!F24,'#5034-Mt. Washington Pediatric'!F24,'#5050-Shady Grove Adventist'!F24)</f>
        <v>329662.66215932433</v>
      </c>
      <c r="G12" s="123">
        <f>SUM('#1-Meritus'!G24,'#2-UMMS'!G24,'#3-Prince George''s'!G24,'#4-Holy Cross'!G24,'#5-Frederick Memorial'!G24,'#6-Harford Memorial'!G24,'#7-St. Joseph'!G24,'#8-Mercy'!G24,'#9-Johns Hopkins'!G24,'#10-Shore Health Dorchester'!G24,'#11-St. Agnes'!G24,'#12-Sinai'!G24,'#13-Bon Secours'!G24,'#15-Franklin Square'!G24,'#16-Washington Adventist'!G24,'#17-Garrett County'!G24,'#18-Montgomery General'!G24,'#19-Pennisula General'!G24,'#22-Suburban'!G24,'#23-Anne Arundel Medical Center'!G24,'#24-Union Memorial'!G24,'#27-Western Maryland Regional'!G24,'#28-St. Mary''s'!G24,'#29-JH Bayview'!G24,'#30-Chester River'!G24,'#32-Union Cecil County'!G24,'#33-Carroll Hospital '!G24,'#34-Harbor Hospital'!G24,'#35-Civista Medical Center'!G24,'#37-Shore Health Easton'!G24,'#38-UM Midtown'!G24,'#39-Calvert Memorial'!G24,'#40-Northwest'!G24,'#43-UM Baltimore Washington'!G24,'#44-GBMC'!G24,'#45-McCready'!G24,'#48-Howard County'!G24,'#49-UCH Upper Chesapeake'!G24,'#51-Doctors Community'!G24,'#55-Laurel Regional'!G24,'#60-Ft Washington'!G24,'#61-Atlantic General'!G24,'#62-Southern Maryland'!G24,'#2001-UM Rehab &amp; Ortho'!G24,'#2004-Good Samaritan'!G24,'#5034-Mt. Washington Pediatric'!G24,'#5050-Shady Grove Adventist'!G24)</f>
        <v>398718.66666666669</v>
      </c>
      <c r="H12" s="123">
        <f>SUM('#1-Meritus'!H24,'#2-UMMS'!H24,'#3-Prince George''s'!H24,'#4-Holy Cross'!H24,'#5-Frederick Memorial'!H24,'#6-Harford Memorial'!H24,'#7-St. Joseph'!H24,'#8-Mercy'!H24,'#9-Johns Hopkins'!H24,'#10-Shore Health Dorchester'!H24,'#11-St. Agnes'!H24,'#12-Sinai'!H24,'#13-Bon Secours'!H24,'#15-Franklin Square'!H24,'#16-Washington Adventist'!H24,'#17-Garrett County'!H24,'#18-Montgomery General'!H24,'#19-Pennisula General'!H24,'#22-Suburban'!H24,'#23-Anne Arundel Medical Center'!H24,'#24-Union Memorial'!H24,'#27-Western Maryland Regional'!H24,'#28-St. Mary''s'!H24,'#29-JH Bayview'!H24,'#30-Chester River'!H24,'#32-Union Cecil County'!H24,'#33-Carroll Hospital '!H24,'#34-Harbor Hospital'!H24,'#35-Civista Medical Center'!H24,'#37-Shore Health Easton'!H24,'#38-UM Midtown'!H24,'#39-Calvert Memorial'!H24,'#40-Northwest'!H24,'#43-UM Baltimore Washington'!H24,'#44-GBMC'!H24,'#45-McCready'!H24,'#48-Howard County'!H24,'#49-UCH Upper Chesapeake'!H24,'#51-Doctors Community'!H24,'#55-Laurel Regional'!H24,'#60-Ft Washington'!H24,'#61-Atlantic General'!H24,'#62-Southern Maryland'!H24,'#2001-UM Rehab &amp; Ortho'!H24,'#2004-Good Samaritan'!H24,'#5034-Mt. Washington Pediatric'!H24,'#5050-Shady Grove Adventist'!H24)</f>
        <v>18059256.96697478</v>
      </c>
      <c r="I12" s="123">
        <f>SUM('#1-Meritus'!I24,'#2-UMMS'!I24,'#3-Prince George''s'!I24,'#4-Holy Cross'!I24,'#5-Frederick Memorial'!I24,'#6-Harford Memorial'!I24,'#7-St. Joseph'!I24,'#8-Mercy'!I24,'#9-Johns Hopkins'!I24,'#10-Shore Health Dorchester'!I24,'#11-St. Agnes'!I24,'#12-Sinai'!I24,'#13-Bon Secours'!I24,'#15-Franklin Square'!I24,'#16-Washington Adventist'!I24,'#17-Garrett County'!I24,'#18-Montgomery General'!I24,'#19-Pennisula General'!I24,'#22-Suburban'!I24,'#23-Anne Arundel Medical Center'!I24,'#24-Union Memorial'!I24,'#27-Western Maryland Regional'!I24,'#28-St. Mary''s'!I24,'#29-JH Bayview'!I24,'#30-Chester River'!I24,'#32-Union Cecil County'!I24,'#33-Carroll Hospital '!I24,'#34-Harbor Hospital'!I24,'#35-Civista Medical Center'!I24,'#37-Shore Health Easton'!I24,'#38-UM Midtown'!I24,'#39-Calvert Memorial'!I24,'#40-Northwest'!I24,'#43-UM Baltimore Washington'!I24,'#44-GBMC'!I24,'#45-McCready'!I24,'#48-Howard County'!I24,'#49-UCH Upper Chesapeake'!I24,'#51-Doctors Community'!I24,'#55-Laurel Regional'!I24,'#60-Ft Washington'!I24,'#61-Atlantic General'!I24,'#62-Southern Maryland'!I24,'#2001-UM Rehab &amp; Ortho'!I24,'#2004-Good Samaritan'!I24,'#5034-Mt. Washington Pediatric'!I24,'#5050-Shady Grove Adventist'!I24)</f>
        <v>3477285.2249371558</v>
      </c>
      <c r="J12" s="123">
        <f>SUM('#1-Meritus'!J24,'#2-UMMS'!J24,'#3-Prince George''s'!J24,'#4-Holy Cross'!J24,'#5-Frederick Memorial'!J24,'#6-Harford Memorial'!J24,'#7-St. Joseph'!J24,'#8-Mercy'!J24,'#9-Johns Hopkins'!J24,'#10-Shore Health Dorchester'!J24,'#11-St. Agnes'!J24,'#12-Sinai'!J24,'#13-Bon Secours'!J24,'#15-Franklin Square'!J24,'#16-Washington Adventist'!J24,'#17-Garrett County'!J24,'#18-Montgomery General'!J24,'#19-Pennisula General'!J24,'#22-Suburban'!J24,'#23-Anne Arundel Medical Center'!J24,'#24-Union Memorial'!J24,'#27-Western Maryland Regional'!J24,'#28-St. Mary''s'!J24,'#29-JH Bayview'!J24,'#30-Chester River'!J24,'#32-Union Cecil County'!J24,'#33-Carroll Hospital '!J24,'#34-Harbor Hospital'!J24,'#35-Civista Medical Center'!J24,'#37-Shore Health Easton'!J24,'#38-UM Midtown'!J24,'#39-Calvert Memorial'!J24,'#40-Northwest'!J24,'#43-UM Baltimore Washington'!J24,'#44-GBMC'!J24,'#45-McCready'!J24,'#48-Howard County'!J24,'#49-UCH Upper Chesapeake'!J24,'#51-Doctors Community'!J24,'#55-Laurel Regional'!J24,'#60-Ft Washington'!J24,'#61-Atlantic General'!J24,'#62-Southern Maryland'!J24,'#2001-UM Rehab &amp; Ortho'!J24,'#2004-Good Samaritan'!J24,'#5034-Mt. Washington Pediatric'!J24,'#5050-Shady Grove Adventist'!J24)</f>
        <v>5801432.2740000002</v>
      </c>
      <c r="K12" s="123">
        <f t="shared" si="0"/>
        <v>15735109.917911936</v>
      </c>
      <c r="L12" s="123">
        <f t="shared" si="1"/>
        <v>12257824.69297478</v>
      </c>
      <c r="M12" s="131"/>
      <c r="N12" s="131"/>
    </row>
    <row r="13" spans="1:14">
      <c r="A13" s="45" t="s">
        <v>264</v>
      </c>
      <c r="B13" s="40" t="s">
        <v>160</v>
      </c>
      <c r="F13" s="123">
        <f>SUM('#1-Meritus'!F25,'#2-UMMS'!F25,'#3-Prince George''s'!F25,'#4-Holy Cross'!F25,'#5-Frederick Memorial'!F25,'#6-Harford Memorial'!F25,'#7-St. Joseph'!F25,'#8-Mercy'!F25,'#9-Johns Hopkins'!F25,'#10-Shore Health Dorchester'!F25,'#11-St. Agnes'!F25,'#12-Sinai'!F25,'#13-Bon Secours'!F25,'#15-Franklin Square'!F25,'#16-Washington Adventist'!F25,'#17-Garrett County'!F25,'#18-Montgomery General'!F25,'#19-Pennisula General'!F25,'#22-Suburban'!F25,'#23-Anne Arundel Medical Center'!F25,'#24-Union Memorial'!F25,'#27-Western Maryland Regional'!F25,'#28-St. Mary''s'!F25,'#29-JH Bayview'!F25,'#30-Chester River'!F25,'#32-Union Cecil County'!F25,'#33-Carroll Hospital '!F25,'#34-Harbor Hospital'!F25,'#35-Civista Medical Center'!F25,'#37-Shore Health Easton'!F25,'#38-UM Midtown'!F25,'#39-Calvert Memorial'!F25,'#40-Northwest'!F25,'#43-UM Baltimore Washington'!F25,'#44-GBMC'!F25,'#45-McCready'!F25,'#48-Howard County'!F25,'#49-UCH Upper Chesapeake'!F25,'#51-Doctors Community'!F25,'#55-Laurel Regional'!F25,'#60-Ft Washington'!F25,'#61-Atlantic General'!F25,'#62-Southern Maryland'!F25,'#2001-UM Rehab &amp; Ortho'!F25,'#2004-Good Samaritan'!F25,'#5034-Mt. Washington Pediatric'!F25,'#5050-Shady Grove Adventist'!F25)</f>
        <v>39089.541956174391</v>
      </c>
      <c r="G13" s="123">
        <f>SUM('#1-Meritus'!G25,'#2-UMMS'!G25,'#3-Prince George''s'!G25,'#4-Holy Cross'!G25,'#5-Frederick Memorial'!G25,'#6-Harford Memorial'!G25,'#7-St. Joseph'!G25,'#8-Mercy'!G25,'#9-Johns Hopkins'!G25,'#10-Shore Health Dorchester'!G25,'#11-St. Agnes'!G25,'#12-Sinai'!G25,'#13-Bon Secours'!G25,'#15-Franklin Square'!G25,'#16-Washington Adventist'!G25,'#17-Garrett County'!G25,'#18-Montgomery General'!G25,'#19-Pennisula General'!G25,'#22-Suburban'!G25,'#23-Anne Arundel Medical Center'!G25,'#24-Union Memorial'!G25,'#27-Western Maryland Regional'!G25,'#28-St. Mary''s'!G25,'#29-JH Bayview'!G25,'#30-Chester River'!G25,'#32-Union Cecil County'!G25,'#33-Carroll Hospital '!G25,'#34-Harbor Hospital'!G25,'#35-Civista Medical Center'!G25,'#37-Shore Health Easton'!G25,'#38-UM Midtown'!G25,'#39-Calvert Memorial'!G25,'#40-Northwest'!G25,'#43-UM Baltimore Washington'!G25,'#44-GBMC'!G25,'#45-McCready'!G25,'#48-Howard County'!G25,'#49-UCH Upper Chesapeake'!G25,'#51-Doctors Community'!G25,'#55-Laurel Regional'!G25,'#60-Ft Washington'!G25,'#61-Atlantic General'!G25,'#62-Southern Maryland'!G25,'#2001-UM Rehab &amp; Ortho'!G25,'#2004-Good Samaritan'!G25,'#5034-Mt. Washington Pediatric'!G25,'#5050-Shady Grove Adventist'!G25)</f>
        <v>72423.765167999998</v>
      </c>
      <c r="H13" s="123">
        <f>SUM('#1-Meritus'!H25,'#2-UMMS'!H25,'#3-Prince George''s'!H25,'#4-Holy Cross'!H25,'#5-Frederick Memorial'!H25,'#6-Harford Memorial'!H25,'#7-St. Joseph'!H25,'#8-Mercy'!H25,'#9-Johns Hopkins'!H25,'#10-Shore Health Dorchester'!H25,'#11-St. Agnes'!H25,'#12-Sinai'!H25,'#13-Bon Secours'!H25,'#15-Franklin Square'!H25,'#16-Washington Adventist'!H25,'#17-Garrett County'!H25,'#18-Montgomery General'!H25,'#19-Pennisula General'!H25,'#22-Suburban'!H25,'#23-Anne Arundel Medical Center'!H25,'#24-Union Memorial'!H25,'#27-Western Maryland Regional'!H25,'#28-St. Mary''s'!H25,'#29-JH Bayview'!H25,'#30-Chester River'!H25,'#32-Union Cecil County'!H25,'#33-Carroll Hospital '!H25,'#34-Harbor Hospital'!H25,'#35-Civista Medical Center'!H25,'#37-Shore Health Easton'!H25,'#38-UM Midtown'!H25,'#39-Calvert Memorial'!H25,'#40-Northwest'!H25,'#43-UM Baltimore Washington'!H25,'#44-GBMC'!H25,'#45-McCready'!H25,'#48-Howard County'!H25,'#49-UCH Upper Chesapeake'!H25,'#51-Doctors Community'!H25,'#55-Laurel Regional'!H25,'#60-Ft Washington'!H25,'#61-Atlantic General'!H25,'#62-Southern Maryland'!H25,'#2001-UM Rehab &amp; Ortho'!H25,'#2004-Good Samaritan'!H25,'#5034-Mt. Washington Pediatric'!H25,'#5050-Shady Grove Adventist'!H25)</f>
        <v>2199817.4363025837</v>
      </c>
      <c r="I13" s="123">
        <f>SUM('#1-Meritus'!I25,'#2-UMMS'!I25,'#3-Prince George''s'!I25,'#4-Holy Cross'!I25,'#5-Frederick Memorial'!I25,'#6-Harford Memorial'!I25,'#7-St. Joseph'!I25,'#8-Mercy'!I25,'#9-Johns Hopkins'!I25,'#10-Shore Health Dorchester'!I25,'#11-St. Agnes'!I25,'#12-Sinai'!I25,'#13-Bon Secours'!I25,'#15-Franklin Square'!I25,'#16-Washington Adventist'!I25,'#17-Garrett County'!I25,'#18-Montgomery General'!I25,'#19-Pennisula General'!I25,'#22-Suburban'!I25,'#23-Anne Arundel Medical Center'!I25,'#24-Union Memorial'!I25,'#27-Western Maryland Regional'!I25,'#28-St. Mary''s'!I25,'#29-JH Bayview'!I25,'#30-Chester River'!I25,'#32-Union Cecil County'!I25,'#33-Carroll Hospital '!I25,'#34-Harbor Hospital'!I25,'#35-Civista Medical Center'!I25,'#37-Shore Health Easton'!I25,'#38-UM Midtown'!I25,'#39-Calvert Memorial'!I25,'#40-Northwest'!I25,'#43-UM Baltimore Washington'!I25,'#44-GBMC'!I25,'#45-McCready'!I25,'#48-Howard County'!I25,'#49-UCH Upper Chesapeake'!I25,'#51-Doctors Community'!I25,'#55-Laurel Regional'!I25,'#60-Ft Washington'!I25,'#61-Atlantic General'!I25,'#62-Southern Maryland'!I25,'#2001-UM Rehab &amp; Ortho'!I25,'#2004-Good Samaritan'!I25,'#5034-Mt. Washington Pediatric'!I25,'#5050-Shady Grove Adventist'!I25)</f>
        <v>1231546.5055835855</v>
      </c>
      <c r="J13" s="123">
        <f>SUM('#1-Meritus'!J25,'#2-UMMS'!J25,'#3-Prince George''s'!J25,'#4-Holy Cross'!J25,'#5-Frederick Memorial'!J25,'#6-Harford Memorial'!J25,'#7-St. Joseph'!J25,'#8-Mercy'!J25,'#9-Johns Hopkins'!J25,'#10-Shore Health Dorchester'!J25,'#11-St. Agnes'!J25,'#12-Sinai'!J25,'#13-Bon Secours'!J25,'#15-Franklin Square'!J25,'#16-Washington Adventist'!J25,'#17-Garrett County'!J25,'#18-Montgomery General'!J25,'#19-Pennisula General'!J25,'#22-Suburban'!J25,'#23-Anne Arundel Medical Center'!J25,'#24-Union Memorial'!J25,'#27-Western Maryland Regional'!J25,'#28-St. Mary''s'!J25,'#29-JH Bayview'!J25,'#30-Chester River'!J25,'#32-Union Cecil County'!J25,'#33-Carroll Hospital '!J25,'#34-Harbor Hospital'!J25,'#35-Civista Medical Center'!J25,'#37-Shore Health Easton'!J25,'#38-UM Midtown'!J25,'#39-Calvert Memorial'!J25,'#40-Northwest'!J25,'#43-UM Baltimore Washington'!J25,'#44-GBMC'!J25,'#45-McCready'!J25,'#48-Howard County'!J25,'#49-UCH Upper Chesapeake'!J25,'#51-Doctors Community'!J25,'#55-Laurel Regional'!J25,'#60-Ft Washington'!J25,'#61-Atlantic General'!J25,'#62-Southern Maryland'!J25,'#2001-UM Rehab &amp; Ortho'!J25,'#2004-Good Samaritan'!J25,'#5034-Mt. Washington Pediatric'!J25,'#5050-Shady Grove Adventist'!J25)</f>
        <v>397160.94899999996</v>
      </c>
      <c r="K13" s="123">
        <f t="shared" si="0"/>
        <v>3034202.9928861689</v>
      </c>
      <c r="L13" s="123">
        <f t="shared" si="1"/>
        <v>1802656.4873025836</v>
      </c>
      <c r="M13" s="131"/>
      <c r="N13" s="131"/>
    </row>
    <row r="14" spans="1:14">
      <c r="A14" s="45" t="s">
        <v>265</v>
      </c>
      <c r="B14" s="40" t="s">
        <v>161</v>
      </c>
      <c r="F14" s="123">
        <f>SUM('#1-Meritus'!F26,'#2-UMMS'!F26,'#3-Prince George''s'!F26,'#4-Holy Cross'!F26,'#5-Frederick Memorial'!F26,'#6-Harford Memorial'!F26,'#7-St. Joseph'!F26,'#8-Mercy'!F26,'#9-Johns Hopkins'!F26,'#10-Shore Health Dorchester'!F26,'#11-St. Agnes'!F26,'#12-Sinai'!F26,'#13-Bon Secours'!F26,'#15-Franklin Square'!F26,'#16-Washington Adventist'!F26,'#17-Garrett County'!F26,'#18-Montgomery General'!F26,'#19-Pennisula General'!F26,'#22-Suburban'!F26,'#23-Anne Arundel Medical Center'!F26,'#24-Union Memorial'!F26,'#27-Western Maryland Regional'!F26,'#28-St. Mary''s'!F26,'#29-JH Bayview'!F26,'#30-Chester River'!F26,'#32-Union Cecil County'!F26,'#33-Carroll Hospital '!F26,'#34-Harbor Hospital'!F26,'#35-Civista Medical Center'!F26,'#37-Shore Health Easton'!F26,'#38-UM Midtown'!F26,'#39-Calvert Memorial'!F26,'#40-Northwest'!F26,'#43-UM Baltimore Washington'!F26,'#44-GBMC'!F26,'#45-McCready'!F26,'#48-Howard County'!F26,'#49-UCH Upper Chesapeake'!F26,'#51-Doctors Community'!F26,'#55-Laurel Regional'!F26,'#60-Ft Washington'!F26,'#61-Atlantic General'!F26,'#62-Southern Maryland'!F26,'#2001-UM Rehab &amp; Ortho'!F26,'#2004-Good Samaritan'!F26,'#5034-Mt. Washington Pediatric'!F26,'#5050-Shady Grove Adventist'!F26)</f>
        <v>3121.7976489385983</v>
      </c>
      <c r="G14" s="123">
        <f>SUM('#1-Meritus'!G26,'#2-UMMS'!G26,'#3-Prince George''s'!G26,'#4-Holy Cross'!G26,'#5-Frederick Memorial'!G26,'#6-Harford Memorial'!G26,'#7-St. Joseph'!G26,'#8-Mercy'!G26,'#9-Johns Hopkins'!G26,'#10-Shore Health Dorchester'!G26,'#11-St. Agnes'!G26,'#12-Sinai'!G26,'#13-Bon Secours'!G26,'#15-Franklin Square'!G26,'#16-Washington Adventist'!G26,'#17-Garrett County'!G26,'#18-Montgomery General'!G26,'#19-Pennisula General'!G26,'#22-Suburban'!G26,'#23-Anne Arundel Medical Center'!G26,'#24-Union Memorial'!G26,'#27-Western Maryland Regional'!G26,'#28-St. Mary''s'!G26,'#29-JH Bayview'!G26,'#30-Chester River'!G26,'#32-Union Cecil County'!G26,'#33-Carroll Hospital '!G26,'#34-Harbor Hospital'!G26,'#35-Civista Medical Center'!G26,'#37-Shore Health Easton'!G26,'#38-UM Midtown'!G26,'#39-Calvert Memorial'!G26,'#40-Northwest'!G26,'#43-UM Baltimore Washington'!G26,'#44-GBMC'!G26,'#45-McCready'!G26,'#48-Howard County'!G26,'#49-UCH Upper Chesapeake'!G26,'#51-Doctors Community'!G26,'#55-Laurel Regional'!G26,'#60-Ft Washington'!G26,'#61-Atlantic General'!G26,'#62-Southern Maryland'!G26,'#2001-UM Rehab &amp; Ortho'!G26,'#2004-Good Samaritan'!G26,'#5034-Mt. Washington Pediatric'!G26,'#5050-Shady Grove Adventist'!G26)</f>
        <v>17894</v>
      </c>
      <c r="H14" s="123">
        <f>SUM('#1-Meritus'!H26,'#2-UMMS'!H26,'#3-Prince George''s'!H26,'#4-Holy Cross'!H26,'#5-Frederick Memorial'!H26,'#6-Harford Memorial'!H26,'#7-St. Joseph'!H26,'#8-Mercy'!H26,'#9-Johns Hopkins'!H26,'#10-Shore Health Dorchester'!H26,'#11-St. Agnes'!H26,'#12-Sinai'!H26,'#13-Bon Secours'!H26,'#15-Franklin Square'!H26,'#16-Washington Adventist'!H26,'#17-Garrett County'!H26,'#18-Montgomery General'!H26,'#19-Pennisula General'!H26,'#22-Suburban'!H26,'#23-Anne Arundel Medical Center'!H26,'#24-Union Memorial'!H26,'#27-Western Maryland Regional'!H26,'#28-St. Mary''s'!H26,'#29-JH Bayview'!H26,'#30-Chester River'!H26,'#32-Union Cecil County'!H26,'#33-Carroll Hospital '!H26,'#34-Harbor Hospital'!H26,'#35-Civista Medical Center'!H26,'#37-Shore Health Easton'!H26,'#38-UM Midtown'!H26,'#39-Calvert Memorial'!H26,'#40-Northwest'!H26,'#43-UM Baltimore Washington'!H26,'#44-GBMC'!H26,'#45-McCready'!H26,'#48-Howard County'!H26,'#49-UCH Upper Chesapeake'!H26,'#51-Doctors Community'!H26,'#55-Laurel Regional'!H26,'#60-Ft Washington'!H26,'#61-Atlantic General'!H26,'#62-Southern Maryland'!H26,'#2001-UM Rehab &amp; Ortho'!H26,'#2004-Good Samaritan'!H26,'#5034-Mt. Washington Pediatric'!H26,'#5050-Shady Grove Adventist'!H26)</f>
        <v>277250.25845596229</v>
      </c>
      <c r="I14" s="123">
        <f>SUM('#1-Meritus'!I26,'#2-UMMS'!I26,'#3-Prince George''s'!I26,'#4-Holy Cross'!I26,'#5-Frederick Memorial'!I26,'#6-Harford Memorial'!I26,'#7-St. Joseph'!I26,'#8-Mercy'!I26,'#9-Johns Hopkins'!I26,'#10-Shore Health Dorchester'!I26,'#11-St. Agnes'!I26,'#12-Sinai'!I26,'#13-Bon Secours'!I26,'#15-Franklin Square'!I26,'#16-Washington Adventist'!I26,'#17-Garrett County'!I26,'#18-Montgomery General'!I26,'#19-Pennisula General'!I26,'#22-Suburban'!I26,'#23-Anne Arundel Medical Center'!I26,'#24-Union Memorial'!I26,'#27-Western Maryland Regional'!I26,'#28-St. Mary''s'!I26,'#29-JH Bayview'!I26,'#30-Chester River'!I26,'#32-Union Cecil County'!I26,'#33-Carroll Hospital '!I26,'#34-Harbor Hospital'!I26,'#35-Civista Medical Center'!I26,'#37-Shore Health Easton'!I26,'#38-UM Midtown'!I26,'#39-Calvert Memorial'!I26,'#40-Northwest'!I26,'#43-UM Baltimore Washington'!I26,'#44-GBMC'!I26,'#45-McCready'!I26,'#48-Howard County'!I26,'#49-UCH Upper Chesapeake'!I26,'#51-Doctors Community'!I26,'#55-Laurel Regional'!I26,'#60-Ft Washington'!I26,'#61-Atlantic General'!I26,'#62-Southern Maryland'!I26,'#2001-UM Rehab &amp; Ortho'!I26,'#2004-Good Samaritan'!I26,'#5034-Mt. Washington Pediatric'!I26,'#5050-Shady Grove Adventist'!I26)</f>
        <v>130047.30450421473</v>
      </c>
      <c r="J14" s="123">
        <f>SUM('#1-Meritus'!J26,'#2-UMMS'!J26,'#3-Prince George''s'!J26,'#4-Holy Cross'!J26,'#5-Frederick Memorial'!J26,'#6-Harford Memorial'!J26,'#7-St. Joseph'!J26,'#8-Mercy'!J26,'#9-Johns Hopkins'!J26,'#10-Shore Health Dorchester'!J26,'#11-St. Agnes'!J26,'#12-Sinai'!J26,'#13-Bon Secours'!J26,'#15-Franklin Square'!J26,'#16-Washington Adventist'!J26,'#17-Garrett County'!J26,'#18-Montgomery General'!J26,'#19-Pennisula General'!J26,'#22-Suburban'!J26,'#23-Anne Arundel Medical Center'!J26,'#24-Union Memorial'!J26,'#27-Western Maryland Regional'!J26,'#28-St. Mary''s'!J26,'#29-JH Bayview'!J26,'#30-Chester River'!J26,'#32-Union Cecil County'!J26,'#33-Carroll Hospital '!J26,'#34-Harbor Hospital'!J26,'#35-Civista Medical Center'!J26,'#37-Shore Health Easton'!J26,'#38-UM Midtown'!J26,'#39-Calvert Memorial'!J26,'#40-Northwest'!J26,'#43-UM Baltimore Washington'!J26,'#44-GBMC'!J26,'#45-McCready'!J26,'#48-Howard County'!J26,'#49-UCH Upper Chesapeake'!J26,'#51-Doctors Community'!J26,'#55-Laurel Regional'!J26,'#60-Ft Washington'!J26,'#61-Atlantic General'!J26,'#62-Southern Maryland'!J26,'#2001-UM Rehab &amp; Ortho'!J26,'#2004-Good Samaritan'!J26,'#5034-Mt. Washington Pediatric'!J26,'#5050-Shady Grove Adventist'!J26)</f>
        <v>67279</v>
      </c>
      <c r="K14" s="123">
        <f t="shared" si="0"/>
        <v>340018.56296017702</v>
      </c>
      <c r="L14" s="123">
        <f t="shared" si="1"/>
        <v>209971.25845596229</v>
      </c>
      <c r="M14" s="131"/>
      <c r="N14" s="131"/>
    </row>
    <row r="15" spans="1:14">
      <c r="A15" s="45" t="s">
        <v>266</v>
      </c>
      <c r="B15" s="40" t="s">
        <v>162</v>
      </c>
      <c r="F15" s="123">
        <f>SUM('#1-Meritus'!F27,'#2-UMMS'!F27,'#3-Prince George''s'!F27,'#4-Holy Cross'!F27,'#5-Frederick Memorial'!F27,'#6-Harford Memorial'!F27,'#7-St. Joseph'!F27,'#8-Mercy'!F27,'#9-Johns Hopkins'!F27,'#10-Shore Health Dorchester'!F27,'#11-St. Agnes'!F27,'#12-Sinai'!F27,'#13-Bon Secours'!F27,'#15-Franklin Square'!F27,'#16-Washington Adventist'!F27,'#17-Garrett County'!F27,'#18-Montgomery General'!F27,'#19-Pennisula General'!F27,'#22-Suburban'!F27,'#23-Anne Arundel Medical Center'!F27,'#24-Union Memorial'!F27,'#27-Western Maryland Regional'!F27,'#28-St. Mary''s'!F27,'#29-JH Bayview'!F27,'#30-Chester River'!F27,'#32-Union Cecil County'!F27,'#33-Carroll Hospital '!F27,'#34-Harbor Hospital'!F27,'#35-Civista Medical Center'!F27,'#37-Shore Health Easton'!F27,'#38-UM Midtown'!F27,'#39-Calvert Memorial'!F27,'#40-Northwest'!F27,'#43-UM Baltimore Washington'!F27,'#44-GBMC'!F27,'#45-McCready'!F27,'#48-Howard County'!F27,'#49-UCH Upper Chesapeake'!F27,'#51-Doctors Community'!F27,'#55-Laurel Regional'!F27,'#60-Ft Washington'!F27,'#61-Atlantic General'!F27,'#62-Southern Maryland'!F27,'#2001-UM Rehab &amp; Ortho'!F27,'#2004-Good Samaritan'!F27,'#5034-Mt. Washington Pediatric'!F27,'#5050-Shady Grove Adventist'!F27)</f>
        <v>3603</v>
      </c>
      <c r="G15" s="123">
        <f>SUM('#1-Meritus'!G27,'#2-UMMS'!G27,'#3-Prince George''s'!G27,'#4-Holy Cross'!G27,'#5-Frederick Memorial'!G27,'#6-Harford Memorial'!G27,'#7-St. Joseph'!G27,'#8-Mercy'!G27,'#9-Johns Hopkins'!G27,'#10-Shore Health Dorchester'!G27,'#11-St. Agnes'!G27,'#12-Sinai'!G27,'#13-Bon Secours'!G27,'#15-Franklin Square'!G27,'#16-Washington Adventist'!G27,'#17-Garrett County'!G27,'#18-Montgomery General'!G27,'#19-Pennisula General'!G27,'#22-Suburban'!G27,'#23-Anne Arundel Medical Center'!G27,'#24-Union Memorial'!G27,'#27-Western Maryland Regional'!G27,'#28-St. Mary''s'!G27,'#29-JH Bayview'!G27,'#30-Chester River'!G27,'#32-Union Cecil County'!G27,'#33-Carroll Hospital '!G27,'#34-Harbor Hospital'!G27,'#35-Civista Medical Center'!G27,'#37-Shore Health Easton'!G27,'#38-UM Midtown'!G27,'#39-Calvert Memorial'!G27,'#40-Northwest'!G27,'#43-UM Baltimore Washington'!G27,'#44-GBMC'!G27,'#45-McCready'!G27,'#48-Howard County'!G27,'#49-UCH Upper Chesapeake'!G27,'#51-Doctors Community'!G27,'#55-Laurel Regional'!G27,'#60-Ft Washington'!G27,'#61-Atlantic General'!G27,'#62-Southern Maryland'!G27,'#2001-UM Rehab &amp; Ortho'!G27,'#2004-Good Samaritan'!G27,'#5034-Mt. Washington Pediatric'!G27,'#5050-Shady Grove Adventist'!G27)</f>
        <v>936</v>
      </c>
      <c r="H15" s="123">
        <f>SUM('#1-Meritus'!H27,'#2-UMMS'!H27,'#3-Prince George''s'!H27,'#4-Holy Cross'!H27,'#5-Frederick Memorial'!H27,'#6-Harford Memorial'!H27,'#7-St. Joseph'!H27,'#8-Mercy'!H27,'#9-Johns Hopkins'!H27,'#10-Shore Health Dorchester'!H27,'#11-St. Agnes'!H27,'#12-Sinai'!H27,'#13-Bon Secours'!H27,'#15-Franklin Square'!H27,'#16-Washington Adventist'!H27,'#17-Garrett County'!H27,'#18-Montgomery General'!H27,'#19-Pennisula General'!H27,'#22-Suburban'!H27,'#23-Anne Arundel Medical Center'!H27,'#24-Union Memorial'!H27,'#27-Western Maryland Regional'!H27,'#28-St. Mary''s'!H27,'#29-JH Bayview'!H27,'#30-Chester River'!H27,'#32-Union Cecil County'!H27,'#33-Carroll Hospital '!H27,'#34-Harbor Hospital'!H27,'#35-Civista Medical Center'!H27,'#37-Shore Health Easton'!H27,'#38-UM Midtown'!H27,'#39-Calvert Memorial'!H27,'#40-Northwest'!H27,'#43-UM Baltimore Washington'!H27,'#44-GBMC'!H27,'#45-McCready'!H27,'#48-Howard County'!H27,'#49-UCH Upper Chesapeake'!H27,'#51-Doctors Community'!H27,'#55-Laurel Regional'!H27,'#60-Ft Washington'!H27,'#61-Atlantic General'!H27,'#62-Southern Maryland'!H27,'#2001-UM Rehab &amp; Ortho'!H27,'#2004-Good Samaritan'!H27,'#5034-Mt. Washington Pediatric'!H27,'#5050-Shady Grove Adventist'!H27)</f>
        <v>1493499.1299999992</v>
      </c>
      <c r="I15" s="123">
        <f>SUM('#1-Meritus'!I27,'#2-UMMS'!I27,'#3-Prince George''s'!I27,'#4-Holy Cross'!I27,'#5-Frederick Memorial'!I27,'#6-Harford Memorial'!I27,'#7-St. Joseph'!I27,'#8-Mercy'!I27,'#9-Johns Hopkins'!I27,'#10-Shore Health Dorchester'!I27,'#11-St. Agnes'!I27,'#12-Sinai'!I27,'#13-Bon Secours'!I27,'#15-Franklin Square'!I27,'#16-Washington Adventist'!I27,'#17-Garrett County'!I27,'#18-Montgomery General'!I27,'#19-Pennisula General'!I27,'#22-Suburban'!I27,'#23-Anne Arundel Medical Center'!I27,'#24-Union Memorial'!I27,'#27-Western Maryland Regional'!I27,'#28-St. Mary''s'!I27,'#29-JH Bayview'!I27,'#30-Chester River'!I27,'#32-Union Cecil County'!I27,'#33-Carroll Hospital '!I27,'#34-Harbor Hospital'!I27,'#35-Civista Medical Center'!I27,'#37-Shore Health Easton'!I27,'#38-UM Midtown'!I27,'#39-Calvert Memorial'!I27,'#40-Northwest'!I27,'#43-UM Baltimore Washington'!I27,'#44-GBMC'!I27,'#45-McCready'!I27,'#48-Howard County'!I27,'#49-UCH Upper Chesapeake'!I27,'#51-Doctors Community'!I27,'#55-Laurel Regional'!I27,'#60-Ft Washington'!I27,'#61-Atlantic General'!I27,'#62-Southern Maryland'!I27,'#2001-UM Rehab &amp; Ortho'!I27,'#2004-Good Samaritan'!I27,'#5034-Mt. Washington Pediatric'!I27,'#5050-Shady Grove Adventist'!I27)</f>
        <v>427086.43540684285</v>
      </c>
      <c r="J15" s="123">
        <f>SUM('#1-Meritus'!J27,'#2-UMMS'!J27,'#3-Prince George''s'!J27,'#4-Holy Cross'!J27,'#5-Frederick Memorial'!J27,'#6-Harford Memorial'!J27,'#7-St. Joseph'!J27,'#8-Mercy'!J27,'#9-Johns Hopkins'!J27,'#10-Shore Health Dorchester'!J27,'#11-St. Agnes'!J27,'#12-Sinai'!J27,'#13-Bon Secours'!J27,'#15-Franklin Square'!J27,'#16-Washington Adventist'!J27,'#17-Garrett County'!J27,'#18-Montgomery General'!J27,'#19-Pennisula General'!J27,'#22-Suburban'!J27,'#23-Anne Arundel Medical Center'!J27,'#24-Union Memorial'!J27,'#27-Western Maryland Regional'!J27,'#28-St. Mary''s'!J27,'#29-JH Bayview'!J27,'#30-Chester River'!J27,'#32-Union Cecil County'!J27,'#33-Carroll Hospital '!J27,'#34-Harbor Hospital'!J27,'#35-Civista Medical Center'!J27,'#37-Shore Health Easton'!J27,'#38-UM Midtown'!J27,'#39-Calvert Memorial'!J27,'#40-Northwest'!J27,'#43-UM Baltimore Washington'!J27,'#44-GBMC'!J27,'#45-McCready'!J27,'#48-Howard County'!J27,'#49-UCH Upper Chesapeake'!J27,'#51-Doctors Community'!J27,'#55-Laurel Regional'!J27,'#60-Ft Washington'!J27,'#61-Atlantic General'!J27,'#62-Southern Maryland'!J27,'#2001-UM Rehab &amp; Ortho'!J27,'#2004-Good Samaritan'!J27,'#5034-Mt. Washington Pediatric'!J27,'#5050-Shady Grove Adventist'!J27)</f>
        <v>260861.90000000005</v>
      </c>
      <c r="K15" s="123">
        <f t="shared" si="0"/>
        <v>1659723.665406842</v>
      </c>
      <c r="L15" s="123">
        <f t="shared" si="1"/>
        <v>1232637.2299999991</v>
      </c>
      <c r="M15" s="131"/>
      <c r="N15" s="131"/>
    </row>
    <row r="16" spans="1:14">
      <c r="A16" s="45" t="s">
        <v>267</v>
      </c>
      <c r="B16" s="40" t="s">
        <v>163</v>
      </c>
      <c r="F16" s="123">
        <f>SUM('#1-Meritus'!F28,'#2-UMMS'!F28,'#3-Prince George''s'!F28,'#4-Holy Cross'!F28,'#5-Frederick Memorial'!F28,'#6-Harford Memorial'!F28,'#7-St. Joseph'!F28,'#8-Mercy'!F28,'#9-Johns Hopkins'!F28,'#10-Shore Health Dorchester'!F28,'#11-St. Agnes'!F28,'#12-Sinai'!F28,'#13-Bon Secours'!F28,'#15-Franklin Square'!F28,'#16-Washington Adventist'!F28,'#17-Garrett County'!F28,'#18-Montgomery General'!F28,'#19-Pennisula General'!F28,'#22-Suburban'!F28,'#23-Anne Arundel Medical Center'!F28,'#24-Union Memorial'!F28,'#27-Western Maryland Regional'!F28,'#28-St. Mary''s'!F28,'#29-JH Bayview'!F28,'#30-Chester River'!F28,'#32-Union Cecil County'!F28,'#33-Carroll Hospital '!F28,'#34-Harbor Hospital'!F28,'#35-Civista Medical Center'!F28,'#37-Shore Health Easton'!F28,'#38-UM Midtown'!F28,'#39-Calvert Memorial'!F28,'#40-Northwest'!F28,'#43-UM Baltimore Washington'!F28,'#44-GBMC'!F28,'#45-McCready'!F28,'#48-Howard County'!F28,'#49-UCH Upper Chesapeake'!F28,'#51-Doctors Community'!F28,'#55-Laurel Regional'!F28,'#60-Ft Washington'!F28,'#61-Atlantic General'!F28,'#62-Southern Maryland'!F28,'#2001-UM Rehab &amp; Ortho'!F28,'#2004-Good Samaritan'!F28,'#5034-Mt. Washington Pediatric'!F28,'#5050-Shady Grove Adventist'!F28)</f>
        <v>29613</v>
      </c>
      <c r="G16" s="123">
        <f>SUM('#1-Meritus'!G28,'#2-UMMS'!G28,'#3-Prince George''s'!G28,'#4-Holy Cross'!G28,'#5-Frederick Memorial'!G28,'#6-Harford Memorial'!G28,'#7-St. Joseph'!G28,'#8-Mercy'!G28,'#9-Johns Hopkins'!G28,'#10-Shore Health Dorchester'!G28,'#11-St. Agnes'!G28,'#12-Sinai'!G28,'#13-Bon Secours'!G28,'#15-Franklin Square'!G28,'#16-Washington Adventist'!G28,'#17-Garrett County'!G28,'#18-Montgomery General'!G28,'#19-Pennisula General'!G28,'#22-Suburban'!G28,'#23-Anne Arundel Medical Center'!G28,'#24-Union Memorial'!G28,'#27-Western Maryland Regional'!G28,'#28-St. Mary''s'!G28,'#29-JH Bayview'!G28,'#30-Chester River'!G28,'#32-Union Cecil County'!G28,'#33-Carroll Hospital '!G28,'#34-Harbor Hospital'!G28,'#35-Civista Medical Center'!G28,'#37-Shore Health Easton'!G28,'#38-UM Midtown'!G28,'#39-Calvert Memorial'!G28,'#40-Northwest'!G28,'#43-UM Baltimore Washington'!G28,'#44-GBMC'!G28,'#45-McCready'!G28,'#48-Howard County'!G28,'#49-UCH Upper Chesapeake'!G28,'#51-Doctors Community'!G28,'#55-Laurel Regional'!G28,'#60-Ft Washington'!G28,'#61-Atlantic General'!G28,'#62-Southern Maryland'!G28,'#2001-UM Rehab &amp; Ortho'!G28,'#2004-Good Samaritan'!G28,'#5034-Mt. Washington Pediatric'!G28,'#5050-Shady Grove Adventist'!G28)</f>
        <v>9263</v>
      </c>
      <c r="H16" s="123">
        <f>SUM('#1-Meritus'!H28,'#2-UMMS'!H28,'#3-Prince George''s'!H28,'#4-Holy Cross'!H28,'#5-Frederick Memorial'!H28,'#6-Harford Memorial'!H28,'#7-St. Joseph'!H28,'#8-Mercy'!H28,'#9-Johns Hopkins'!H28,'#10-Shore Health Dorchester'!H28,'#11-St. Agnes'!H28,'#12-Sinai'!H28,'#13-Bon Secours'!H28,'#15-Franklin Square'!H28,'#16-Washington Adventist'!H28,'#17-Garrett County'!H28,'#18-Montgomery General'!H28,'#19-Pennisula General'!H28,'#22-Suburban'!H28,'#23-Anne Arundel Medical Center'!H28,'#24-Union Memorial'!H28,'#27-Western Maryland Regional'!H28,'#28-St. Mary''s'!H28,'#29-JH Bayview'!H28,'#30-Chester River'!H28,'#32-Union Cecil County'!H28,'#33-Carroll Hospital '!H28,'#34-Harbor Hospital'!H28,'#35-Civista Medical Center'!H28,'#37-Shore Health Easton'!H28,'#38-UM Midtown'!H28,'#39-Calvert Memorial'!H28,'#40-Northwest'!H28,'#43-UM Baltimore Washington'!H28,'#44-GBMC'!H28,'#45-McCready'!H28,'#48-Howard County'!H28,'#49-UCH Upper Chesapeake'!H28,'#51-Doctors Community'!H28,'#55-Laurel Regional'!H28,'#60-Ft Washington'!H28,'#61-Atlantic General'!H28,'#62-Southern Maryland'!H28,'#2001-UM Rehab &amp; Ortho'!H28,'#2004-Good Samaritan'!H28,'#5034-Mt. Washington Pediatric'!H28,'#5050-Shady Grove Adventist'!H28)</f>
        <v>1299944.76</v>
      </c>
      <c r="I16" s="123">
        <f>SUM('#1-Meritus'!I28,'#2-UMMS'!I28,'#3-Prince George''s'!I28,'#4-Holy Cross'!I28,'#5-Frederick Memorial'!I28,'#6-Harford Memorial'!I28,'#7-St. Joseph'!I28,'#8-Mercy'!I28,'#9-Johns Hopkins'!I28,'#10-Shore Health Dorchester'!I28,'#11-St. Agnes'!I28,'#12-Sinai'!I28,'#13-Bon Secours'!I28,'#15-Franklin Square'!I28,'#16-Washington Adventist'!I28,'#17-Garrett County'!I28,'#18-Montgomery General'!I28,'#19-Pennisula General'!I28,'#22-Suburban'!I28,'#23-Anne Arundel Medical Center'!I28,'#24-Union Memorial'!I28,'#27-Western Maryland Regional'!I28,'#28-St. Mary''s'!I28,'#29-JH Bayview'!I28,'#30-Chester River'!I28,'#32-Union Cecil County'!I28,'#33-Carroll Hospital '!I28,'#34-Harbor Hospital'!I28,'#35-Civista Medical Center'!I28,'#37-Shore Health Easton'!I28,'#38-UM Midtown'!I28,'#39-Calvert Memorial'!I28,'#40-Northwest'!I28,'#43-UM Baltimore Washington'!I28,'#44-GBMC'!I28,'#45-McCready'!I28,'#48-Howard County'!I28,'#49-UCH Upper Chesapeake'!I28,'#51-Doctors Community'!I28,'#55-Laurel Regional'!I28,'#60-Ft Washington'!I28,'#61-Atlantic General'!I28,'#62-Southern Maryland'!I28,'#2001-UM Rehab &amp; Ortho'!I28,'#2004-Good Samaritan'!I28,'#5034-Mt. Washington Pediatric'!I28,'#5050-Shady Grove Adventist'!I28)</f>
        <v>529925.96998903167</v>
      </c>
      <c r="J16" s="123">
        <f>SUM('#1-Meritus'!J28,'#2-UMMS'!J28,'#3-Prince George''s'!J28,'#4-Holy Cross'!J28,'#5-Frederick Memorial'!J28,'#6-Harford Memorial'!J28,'#7-St. Joseph'!J28,'#8-Mercy'!J28,'#9-Johns Hopkins'!J28,'#10-Shore Health Dorchester'!J28,'#11-St. Agnes'!J28,'#12-Sinai'!J28,'#13-Bon Secours'!J28,'#15-Franklin Square'!J28,'#16-Washington Adventist'!J28,'#17-Garrett County'!J28,'#18-Montgomery General'!J28,'#19-Pennisula General'!J28,'#22-Suburban'!J28,'#23-Anne Arundel Medical Center'!J28,'#24-Union Memorial'!J28,'#27-Western Maryland Regional'!J28,'#28-St. Mary''s'!J28,'#29-JH Bayview'!J28,'#30-Chester River'!J28,'#32-Union Cecil County'!J28,'#33-Carroll Hospital '!J28,'#34-Harbor Hospital'!J28,'#35-Civista Medical Center'!J28,'#37-Shore Health Easton'!J28,'#38-UM Midtown'!J28,'#39-Calvert Memorial'!J28,'#40-Northwest'!J28,'#43-UM Baltimore Washington'!J28,'#44-GBMC'!J28,'#45-McCready'!J28,'#48-Howard County'!J28,'#49-UCH Upper Chesapeake'!J28,'#51-Doctors Community'!J28,'#55-Laurel Regional'!J28,'#60-Ft Washington'!J28,'#61-Atlantic General'!J28,'#62-Southern Maryland'!J28,'#2001-UM Rehab &amp; Ortho'!J28,'#2004-Good Samaritan'!J28,'#5034-Mt. Washington Pediatric'!J28,'#5050-Shady Grove Adventist'!J28)</f>
        <v>878532</v>
      </c>
      <c r="K16" s="123">
        <f t="shared" si="0"/>
        <v>951338.7299890318</v>
      </c>
      <c r="L16" s="123">
        <f t="shared" si="1"/>
        <v>421412.76</v>
      </c>
      <c r="M16" s="131"/>
      <c r="N16" s="131"/>
    </row>
    <row r="17" spans="1:14">
      <c r="A17" s="45" t="s">
        <v>268</v>
      </c>
      <c r="B17" s="40" t="s">
        <v>165</v>
      </c>
      <c r="F17" s="123">
        <f>SUM('#1-Meritus'!F29,'#2-UMMS'!F29,'#3-Prince George''s'!F29,'#4-Holy Cross'!F29,'#5-Frederick Memorial'!F29,'#6-Harford Memorial'!F29,'#7-St. Joseph'!F29,'#8-Mercy'!F29,'#9-Johns Hopkins'!F29,'#10-Shore Health Dorchester'!F29,'#11-St. Agnes'!F29,'#12-Sinai'!F29,'#13-Bon Secours'!F29,'#15-Franklin Square'!F29,'#16-Washington Adventist'!F29,'#17-Garrett County'!F29,'#18-Montgomery General'!F29,'#19-Pennisula General'!F29,'#22-Suburban'!F29,'#23-Anne Arundel Medical Center'!F29,'#24-Union Memorial'!F29,'#27-Western Maryland Regional'!F29,'#28-St. Mary''s'!F29,'#29-JH Bayview'!F29,'#30-Chester River'!F29,'#32-Union Cecil County'!F29,'#33-Carroll Hospital '!F29,'#34-Harbor Hospital'!F29,'#35-Civista Medical Center'!F29,'#37-Shore Health Easton'!F29,'#38-UM Midtown'!F29,'#39-Calvert Memorial'!F29,'#40-Northwest'!F29,'#43-UM Baltimore Washington'!F29,'#44-GBMC'!F29,'#45-McCready'!F29,'#48-Howard County'!F29,'#49-UCH Upper Chesapeake'!F29,'#51-Doctors Community'!F29,'#55-Laurel Regional'!F29,'#60-Ft Washington'!F29,'#61-Atlantic General'!F29,'#62-Southern Maryland'!F29,'#2001-UM Rehab &amp; Ortho'!F29,'#2004-Good Samaritan'!F29,'#5034-Mt. Washington Pediatric'!F29,'#5050-Shady Grove Adventist'!F29)</f>
        <v>226910.08964619949</v>
      </c>
      <c r="G17" s="123">
        <f>SUM('#1-Meritus'!G29,'#2-UMMS'!G29,'#3-Prince George''s'!G29,'#4-Holy Cross'!G29,'#5-Frederick Memorial'!G29,'#6-Harford Memorial'!G29,'#7-St. Joseph'!G29,'#8-Mercy'!G29,'#9-Johns Hopkins'!G29,'#10-Shore Health Dorchester'!G29,'#11-St. Agnes'!G29,'#12-Sinai'!G29,'#13-Bon Secours'!G29,'#15-Franklin Square'!G29,'#16-Washington Adventist'!G29,'#17-Garrett County'!G29,'#18-Montgomery General'!G29,'#19-Pennisula General'!G29,'#22-Suburban'!G29,'#23-Anne Arundel Medical Center'!G29,'#24-Union Memorial'!G29,'#27-Western Maryland Regional'!G29,'#28-St. Mary''s'!G29,'#29-JH Bayview'!G29,'#30-Chester River'!G29,'#32-Union Cecil County'!G29,'#33-Carroll Hospital '!G29,'#34-Harbor Hospital'!G29,'#35-Civista Medical Center'!G29,'#37-Shore Health Easton'!G29,'#38-UM Midtown'!G29,'#39-Calvert Memorial'!G29,'#40-Northwest'!G29,'#43-UM Baltimore Washington'!G29,'#44-GBMC'!G29,'#45-McCready'!G29,'#48-Howard County'!G29,'#49-UCH Upper Chesapeake'!G29,'#51-Doctors Community'!G29,'#55-Laurel Regional'!G29,'#60-Ft Washington'!G29,'#61-Atlantic General'!G29,'#62-Southern Maryland'!G29,'#2001-UM Rehab &amp; Ortho'!G29,'#2004-Good Samaritan'!G29,'#5034-Mt. Washington Pediatric'!G29,'#5050-Shady Grove Adventist'!G29)</f>
        <v>248079.1</v>
      </c>
      <c r="H17" s="123">
        <f>SUM('#1-Meritus'!H29,'#2-UMMS'!H29,'#3-Prince George''s'!H29,'#4-Holy Cross'!H29,'#5-Frederick Memorial'!H29,'#6-Harford Memorial'!H29,'#7-St. Joseph'!H29,'#8-Mercy'!H29,'#9-Johns Hopkins'!H29,'#10-Shore Health Dorchester'!H29,'#11-St. Agnes'!H29,'#12-Sinai'!H29,'#13-Bon Secours'!H29,'#15-Franklin Square'!H29,'#16-Washington Adventist'!H29,'#17-Garrett County'!H29,'#18-Montgomery General'!H29,'#19-Pennisula General'!H29,'#22-Suburban'!H29,'#23-Anne Arundel Medical Center'!H29,'#24-Union Memorial'!H29,'#27-Western Maryland Regional'!H29,'#28-St. Mary''s'!H29,'#29-JH Bayview'!H29,'#30-Chester River'!H29,'#32-Union Cecil County'!H29,'#33-Carroll Hospital '!H29,'#34-Harbor Hospital'!H29,'#35-Civista Medical Center'!H29,'#37-Shore Health Easton'!H29,'#38-UM Midtown'!H29,'#39-Calvert Memorial'!H29,'#40-Northwest'!H29,'#43-UM Baltimore Washington'!H29,'#44-GBMC'!H29,'#45-McCready'!H29,'#48-Howard County'!H29,'#49-UCH Upper Chesapeake'!H29,'#51-Doctors Community'!H29,'#55-Laurel Regional'!H29,'#60-Ft Washington'!H29,'#61-Atlantic General'!H29,'#62-Southern Maryland'!H29,'#2001-UM Rehab &amp; Ortho'!H29,'#2004-Good Samaritan'!H29,'#5034-Mt. Washington Pediatric'!H29,'#5050-Shady Grove Adventist'!H29)</f>
        <v>22371965.772813935</v>
      </c>
      <c r="I17" s="123">
        <f>SUM('#1-Meritus'!I29,'#2-UMMS'!I29,'#3-Prince George''s'!I29,'#4-Holy Cross'!I29,'#5-Frederick Memorial'!I29,'#6-Harford Memorial'!I29,'#7-St. Joseph'!I29,'#8-Mercy'!I29,'#9-Johns Hopkins'!I29,'#10-Shore Health Dorchester'!I29,'#11-St. Agnes'!I29,'#12-Sinai'!I29,'#13-Bon Secours'!I29,'#15-Franklin Square'!I29,'#16-Washington Adventist'!I29,'#17-Garrett County'!I29,'#18-Montgomery General'!I29,'#19-Pennisula General'!I29,'#22-Suburban'!I29,'#23-Anne Arundel Medical Center'!I29,'#24-Union Memorial'!I29,'#27-Western Maryland Regional'!I29,'#28-St. Mary''s'!I29,'#29-JH Bayview'!I29,'#30-Chester River'!I29,'#32-Union Cecil County'!I29,'#33-Carroll Hospital '!I29,'#34-Harbor Hospital'!I29,'#35-Civista Medical Center'!I29,'#37-Shore Health Easton'!I29,'#38-UM Midtown'!I29,'#39-Calvert Memorial'!I29,'#40-Northwest'!I29,'#43-UM Baltimore Washington'!I29,'#44-GBMC'!I29,'#45-McCready'!I29,'#48-Howard County'!I29,'#49-UCH Upper Chesapeake'!I29,'#51-Doctors Community'!I29,'#55-Laurel Regional'!I29,'#60-Ft Washington'!I29,'#61-Atlantic General'!I29,'#62-Southern Maryland'!I29,'#2001-UM Rehab &amp; Ortho'!I29,'#2004-Good Samaritan'!I29,'#5034-Mt. Washington Pediatric'!I29,'#5050-Shady Grove Adventist'!I29)</f>
        <v>10397498.983530348</v>
      </c>
      <c r="J17" s="123">
        <f>SUM('#1-Meritus'!J29,'#2-UMMS'!J29,'#3-Prince George''s'!J29,'#4-Holy Cross'!J29,'#5-Frederick Memorial'!J29,'#6-Harford Memorial'!J29,'#7-St. Joseph'!J29,'#8-Mercy'!J29,'#9-Johns Hopkins'!J29,'#10-Shore Health Dorchester'!J29,'#11-St. Agnes'!J29,'#12-Sinai'!J29,'#13-Bon Secours'!J29,'#15-Franklin Square'!J29,'#16-Washington Adventist'!J29,'#17-Garrett County'!J29,'#18-Montgomery General'!J29,'#19-Pennisula General'!J29,'#22-Suburban'!J29,'#23-Anne Arundel Medical Center'!J29,'#24-Union Memorial'!J29,'#27-Western Maryland Regional'!J29,'#28-St. Mary''s'!J29,'#29-JH Bayview'!J29,'#30-Chester River'!J29,'#32-Union Cecil County'!J29,'#33-Carroll Hospital '!J29,'#34-Harbor Hospital'!J29,'#35-Civista Medical Center'!J29,'#37-Shore Health Easton'!J29,'#38-UM Midtown'!J29,'#39-Calvert Memorial'!J29,'#40-Northwest'!J29,'#43-UM Baltimore Washington'!J29,'#44-GBMC'!J29,'#45-McCready'!J29,'#48-Howard County'!J29,'#49-UCH Upper Chesapeake'!J29,'#51-Doctors Community'!J29,'#55-Laurel Regional'!J29,'#60-Ft Washington'!J29,'#61-Atlantic General'!J29,'#62-Southern Maryland'!J29,'#2001-UM Rehab &amp; Ortho'!J29,'#2004-Good Samaritan'!J29,'#5034-Mt. Washington Pediatric'!J29,'#5050-Shady Grove Adventist'!J29)</f>
        <v>970097.52</v>
      </c>
      <c r="K17" s="123">
        <f t="shared" si="0"/>
        <v>31799367.236344282</v>
      </c>
      <c r="L17" s="123">
        <f t="shared" si="1"/>
        <v>21401868.252813935</v>
      </c>
      <c r="M17" s="131"/>
      <c r="N17" s="131"/>
    </row>
    <row r="18" spans="1:14">
      <c r="A18" s="45" t="s">
        <v>269</v>
      </c>
      <c r="B18" s="40" t="s">
        <v>181</v>
      </c>
      <c r="F18" s="123">
        <f>SUM('#1-Meritus'!F30,'#2-UMMS'!F30,'#3-Prince George''s'!F30,'#4-Holy Cross'!F30,'#5-Frederick Memorial'!F30,'#6-Harford Memorial'!F30,'#7-St. Joseph'!F30,'#8-Mercy'!F30,'#9-Johns Hopkins'!F30,'#10-Shore Health Dorchester'!F30,'#11-St. Agnes'!F30,'#12-Sinai'!F30,'#13-Bon Secours'!F30,'#15-Franklin Square'!F30,'#16-Washington Adventist'!F30,'#17-Garrett County'!F30,'#18-Montgomery General'!F30,'#19-Pennisula General'!F30,'#22-Suburban'!F30,'#23-Anne Arundel Medical Center'!F30,'#24-Union Memorial'!F30,'#27-Western Maryland Regional'!F30,'#28-St. Mary''s'!F30,'#29-JH Bayview'!F30,'#30-Chester River'!F30,'#32-Union Cecil County'!F30,'#33-Carroll Hospital '!F30,'#34-Harbor Hospital'!F30,'#35-Civista Medical Center'!F30,'#37-Shore Health Easton'!F30,'#38-UM Midtown'!F30,'#39-Calvert Memorial'!F30,'#40-Northwest'!F30,'#43-UM Baltimore Washington'!F30,'#44-GBMC'!F30,'#45-McCready'!F30,'#48-Howard County'!F30,'#49-UCH Upper Chesapeake'!F30,'#51-Doctors Community'!F30,'#55-Laurel Regional'!F30,'#60-Ft Washington'!F30,'#61-Atlantic General'!F30,'#62-Southern Maryland'!F30,'#2001-UM Rehab &amp; Ortho'!F30,'#2004-Good Samaritan'!F30,'#5034-Mt. Washington Pediatric'!F30,'#5050-Shady Grove Adventist'!F30)</f>
        <v>24223.056942478888</v>
      </c>
      <c r="G18" s="123">
        <f>SUM('#1-Meritus'!G30,'#2-UMMS'!G30,'#3-Prince George''s'!G30,'#4-Holy Cross'!G30,'#5-Frederick Memorial'!G30,'#6-Harford Memorial'!G30,'#7-St. Joseph'!G30,'#8-Mercy'!G30,'#9-Johns Hopkins'!G30,'#10-Shore Health Dorchester'!G30,'#11-St. Agnes'!G30,'#12-Sinai'!G30,'#13-Bon Secours'!G30,'#15-Franklin Square'!G30,'#16-Washington Adventist'!G30,'#17-Garrett County'!G30,'#18-Montgomery General'!G30,'#19-Pennisula General'!G30,'#22-Suburban'!G30,'#23-Anne Arundel Medical Center'!G30,'#24-Union Memorial'!G30,'#27-Western Maryland Regional'!G30,'#28-St. Mary''s'!G30,'#29-JH Bayview'!G30,'#30-Chester River'!G30,'#32-Union Cecil County'!G30,'#33-Carroll Hospital '!G30,'#34-Harbor Hospital'!G30,'#35-Civista Medical Center'!G30,'#37-Shore Health Easton'!G30,'#38-UM Midtown'!G30,'#39-Calvert Memorial'!G30,'#40-Northwest'!G30,'#43-UM Baltimore Washington'!G30,'#44-GBMC'!G30,'#45-McCready'!G30,'#48-Howard County'!G30,'#49-UCH Upper Chesapeake'!G30,'#51-Doctors Community'!G30,'#55-Laurel Regional'!G30,'#60-Ft Washington'!G30,'#61-Atlantic General'!G30,'#62-Southern Maryland'!G30,'#2001-UM Rehab &amp; Ortho'!G30,'#2004-Good Samaritan'!G30,'#5034-Mt. Washington Pediatric'!G30,'#5050-Shady Grove Adventist'!G30)</f>
        <v>33213.0936</v>
      </c>
      <c r="H18" s="123">
        <f>SUM('#1-Meritus'!H30,'#2-UMMS'!H30,'#3-Prince George''s'!H30,'#4-Holy Cross'!H30,'#5-Frederick Memorial'!H30,'#6-Harford Memorial'!H30,'#7-St. Joseph'!H30,'#8-Mercy'!H30,'#9-Johns Hopkins'!H30,'#10-Shore Health Dorchester'!H30,'#11-St. Agnes'!H30,'#12-Sinai'!H30,'#13-Bon Secours'!H30,'#15-Franklin Square'!H30,'#16-Washington Adventist'!H30,'#17-Garrett County'!H30,'#18-Montgomery General'!H30,'#19-Pennisula General'!H30,'#22-Suburban'!H30,'#23-Anne Arundel Medical Center'!H30,'#24-Union Memorial'!H30,'#27-Western Maryland Regional'!H30,'#28-St. Mary''s'!H30,'#29-JH Bayview'!H30,'#30-Chester River'!H30,'#32-Union Cecil County'!H30,'#33-Carroll Hospital '!H30,'#34-Harbor Hospital'!H30,'#35-Civista Medical Center'!H30,'#37-Shore Health Easton'!H30,'#38-UM Midtown'!H30,'#39-Calvert Memorial'!H30,'#40-Northwest'!H30,'#43-UM Baltimore Washington'!H30,'#44-GBMC'!H30,'#45-McCready'!H30,'#48-Howard County'!H30,'#49-UCH Upper Chesapeake'!H30,'#51-Doctors Community'!H30,'#55-Laurel Regional'!H30,'#60-Ft Washington'!H30,'#61-Atlantic General'!H30,'#62-Southern Maryland'!H30,'#2001-UM Rehab &amp; Ortho'!H30,'#2004-Good Samaritan'!H30,'#5034-Mt. Washington Pediatric'!H30,'#5050-Shady Grove Adventist'!H30)</f>
        <v>2051517.6809254813</v>
      </c>
      <c r="I18" s="123">
        <f>SUM('#1-Meritus'!I30,'#2-UMMS'!I30,'#3-Prince George''s'!I30,'#4-Holy Cross'!I30,'#5-Frederick Memorial'!I30,'#6-Harford Memorial'!I30,'#7-St. Joseph'!I30,'#8-Mercy'!I30,'#9-Johns Hopkins'!I30,'#10-Shore Health Dorchester'!I30,'#11-St. Agnes'!I30,'#12-Sinai'!I30,'#13-Bon Secours'!I30,'#15-Franklin Square'!I30,'#16-Washington Adventist'!I30,'#17-Garrett County'!I30,'#18-Montgomery General'!I30,'#19-Pennisula General'!I30,'#22-Suburban'!I30,'#23-Anne Arundel Medical Center'!I30,'#24-Union Memorial'!I30,'#27-Western Maryland Regional'!I30,'#28-St. Mary''s'!I30,'#29-JH Bayview'!I30,'#30-Chester River'!I30,'#32-Union Cecil County'!I30,'#33-Carroll Hospital '!I30,'#34-Harbor Hospital'!I30,'#35-Civista Medical Center'!I30,'#37-Shore Health Easton'!I30,'#38-UM Midtown'!I30,'#39-Calvert Memorial'!I30,'#40-Northwest'!I30,'#43-UM Baltimore Washington'!I30,'#44-GBMC'!I30,'#45-McCready'!I30,'#48-Howard County'!I30,'#49-UCH Upper Chesapeake'!I30,'#51-Doctors Community'!I30,'#55-Laurel Regional'!I30,'#60-Ft Washington'!I30,'#61-Atlantic General'!I30,'#62-Southern Maryland'!I30,'#2001-UM Rehab &amp; Ortho'!I30,'#2004-Good Samaritan'!I30,'#5034-Mt. Washington Pediatric'!I30,'#5050-Shady Grove Adventist'!I30)</f>
        <v>1148004.0003936212</v>
      </c>
      <c r="J18" s="123">
        <f>SUM('#1-Meritus'!J30,'#2-UMMS'!J30,'#3-Prince George''s'!J30,'#4-Holy Cross'!J30,'#5-Frederick Memorial'!J30,'#6-Harford Memorial'!J30,'#7-St. Joseph'!J30,'#8-Mercy'!J30,'#9-Johns Hopkins'!J30,'#10-Shore Health Dorchester'!J30,'#11-St. Agnes'!J30,'#12-Sinai'!J30,'#13-Bon Secours'!J30,'#15-Franklin Square'!J30,'#16-Washington Adventist'!J30,'#17-Garrett County'!J30,'#18-Montgomery General'!J30,'#19-Pennisula General'!J30,'#22-Suburban'!J30,'#23-Anne Arundel Medical Center'!J30,'#24-Union Memorial'!J30,'#27-Western Maryland Regional'!J30,'#28-St. Mary''s'!J30,'#29-JH Bayview'!J30,'#30-Chester River'!J30,'#32-Union Cecil County'!J30,'#33-Carroll Hospital '!J30,'#34-Harbor Hospital'!J30,'#35-Civista Medical Center'!J30,'#37-Shore Health Easton'!J30,'#38-UM Midtown'!J30,'#39-Calvert Memorial'!J30,'#40-Northwest'!J30,'#43-UM Baltimore Washington'!J30,'#44-GBMC'!J30,'#45-McCready'!J30,'#48-Howard County'!J30,'#49-UCH Upper Chesapeake'!J30,'#51-Doctors Community'!J30,'#55-Laurel Regional'!J30,'#60-Ft Washington'!J30,'#61-Atlantic General'!J30,'#62-Southern Maryland'!J30,'#2001-UM Rehab &amp; Ortho'!J30,'#2004-Good Samaritan'!J30,'#5034-Mt. Washington Pediatric'!J30,'#5050-Shady Grove Adventist'!J30)</f>
        <v>20683.830000000002</v>
      </c>
      <c r="K18" s="123">
        <f t="shared" si="0"/>
        <v>3178837.8513191026</v>
      </c>
      <c r="L18" s="123">
        <f t="shared" si="1"/>
        <v>2030833.8509254812</v>
      </c>
      <c r="M18" s="131"/>
      <c r="N18" s="131"/>
    </row>
    <row r="19" spans="1:14">
      <c r="D19" s="43"/>
      <c r="E19" s="43"/>
      <c r="F19" s="127"/>
      <c r="G19" s="127"/>
      <c r="H19" s="127"/>
      <c r="I19" s="127"/>
      <c r="J19" s="127"/>
      <c r="K19" s="127"/>
      <c r="L19" s="128"/>
      <c r="M19" s="131"/>
      <c r="N19" s="131"/>
    </row>
    <row r="20" spans="1:14">
      <c r="A20" s="48" t="s">
        <v>275</v>
      </c>
      <c r="B20" s="43" t="s">
        <v>166</v>
      </c>
      <c r="F20" s="123">
        <f>SUM(F9:F18)</f>
        <v>949714.36258730886</v>
      </c>
      <c r="G20" s="123">
        <f t="shared" ref="G20:K20" si="2">SUM(G9:G18)</f>
        <v>18964608.123768002</v>
      </c>
      <c r="H20" s="123">
        <f t="shared" si="2"/>
        <v>65901848.300401203</v>
      </c>
      <c r="I20" s="123">
        <f t="shared" si="2"/>
        <v>27510626.783415649</v>
      </c>
      <c r="J20" s="123">
        <f t="shared" si="2"/>
        <v>10667477.637</v>
      </c>
      <c r="K20" s="123">
        <f t="shared" si="2"/>
        <v>82744997.446816862</v>
      </c>
      <c r="L20" s="124">
        <f>K20-I20</f>
        <v>55234370.663401216</v>
      </c>
      <c r="M20" s="131"/>
      <c r="N20" s="131"/>
    </row>
    <row r="21" spans="1:14">
      <c r="A21" s="48"/>
      <c r="B21" s="43"/>
      <c r="F21" s="129"/>
      <c r="G21" s="129"/>
      <c r="H21" s="129"/>
      <c r="I21" s="129"/>
      <c r="J21" s="129"/>
      <c r="K21" s="129"/>
      <c r="L21" s="130"/>
      <c r="M21" s="131"/>
      <c r="N21" s="131"/>
    </row>
    <row r="22" spans="1:14">
      <c r="A22" s="48"/>
      <c r="B22" s="43"/>
      <c r="F22" s="131"/>
      <c r="G22" s="131"/>
      <c r="H22" s="131"/>
      <c r="I22" s="131"/>
      <c r="J22" s="132"/>
      <c r="K22" s="132"/>
      <c r="L22" s="133"/>
      <c r="M22" s="131"/>
      <c r="N22" s="131"/>
    </row>
    <row r="23" spans="1:14" ht="42.75" customHeight="1">
      <c r="A23" s="39"/>
      <c r="B23" s="39"/>
      <c r="F23" s="47" t="s">
        <v>145</v>
      </c>
      <c r="G23" s="47" t="s">
        <v>146</v>
      </c>
      <c r="H23" s="47" t="s">
        <v>385</v>
      </c>
      <c r="I23" s="47" t="s">
        <v>386</v>
      </c>
      <c r="J23" s="113" t="s">
        <v>382</v>
      </c>
      <c r="K23" s="125" t="s">
        <v>383</v>
      </c>
      <c r="L23" s="47" t="s">
        <v>384</v>
      </c>
      <c r="M23" s="131"/>
      <c r="N23" s="131"/>
    </row>
    <row r="24" spans="1:14">
      <c r="A24" s="48" t="s">
        <v>387</v>
      </c>
      <c r="B24" s="48"/>
      <c r="C24" s="43" t="s">
        <v>168</v>
      </c>
      <c r="J24" s="114"/>
      <c r="K24" s="126"/>
      <c r="M24" s="131"/>
      <c r="N24" s="131"/>
    </row>
    <row r="25" spans="1:14">
      <c r="A25" s="45" t="s">
        <v>169</v>
      </c>
      <c r="B25" s="45"/>
      <c r="C25" s="43" t="s">
        <v>170</v>
      </c>
      <c r="D25" s="43"/>
      <c r="E25" s="43"/>
      <c r="F25" s="123">
        <f>SUM('#1-Meritus'!F40,'#2-UMMS'!F40,'#3-Prince George''s'!F40,'#4-Holy Cross'!F40,'#5-Frederick Memorial'!F40,'#6-Harford Memorial'!F40,'#7-St. Joseph'!F40,'#8-Mercy'!F40,'#9-Johns Hopkins'!F40,'#10-Shore Health Dorchester'!F40,'#11-St. Agnes'!F40,'#12-Sinai'!F40,'#13-Bon Secours'!F40,'#15-Franklin Square'!F40,'#16-Washington Adventist'!F40,'#17-Garrett County'!F40,'#18-Montgomery General'!F40,'#19-Pennisula General'!F40,'#22-Suburban'!F40,'#23-Anne Arundel Medical Center'!F40,'#24-Union Memorial'!F40,'#27-Western Maryland Regional'!F40,'#28-St. Mary''s'!F40,'#29-JH Bayview'!F40,'#30-Chester River'!F40,'#32-Union Cecil County'!F40,'#33-Carroll Hospital '!F40,'#34-Harbor Hospital'!F40,'#35-Civista Medical Center'!F40,'#37-Shore Health Easton'!F40,'#38-UM Midtown'!F40,'#39-Calvert Memorial'!F40,'#40-Northwest'!F40,'#43-UM Baltimore Washington'!F40,'#44-GBMC'!F40,'#45-McCready'!F40,'#48-Howard County'!F40,'#49-UCH Upper Chesapeake'!F40,'#51-Doctors Community'!F40,'#55-Laurel Regional'!F40,'#60-Ft Washington'!F40,'#61-Atlantic General'!F40,'#62-Southern Maryland'!F40,'#2001-UM Rehab &amp; Ortho'!F40,'#2004-Good Samaritan'!F40,'#5034-Mt. Washington Pediatric'!F40,'#5050-Shady Grove Adventist'!F40)</f>
        <v>5492045.5728271427</v>
      </c>
      <c r="G25" s="123">
        <f>SUM('#1-Meritus'!G40,'#2-UMMS'!G40,'#3-Prince George''s'!G40,'#4-Holy Cross'!G40,'#5-Frederick Memorial'!G40,'#6-Harford Memorial'!G40,'#7-St. Joseph'!G40,'#8-Mercy'!G40,'#9-Johns Hopkins'!G40,'#10-Shore Health Dorchester'!G40,'#11-St. Agnes'!G40,'#12-Sinai'!G40,'#13-Bon Secours'!G40,'#15-Franklin Square'!G40,'#16-Washington Adventist'!G40,'#17-Garrett County'!G40,'#18-Montgomery General'!G40,'#19-Pennisula General'!G40,'#22-Suburban'!G40,'#23-Anne Arundel Medical Center'!G40,'#24-Union Memorial'!G40,'#27-Western Maryland Regional'!G40,'#28-St. Mary''s'!G40,'#29-JH Bayview'!G40,'#30-Chester River'!G40,'#32-Union Cecil County'!G40,'#33-Carroll Hospital '!G40,'#34-Harbor Hospital'!G40,'#35-Civista Medical Center'!G40,'#37-Shore Health Easton'!G40,'#38-UM Midtown'!G40,'#39-Calvert Memorial'!G40,'#40-Northwest'!G40,'#43-UM Baltimore Washington'!G40,'#44-GBMC'!G40,'#45-McCready'!G40,'#48-Howard County'!G40,'#49-UCH Upper Chesapeake'!G40,'#51-Doctors Community'!G40,'#55-Laurel Regional'!G40,'#60-Ft Washington'!G40,'#61-Atlantic General'!G40,'#62-Southern Maryland'!G40,'#2001-UM Rehab &amp; Ortho'!G40,'#2004-Good Samaritan'!G40,'#5034-Mt. Washington Pediatric'!G40,'#5050-Shady Grove Adventist'!G40)</f>
        <v>40082</v>
      </c>
      <c r="H25" s="123">
        <f>SUM('#1-Meritus'!H40,'#2-UMMS'!H40,'#3-Prince George''s'!H40,'#4-Holy Cross'!H40,'#5-Frederick Memorial'!H40,'#6-Harford Memorial'!H40,'#7-St. Joseph'!H40,'#8-Mercy'!H40,'#9-Johns Hopkins'!H40,'#10-Shore Health Dorchester'!H40,'#11-St. Agnes'!H40,'#12-Sinai'!H40,'#13-Bon Secours'!H40,'#15-Franklin Square'!H40,'#16-Washington Adventist'!H40,'#17-Garrett County'!H40,'#18-Montgomery General'!H40,'#19-Pennisula General'!H40,'#22-Suburban'!H40,'#23-Anne Arundel Medical Center'!H40,'#24-Union Memorial'!H40,'#27-Western Maryland Regional'!H40,'#28-St. Mary''s'!H40,'#29-JH Bayview'!H40,'#30-Chester River'!H40,'#32-Union Cecil County'!H40,'#33-Carroll Hospital '!H40,'#34-Harbor Hospital'!H40,'#35-Civista Medical Center'!H40,'#37-Shore Health Easton'!H40,'#38-UM Midtown'!H40,'#39-Calvert Memorial'!H40,'#40-Northwest'!H40,'#43-UM Baltimore Washington'!H40,'#44-GBMC'!H40,'#45-McCready'!H40,'#48-Howard County'!H40,'#49-UCH Upper Chesapeake'!H40,'#51-Doctors Community'!H40,'#55-Laurel Regional'!H40,'#60-Ft Washington'!H40,'#61-Atlantic General'!H40,'#62-Southern Maryland'!H40,'#2001-UM Rehab &amp; Ortho'!H40,'#2004-Good Samaritan'!H40,'#5034-Mt. Washington Pediatric'!H40,'#5050-Shady Grove Adventist'!H40)</f>
        <v>287630043.18976843</v>
      </c>
      <c r="I25" s="123">
        <f>SUM('#1-Meritus'!I40,'#2-UMMS'!I40,'#3-Prince George''s'!I40,'#4-Holy Cross'!I40,'#5-Frederick Memorial'!I40,'#6-Harford Memorial'!I40,'#7-St. Joseph'!I40,'#8-Mercy'!I40,'#9-Johns Hopkins'!I40,'#10-Shore Health Dorchester'!I40,'#11-St. Agnes'!I40,'#12-Sinai'!I40,'#13-Bon Secours'!I40,'#15-Franklin Square'!I40,'#16-Washington Adventist'!I40,'#17-Garrett County'!I40,'#18-Montgomery General'!I40,'#19-Pennisula General'!I40,'#22-Suburban'!I40,'#23-Anne Arundel Medical Center'!I40,'#24-Union Memorial'!I40,'#27-Western Maryland Regional'!I40,'#28-St. Mary''s'!I40,'#29-JH Bayview'!I40,'#30-Chester River'!I40,'#32-Union Cecil County'!I40,'#33-Carroll Hospital '!I40,'#34-Harbor Hospital'!I40,'#35-Civista Medical Center'!I40,'#37-Shore Health Easton'!I40,'#38-UM Midtown'!I40,'#39-Calvert Memorial'!I40,'#40-Northwest'!I40,'#43-UM Baltimore Washington'!I40,'#44-GBMC'!I40,'#45-McCready'!I40,'#48-Howard County'!I40,'#49-UCH Upper Chesapeake'!I40,'#51-Doctors Community'!I40,'#55-Laurel Regional'!I40,'#60-Ft Washington'!I40,'#61-Atlantic General'!I40,'#62-Southern Maryland'!I40,'#2001-UM Rehab &amp; Ortho'!I40,'#2004-Good Samaritan'!I40,'#5034-Mt. Washington Pediatric'!I40,'#5050-Shady Grove Adventist'!I40)</f>
        <v>72542734.751911893</v>
      </c>
      <c r="J25" s="123">
        <f>SUM('#1-Meritus'!J40,'#2-UMMS'!J40,'#3-Prince George''s'!J40,'#4-Holy Cross'!J40,'#5-Frederick Memorial'!J40,'#6-Harford Memorial'!J40,'#7-St. Joseph'!J40,'#8-Mercy'!J40,'#9-Johns Hopkins'!J40,'#10-Shore Health Dorchester'!J40,'#11-St. Agnes'!J40,'#12-Sinai'!J40,'#13-Bon Secours'!J40,'#15-Franklin Square'!J40,'#16-Washington Adventist'!J40,'#17-Garrett County'!J40,'#18-Montgomery General'!J40,'#19-Pennisula General'!J40,'#22-Suburban'!J40,'#23-Anne Arundel Medical Center'!J40,'#24-Union Memorial'!J40,'#27-Western Maryland Regional'!J40,'#28-St. Mary''s'!J40,'#29-JH Bayview'!J40,'#30-Chester River'!J40,'#32-Union Cecil County'!J40,'#33-Carroll Hospital '!J40,'#34-Harbor Hospital'!J40,'#35-Civista Medical Center'!J40,'#37-Shore Health Easton'!J40,'#38-UM Midtown'!J40,'#39-Calvert Memorial'!J40,'#40-Northwest'!J40,'#43-UM Baltimore Washington'!J40,'#44-GBMC'!J40,'#45-McCready'!J40,'#48-Howard County'!J40,'#49-UCH Upper Chesapeake'!J40,'#51-Doctors Community'!J40,'#55-Laurel Regional'!J40,'#60-Ft Washington'!J40,'#61-Atlantic General'!J40,'#62-Southern Maryland'!J40,'#2001-UM Rehab &amp; Ortho'!J40,'#2004-Good Samaritan'!J40,'#5034-Mt. Washington Pediatric'!J40,'#5050-Shady Grove Adventist'!J40)</f>
        <v>422567</v>
      </c>
      <c r="K25" s="123">
        <f t="shared" ref="K25:K29" si="3">+H25+I25-J25</f>
        <v>359750210.94168031</v>
      </c>
      <c r="L25" s="123">
        <f t="shared" ref="L25:L29" si="4">+H25-J25</f>
        <v>287207476.18976843</v>
      </c>
      <c r="M25" s="131"/>
      <c r="N25" s="131"/>
    </row>
    <row r="26" spans="1:14">
      <c r="A26" s="45" t="s">
        <v>171</v>
      </c>
      <c r="B26" s="45"/>
      <c r="C26" s="441" t="s">
        <v>172</v>
      </c>
      <c r="F26" s="123">
        <f>SUM('#1-Meritus'!F41,'#2-UMMS'!F41,'#3-Prince George''s'!F41,'#4-Holy Cross'!F41,'#5-Frederick Memorial'!F41,'#6-Harford Memorial'!F41,'#7-St. Joseph'!F41,'#8-Mercy'!F41,'#9-Johns Hopkins'!F41,'#10-Shore Health Dorchester'!F41,'#11-St. Agnes'!F41,'#12-Sinai'!F41,'#13-Bon Secours'!F41,'#15-Franklin Square'!F41,'#16-Washington Adventist'!F41,'#17-Garrett County'!F41,'#18-Montgomery General'!F41,'#19-Pennisula General'!F41,'#22-Suburban'!F41,'#23-Anne Arundel Medical Center'!F41,'#24-Union Memorial'!F41,'#27-Western Maryland Regional'!F41,'#28-St. Mary''s'!F41,'#29-JH Bayview'!F41,'#30-Chester River'!F41,'#32-Union Cecil County'!F41,'#33-Carroll Hospital '!F41,'#34-Harbor Hospital'!F41,'#35-Civista Medical Center'!F41,'#37-Shore Health Easton'!F41,'#38-UM Midtown'!F41,'#39-Calvert Memorial'!F41,'#40-Northwest'!F41,'#43-UM Baltimore Washington'!F41,'#44-GBMC'!F41,'#45-McCready'!F41,'#48-Howard County'!F41,'#49-UCH Upper Chesapeake'!F41,'#51-Doctors Community'!F41,'#55-Laurel Regional'!F41,'#60-Ft Washington'!F41,'#61-Atlantic General'!F41,'#62-Southern Maryland'!F41,'#2001-UM Rehab &amp; Ortho'!F41,'#2004-Good Samaritan'!F41,'#5034-Mt. Washington Pediatric'!F41,'#5050-Shady Grove Adventist'!F41)</f>
        <v>462504.62007721985</v>
      </c>
      <c r="G26" s="123">
        <f>SUM('#1-Meritus'!G41,'#2-UMMS'!G41,'#3-Prince George''s'!G41,'#4-Holy Cross'!G41,'#5-Frederick Memorial'!G41,'#6-Harford Memorial'!G41,'#7-St. Joseph'!G41,'#8-Mercy'!G41,'#9-Johns Hopkins'!G41,'#10-Shore Health Dorchester'!G41,'#11-St. Agnes'!G41,'#12-Sinai'!G41,'#13-Bon Secours'!G41,'#15-Franklin Square'!G41,'#16-Washington Adventist'!G41,'#17-Garrett County'!G41,'#18-Montgomery General'!G41,'#19-Pennisula General'!G41,'#22-Suburban'!G41,'#23-Anne Arundel Medical Center'!G41,'#24-Union Memorial'!G41,'#27-Western Maryland Regional'!G41,'#28-St. Mary''s'!G41,'#29-JH Bayview'!G41,'#30-Chester River'!G41,'#32-Union Cecil County'!G41,'#33-Carroll Hospital '!G41,'#34-Harbor Hospital'!G41,'#35-Civista Medical Center'!G41,'#37-Shore Health Easton'!G41,'#38-UM Midtown'!G41,'#39-Calvert Memorial'!G41,'#40-Northwest'!G41,'#43-UM Baltimore Washington'!G41,'#44-GBMC'!G41,'#45-McCready'!G41,'#48-Howard County'!G41,'#49-UCH Upper Chesapeake'!G41,'#51-Doctors Community'!G41,'#55-Laurel Regional'!G41,'#60-Ft Washington'!G41,'#61-Atlantic General'!G41,'#62-Southern Maryland'!G41,'#2001-UM Rehab &amp; Ortho'!G41,'#2004-Good Samaritan'!G41,'#5034-Mt. Washington Pediatric'!G41,'#5050-Shady Grove Adventist'!G41)</f>
        <v>122309.2375</v>
      </c>
      <c r="H26" s="123">
        <f>SUM('#1-Meritus'!H41,'#2-UMMS'!H41,'#3-Prince George''s'!H41,'#4-Holy Cross'!H41,'#5-Frederick Memorial'!H41,'#6-Harford Memorial'!H41,'#7-St. Joseph'!H41,'#8-Mercy'!H41,'#9-Johns Hopkins'!H41,'#10-Shore Health Dorchester'!H41,'#11-St. Agnes'!H41,'#12-Sinai'!H41,'#13-Bon Secours'!H41,'#15-Franklin Square'!H41,'#16-Washington Adventist'!H41,'#17-Garrett County'!H41,'#18-Montgomery General'!H41,'#19-Pennisula General'!H41,'#22-Suburban'!H41,'#23-Anne Arundel Medical Center'!H41,'#24-Union Memorial'!H41,'#27-Western Maryland Regional'!H41,'#28-St. Mary''s'!H41,'#29-JH Bayview'!H41,'#30-Chester River'!H41,'#32-Union Cecil County'!H41,'#33-Carroll Hospital '!H41,'#34-Harbor Hospital'!H41,'#35-Civista Medical Center'!H41,'#37-Shore Health Easton'!H41,'#38-UM Midtown'!H41,'#39-Calvert Memorial'!H41,'#40-Northwest'!H41,'#43-UM Baltimore Washington'!H41,'#44-GBMC'!H41,'#45-McCready'!H41,'#48-Howard County'!H41,'#49-UCH Upper Chesapeake'!H41,'#51-Doctors Community'!H41,'#55-Laurel Regional'!H41,'#60-Ft Washington'!H41,'#61-Atlantic General'!H41,'#62-Southern Maryland'!H41,'#2001-UM Rehab &amp; Ortho'!H41,'#2004-Good Samaritan'!H41,'#5034-Mt. Washington Pediatric'!H41,'#5050-Shady Grove Adventist'!H41)</f>
        <v>24144815.657713089</v>
      </c>
      <c r="I26" s="123">
        <f>SUM('#1-Meritus'!I41,'#2-UMMS'!I41,'#3-Prince George''s'!I41,'#4-Holy Cross'!I41,'#5-Frederick Memorial'!I41,'#6-Harford Memorial'!I41,'#7-St. Joseph'!I41,'#8-Mercy'!I41,'#9-Johns Hopkins'!I41,'#10-Shore Health Dorchester'!I41,'#11-St. Agnes'!I41,'#12-Sinai'!I41,'#13-Bon Secours'!I41,'#15-Franklin Square'!I41,'#16-Washington Adventist'!I41,'#17-Garrett County'!I41,'#18-Montgomery General'!I41,'#19-Pennisula General'!I41,'#22-Suburban'!I41,'#23-Anne Arundel Medical Center'!I41,'#24-Union Memorial'!I41,'#27-Western Maryland Regional'!I41,'#28-St. Mary''s'!I41,'#29-JH Bayview'!I41,'#30-Chester River'!I41,'#32-Union Cecil County'!I41,'#33-Carroll Hospital '!I41,'#34-Harbor Hospital'!I41,'#35-Civista Medical Center'!I41,'#37-Shore Health Easton'!I41,'#38-UM Midtown'!I41,'#39-Calvert Memorial'!I41,'#40-Northwest'!I41,'#43-UM Baltimore Washington'!I41,'#44-GBMC'!I41,'#45-McCready'!I41,'#48-Howard County'!I41,'#49-UCH Upper Chesapeake'!I41,'#51-Doctors Community'!I41,'#55-Laurel Regional'!I41,'#60-Ft Washington'!I41,'#61-Atlantic General'!I41,'#62-Southern Maryland'!I41,'#2001-UM Rehab &amp; Ortho'!I41,'#2004-Good Samaritan'!I41,'#5034-Mt. Washington Pediatric'!I41,'#5050-Shady Grove Adventist'!I41)</f>
        <v>6524128.6464695334</v>
      </c>
      <c r="J26" s="123">
        <f>SUM('#1-Meritus'!J41,'#2-UMMS'!J41,'#3-Prince George''s'!J41,'#4-Holy Cross'!J41,'#5-Frederick Memorial'!J41,'#6-Harford Memorial'!J41,'#7-St. Joseph'!J41,'#8-Mercy'!J41,'#9-Johns Hopkins'!J41,'#10-Shore Health Dorchester'!J41,'#11-St. Agnes'!J41,'#12-Sinai'!J41,'#13-Bon Secours'!J41,'#15-Franklin Square'!J41,'#16-Washington Adventist'!J41,'#17-Garrett County'!J41,'#18-Montgomery General'!J41,'#19-Pennisula General'!J41,'#22-Suburban'!J41,'#23-Anne Arundel Medical Center'!J41,'#24-Union Memorial'!J41,'#27-Western Maryland Regional'!J41,'#28-St. Mary''s'!J41,'#29-JH Bayview'!J41,'#30-Chester River'!J41,'#32-Union Cecil County'!J41,'#33-Carroll Hospital '!J41,'#34-Harbor Hospital'!J41,'#35-Civista Medical Center'!J41,'#37-Shore Health Easton'!J41,'#38-UM Midtown'!J41,'#39-Calvert Memorial'!J41,'#40-Northwest'!J41,'#43-UM Baltimore Washington'!J41,'#44-GBMC'!J41,'#45-McCready'!J41,'#48-Howard County'!J41,'#49-UCH Upper Chesapeake'!J41,'#51-Doctors Community'!J41,'#55-Laurel Regional'!J41,'#60-Ft Washington'!J41,'#61-Atlantic General'!J41,'#62-Southern Maryland'!J41,'#2001-UM Rehab &amp; Ortho'!J41,'#2004-Good Samaritan'!J41,'#5034-Mt. Washington Pediatric'!J41,'#5050-Shady Grove Adventist'!J41)</f>
        <v>157821</v>
      </c>
      <c r="K26" s="123">
        <f t="shared" si="3"/>
        <v>30511123.304182623</v>
      </c>
      <c r="L26" s="123">
        <f t="shared" si="4"/>
        <v>23986994.657713089</v>
      </c>
      <c r="M26" s="131"/>
      <c r="N26" s="131"/>
    </row>
    <row r="27" spans="1:14">
      <c r="A27" s="45" t="s">
        <v>173</v>
      </c>
      <c r="B27" s="45"/>
      <c r="C27" s="49" t="s">
        <v>174</v>
      </c>
      <c r="D27" s="134"/>
      <c r="E27" s="134"/>
      <c r="F27" s="123">
        <f>SUM('#1-Meritus'!F42,'#2-UMMS'!F42,'#3-Prince George''s'!F42,'#4-Holy Cross'!F42,'#5-Frederick Memorial'!F42,'#6-Harford Memorial'!F42,'#7-St. Joseph'!F42,'#8-Mercy'!F42,'#9-Johns Hopkins'!F42,'#10-Shore Health Dorchester'!F42,'#11-St. Agnes'!F42,'#12-Sinai'!F42,'#13-Bon Secours'!F42,'#15-Franklin Square'!F42,'#16-Washington Adventist'!F42,'#17-Garrett County'!F42,'#18-Montgomery General'!F42,'#19-Pennisula General'!F42,'#22-Suburban'!F42,'#23-Anne Arundel Medical Center'!F42,'#24-Union Memorial'!F42,'#27-Western Maryland Regional'!F42,'#28-St. Mary''s'!F42,'#29-JH Bayview'!F42,'#30-Chester River'!F42,'#32-Union Cecil County'!F42,'#33-Carroll Hospital '!F42,'#34-Harbor Hospital'!F42,'#35-Civista Medical Center'!F42,'#37-Shore Health Easton'!F42,'#38-UM Midtown'!F42,'#39-Calvert Memorial'!F42,'#40-Northwest'!F42,'#43-UM Baltimore Washington'!F42,'#44-GBMC'!F42,'#45-McCready'!F42,'#48-Howard County'!F42,'#49-UCH Upper Chesapeake'!F42,'#51-Doctors Community'!F42,'#55-Laurel Regional'!F42,'#60-Ft Washington'!F42,'#61-Atlantic General'!F42,'#62-Southern Maryland'!F42,'#2001-UM Rehab &amp; Ortho'!F42,'#2004-Good Samaritan'!F42,'#5034-Mt. Washington Pediatric'!F42,'#5050-Shady Grove Adventist'!F42)</f>
        <v>325199.53000000003</v>
      </c>
      <c r="G27" s="123">
        <f>SUM('#1-Meritus'!G42,'#2-UMMS'!G42,'#3-Prince George''s'!G42,'#4-Holy Cross'!G42,'#5-Frederick Memorial'!G42,'#6-Harford Memorial'!G42,'#7-St. Joseph'!G42,'#8-Mercy'!G42,'#9-Johns Hopkins'!G42,'#10-Shore Health Dorchester'!G42,'#11-St. Agnes'!G42,'#12-Sinai'!G42,'#13-Bon Secours'!G42,'#15-Franklin Square'!G42,'#16-Washington Adventist'!G42,'#17-Garrett County'!G42,'#18-Montgomery General'!G42,'#19-Pennisula General'!G42,'#22-Suburban'!G42,'#23-Anne Arundel Medical Center'!G42,'#24-Union Memorial'!G42,'#27-Western Maryland Regional'!G42,'#28-St. Mary''s'!G42,'#29-JH Bayview'!G42,'#30-Chester River'!G42,'#32-Union Cecil County'!G42,'#33-Carroll Hospital '!G42,'#34-Harbor Hospital'!G42,'#35-Civista Medical Center'!G42,'#37-Shore Health Easton'!G42,'#38-UM Midtown'!G42,'#39-Calvert Memorial'!G42,'#40-Northwest'!G42,'#43-UM Baltimore Washington'!G42,'#44-GBMC'!G42,'#45-McCready'!G42,'#48-Howard County'!G42,'#49-UCH Upper Chesapeake'!G42,'#51-Doctors Community'!G42,'#55-Laurel Regional'!G42,'#60-Ft Washington'!G42,'#61-Atlantic General'!G42,'#62-Southern Maryland'!G42,'#2001-UM Rehab &amp; Ortho'!G42,'#2004-Good Samaritan'!G42,'#5034-Mt. Washington Pediatric'!G42,'#5050-Shady Grove Adventist'!G42)</f>
        <v>47807.175157152567</v>
      </c>
      <c r="H27" s="123">
        <f>SUM('#1-Meritus'!H42,'#2-UMMS'!H42,'#3-Prince George''s'!H42,'#4-Holy Cross'!H42,'#5-Frederick Memorial'!H42,'#6-Harford Memorial'!H42,'#7-St. Joseph'!H42,'#8-Mercy'!H42,'#9-Johns Hopkins'!H42,'#10-Shore Health Dorchester'!H42,'#11-St. Agnes'!H42,'#12-Sinai'!H42,'#13-Bon Secours'!H42,'#15-Franklin Square'!H42,'#16-Washington Adventist'!H42,'#17-Garrett County'!H42,'#18-Montgomery General'!H42,'#19-Pennisula General'!H42,'#22-Suburban'!H42,'#23-Anne Arundel Medical Center'!H42,'#24-Union Memorial'!H42,'#27-Western Maryland Regional'!H42,'#28-St. Mary''s'!H42,'#29-JH Bayview'!H42,'#30-Chester River'!H42,'#32-Union Cecil County'!H42,'#33-Carroll Hospital '!H42,'#34-Harbor Hospital'!H42,'#35-Civista Medical Center'!H42,'#37-Shore Health Easton'!H42,'#38-UM Midtown'!H42,'#39-Calvert Memorial'!H42,'#40-Northwest'!H42,'#43-UM Baltimore Washington'!H42,'#44-GBMC'!H42,'#45-McCready'!H42,'#48-Howard County'!H42,'#49-UCH Upper Chesapeake'!H42,'#51-Doctors Community'!H42,'#55-Laurel Regional'!H42,'#60-Ft Washington'!H42,'#61-Atlantic General'!H42,'#62-Southern Maryland'!H42,'#2001-UM Rehab &amp; Ortho'!H42,'#2004-Good Samaritan'!H42,'#5034-Mt. Washington Pediatric'!H42,'#5050-Shady Grove Adventist'!H42)</f>
        <v>13441518.265694102</v>
      </c>
      <c r="I27" s="123">
        <f>SUM('#1-Meritus'!I42,'#2-UMMS'!I42,'#3-Prince George''s'!I42,'#4-Holy Cross'!I42,'#5-Frederick Memorial'!I42,'#6-Harford Memorial'!I42,'#7-St. Joseph'!I42,'#8-Mercy'!I42,'#9-Johns Hopkins'!I42,'#10-Shore Health Dorchester'!I42,'#11-St. Agnes'!I42,'#12-Sinai'!I42,'#13-Bon Secours'!I42,'#15-Franklin Square'!I42,'#16-Washington Adventist'!I42,'#17-Garrett County'!I42,'#18-Montgomery General'!I42,'#19-Pennisula General'!I42,'#22-Suburban'!I42,'#23-Anne Arundel Medical Center'!I42,'#24-Union Memorial'!I42,'#27-Western Maryland Regional'!I42,'#28-St. Mary''s'!I42,'#29-JH Bayview'!I42,'#30-Chester River'!I42,'#32-Union Cecil County'!I42,'#33-Carroll Hospital '!I42,'#34-Harbor Hospital'!I42,'#35-Civista Medical Center'!I42,'#37-Shore Health Easton'!I42,'#38-UM Midtown'!I42,'#39-Calvert Memorial'!I42,'#40-Northwest'!I42,'#43-UM Baltimore Washington'!I42,'#44-GBMC'!I42,'#45-McCready'!I42,'#48-Howard County'!I42,'#49-UCH Upper Chesapeake'!I42,'#51-Doctors Community'!I42,'#55-Laurel Regional'!I42,'#60-Ft Washington'!I42,'#61-Atlantic General'!I42,'#62-Southern Maryland'!I42,'#2001-UM Rehab &amp; Ortho'!I42,'#2004-Good Samaritan'!I42,'#5034-Mt. Washington Pediatric'!I42,'#5050-Shady Grove Adventist'!I42)</f>
        <v>2477872.8727347567</v>
      </c>
      <c r="J27" s="123">
        <f>SUM('#1-Meritus'!J42,'#2-UMMS'!J42,'#3-Prince George''s'!J42,'#4-Holy Cross'!J42,'#5-Frederick Memorial'!J42,'#6-Harford Memorial'!J42,'#7-St. Joseph'!J42,'#8-Mercy'!J42,'#9-Johns Hopkins'!J42,'#10-Shore Health Dorchester'!J42,'#11-St. Agnes'!J42,'#12-Sinai'!J42,'#13-Bon Secours'!J42,'#15-Franklin Square'!J42,'#16-Washington Adventist'!J42,'#17-Garrett County'!J42,'#18-Montgomery General'!J42,'#19-Pennisula General'!J42,'#22-Suburban'!J42,'#23-Anne Arundel Medical Center'!J42,'#24-Union Memorial'!J42,'#27-Western Maryland Regional'!J42,'#28-St. Mary''s'!J42,'#29-JH Bayview'!J42,'#30-Chester River'!J42,'#32-Union Cecil County'!J42,'#33-Carroll Hospital '!J42,'#34-Harbor Hospital'!J42,'#35-Civista Medical Center'!J42,'#37-Shore Health Easton'!J42,'#38-UM Midtown'!J42,'#39-Calvert Memorial'!J42,'#40-Northwest'!J42,'#43-UM Baltimore Washington'!J42,'#44-GBMC'!J42,'#45-McCready'!J42,'#48-Howard County'!J42,'#49-UCH Upper Chesapeake'!J42,'#51-Doctors Community'!J42,'#55-Laurel Regional'!J42,'#60-Ft Washington'!J42,'#61-Atlantic General'!J42,'#62-Southern Maryland'!J42,'#2001-UM Rehab &amp; Ortho'!J42,'#2004-Good Samaritan'!J42,'#5034-Mt. Washington Pediatric'!J42,'#5050-Shady Grove Adventist'!J42)</f>
        <v>176470.68</v>
      </c>
      <c r="K27" s="123">
        <f t="shared" si="3"/>
        <v>15742920.45842886</v>
      </c>
      <c r="L27" s="123">
        <f t="shared" si="4"/>
        <v>13265047.585694103</v>
      </c>
      <c r="M27" s="131"/>
      <c r="N27" s="131"/>
    </row>
    <row r="28" spans="1:14">
      <c r="A28" s="45" t="s">
        <v>175</v>
      </c>
      <c r="B28" s="45"/>
      <c r="C28" s="49" t="s">
        <v>176</v>
      </c>
      <c r="F28" s="123">
        <f>SUM('#1-Meritus'!F43,'#2-UMMS'!F43,'#3-Prince George''s'!F43,'#4-Holy Cross'!F43,'#5-Frederick Memorial'!F43,'#6-Harford Memorial'!F43,'#7-St. Joseph'!F43,'#8-Mercy'!F43,'#9-Johns Hopkins'!F43,'#10-Shore Health Dorchester'!F43,'#11-St. Agnes'!F43,'#12-Sinai'!F43,'#13-Bon Secours'!F43,'#15-Franklin Square'!F43,'#16-Washington Adventist'!F43,'#17-Garrett County'!F43,'#18-Montgomery General'!F43,'#19-Pennisula General'!F43,'#22-Suburban'!F43,'#23-Anne Arundel Medical Center'!F43,'#24-Union Memorial'!F43,'#27-Western Maryland Regional'!F43,'#28-St. Mary''s'!F43,'#29-JH Bayview'!F43,'#30-Chester River'!F43,'#32-Union Cecil County'!F43,'#33-Carroll Hospital '!F43,'#34-Harbor Hospital'!F43,'#35-Civista Medical Center'!F43,'#37-Shore Health Easton'!F43,'#38-UM Midtown'!F43,'#39-Calvert Memorial'!F43,'#40-Northwest'!F43,'#43-UM Baltimore Washington'!F43,'#44-GBMC'!F43,'#45-McCready'!F43,'#48-Howard County'!F43,'#49-UCH Upper Chesapeake'!F43,'#51-Doctors Community'!F43,'#55-Laurel Regional'!F43,'#60-Ft Washington'!F43,'#61-Atlantic General'!F43,'#62-Southern Maryland'!F43,'#2001-UM Rehab &amp; Ortho'!F43,'#2004-Good Samaritan'!F43,'#5034-Mt. Washington Pediatric'!F43,'#5050-Shady Grove Adventist'!F43)</f>
        <v>5931.6900000000005</v>
      </c>
      <c r="G28" s="123">
        <f>SUM('#1-Meritus'!G43,'#2-UMMS'!G43,'#3-Prince George''s'!G43,'#4-Holy Cross'!G43,'#5-Frederick Memorial'!G43,'#6-Harford Memorial'!G43,'#7-St. Joseph'!G43,'#8-Mercy'!G43,'#9-Johns Hopkins'!G43,'#10-Shore Health Dorchester'!G43,'#11-St. Agnes'!G43,'#12-Sinai'!G43,'#13-Bon Secours'!G43,'#15-Franklin Square'!G43,'#16-Washington Adventist'!G43,'#17-Garrett County'!G43,'#18-Montgomery General'!G43,'#19-Pennisula General'!G43,'#22-Suburban'!G43,'#23-Anne Arundel Medical Center'!G43,'#24-Union Memorial'!G43,'#27-Western Maryland Regional'!G43,'#28-St. Mary''s'!G43,'#29-JH Bayview'!G43,'#30-Chester River'!G43,'#32-Union Cecil County'!G43,'#33-Carroll Hospital '!G43,'#34-Harbor Hospital'!G43,'#35-Civista Medical Center'!G43,'#37-Shore Health Easton'!G43,'#38-UM Midtown'!G43,'#39-Calvert Memorial'!G43,'#40-Northwest'!G43,'#43-UM Baltimore Washington'!G43,'#44-GBMC'!G43,'#45-McCready'!G43,'#48-Howard County'!G43,'#49-UCH Upper Chesapeake'!G43,'#51-Doctors Community'!G43,'#55-Laurel Regional'!G43,'#60-Ft Washington'!G43,'#61-Atlantic General'!G43,'#62-Southern Maryland'!G43,'#2001-UM Rehab &amp; Ortho'!G43,'#2004-Good Samaritan'!G43,'#5034-Mt. Washington Pediatric'!G43,'#5050-Shady Grove Adventist'!G43)</f>
        <v>6197.1952939800003</v>
      </c>
      <c r="H28" s="123">
        <f>SUM('#1-Meritus'!H43,'#2-UMMS'!H43,'#3-Prince George''s'!H43,'#4-Holy Cross'!H43,'#5-Frederick Memorial'!H43,'#6-Harford Memorial'!H43,'#7-St. Joseph'!H43,'#8-Mercy'!H43,'#9-Johns Hopkins'!H43,'#10-Shore Health Dorchester'!H43,'#11-St. Agnes'!H43,'#12-Sinai'!H43,'#13-Bon Secours'!H43,'#15-Franklin Square'!H43,'#16-Washington Adventist'!H43,'#17-Garrett County'!H43,'#18-Montgomery General'!H43,'#19-Pennisula General'!H43,'#22-Suburban'!H43,'#23-Anne Arundel Medical Center'!H43,'#24-Union Memorial'!H43,'#27-Western Maryland Regional'!H43,'#28-St. Mary''s'!H43,'#29-JH Bayview'!H43,'#30-Chester River'!H43,'#32-Union Cecil County'!H43,'#33-Carroll Hospital '!H43,'#34-Harbor Hospital'!H43,'#35-Civista Medical Center'!H43,'#37-Shore Health Easton'!H43,'#38-UM Midtown'!H43,'#39-Calvert Memorial'!H43,'#40-Northwest'!H43,'#43-UM Baltimore Washington'!H43,'#44-GBMC'!H43,'#45-McCready'!H43,'#48-Howard County'!H43,'#49-UCH Upper Chesapeake'!H43,'#51-Doctors Community'!H43,'#55-Laurel Regional'!H43,'#60-Ft Washington'!H43,'#61-Atlantic General'!H43,'#62-Southern Maryland'!H43,'#2001-UM Rehab &amp; Ortho'!H43,'#2004-Good Samaritan'!H43,'#5034-Mt. Washington Pediatric'!H43,'#5050-Shady Grove Adventist'!H43)</f>
        <v>2649634.674247697</v>
      </c>
      <c r="I28" s="123">
        <f>SUM('#1-Meritus'!I43,'#2-UMMS'!I43,'#3-Prince George''s'!I43,'#4-Holy Cross'!I43,'#5-Frederick Memorial'!I43,'#6-Harford Memorial'!I43,'#7-St. Joseph'!I43,'#8-Mercy'!I43,'#9-Johns Hopkins'!I43,'#10-Shore Health Dorchester'!I43,'#11-St. Agnes'!I43,'#12-Sinai'!I43,'#13-Bon Secours'!I43,'#15-Franklin Square'!I43,'#16-Washington Adventist'!I43,'#17-Garrett County'!I43,'#18-Montgomery General'!I43,'#19-Pennisula General'!I43,'#22-Suburban'!I43,'#23-Anne Arundel Medical Center'!I43,'#24-Union Memorial'!I43,'#27-Western Maryland Regional'!I43,'#28-St. Mary''s'!I43,'#29-JH Bayview'!I43,'#30-Chester River'!I43,'#32-Union Cecil County'!I43,'#33-Carroll Hospital '!I43,'#34-Harbor Hospital'!I43,'#35-Civista Medical Center'!I43,'#37-Shore Health Easton'!I43,'#38-UM Midtown'!I43,'#39-Calvert Memorial'!I43,'#40-Northwest'!I43,'#43-UM Baltimore Washington'!I43,'#44-GBMC'!I43,'#45-McCready'!I43,'#48-Howard County'!I43,'#49-UCH Upper Chesapeake'!I43,'#51-Doctors Community'!I43,'#55-Laurel Regional'!I43,'#60-Ft Washington'!I43,'#61-Atlantic General'!I43,'#62-Southern Maryland'!I43,'#2001-UM Rehab &amp; Ortho'!I43,'#2004-Good Samaritan'!I43,'#5034-Mt. Washington Pediatric'!I43,'#5050-Shady Grove Adventist'!I43)</f>
        <v>20993.401646730938</v>
      </c>
      <c r="J28" s="123">
        <f>SUM('#1-Meritus'!J43,'#2-UMMS'!J43,'#3-Prince George''s'!J43,'#4-Holy Cross'!J43,'#5-Frederick Memorial'!J43,'#6-Harford Memorial'!J43,'#7-St. Joseph'!J43,'#8-Mercy'!J43,'#9-Johns Hopkins'!J43,'#10-Shore Health Dorchester'!J43,'#11-St. Agnes'!J43,'#12-Sinai'!J43,'#13-Bon Secours'!J43,'#15-Franklin Square'!J43,'#16-Washington Adventist'!J43,'#17-Garrett County'!J43,'#18-Montgomery General'!J43,'#19-Pennisula General'!J43,'#22-Suburban'!J43,'#23-Anne Arundel Medical Center'!J43,'#24-Union Memorial'!J43,'#27-Western Maryland Regional'!J43,'#28-St. Mary''s'!J43,'#29-JH Bayview'!J43,'#30-Chester River'!J43,'#32-Union Cecil County'!J43,'#33-Carroll Hospital '!J43,'#34-Harbor Hospital'!J43,'#35-Civista Medical Center'!J43,'#37-Shore Health Easton'!J43,'#38-UM Midtown'!J43,'#39-Calvert Memorial'!J43,'#40-Northwest'!J43,'#43-UM Baltimore Washington'!J43,'#44-GBMC'!J43,'#45-McCready'!J43,'#48-Howard County'!J43,'#49-UCH Upper Chesapeake'!J43,'#51-Doctors Community'!J43,'#55-Laurel Regional'!J43,'#60-Ft Washington'!J43,'#61-Atlantic General'!J43,'#62-Southern Maryland'!J43,'#2001-UM Rehab &amp; Ortho'!J43,'#2004-Good Samaritan'!J43,'#5034-Mt. Washington Pediatric'!J43,'#5050-Shady Grove Adventist'!J43)</f>
        <v>35157.839999999997</v>
      </c>
      <c r="K28" s="123">
        <f t="shared" si="3"/>
        <v>2635470.2358944281</v>
      </c>
      <c r="L28" s="123">
        <f t="shared" si="4"/>
        <v>2614476.8342476971</v>
      </c>
      <c r="M28" s="131"/>
      <c r="N28" s="131"/>
    </row>
    <row r="29" spans="1:14">
      <c r="A29" s="45" t="s">
        <v>388</v>
      </c>
      <c r="B29" s="45"/>
      <c r="C29" s="43" t="s">
        <v>181</v>
      </c>
      <c r="F29" s="123">
        <f>SUM('#1-Meritus'!F44,'#2-UMMS'!F44,'#3-Prince George''s'!F44,'#4-Holy Cross'!F44,'#5-Frederick Memorial'!F44,'#6-Harford Memorial'!F44,'#7-St. Joseph'!F44,'#8-Mercy'!F44,'#9-Johns Hopkins'!F44,'#10-Shore Health Dorchester'!F44,'#11-St. Agnes'!F44,'#12-Sinai'!F44,'#13-Bon Secours'!F44,'#15-Franklin Square'!F44,'#16-Washington Adventist'!F44,'#17-Garrett County'!F44,'#18-Montgomery General'!F44,'#19-Pennisula General'!F44,'#22-Suburban'!F44,'#23-Anne Arundel Medical Center'!F44,'#24-Union Memorial'!F44,'#27-Western Maryland Regional'!F44,'#28-St. Mary''s'!F44,'#29-JH Bayview'!F44,'#30-Chester River'!F44,'#32-Union Cecil County'!F44,'#33-Carroll Hospital '!F44,'#34-Harbor Hospital'!F44,'#35-Civista Medical Center'!F44,'#37-Shore Health Easton'!F44,'#38-UM Midtown'!F44,'#39-Calvert Memorial'!F44,'#40-Northwest'!F44,'#43-UM Baltimore Washington'!F44,'#44-GBMC'!F44,'#45-McCready'!F44,'#48-Howard County'!F44,'#49-UCH Upper Chesapeake'!F44,'#51-Doctors Community'!F44,'#55-Laurel Regional'!F44,'#60-Ft Washington'!F44,'#61-Atlantic General'!F44,'#62-Southern Maryland'!F44,'#2001-UM Rehab &amp; Ortho'!F44,'#2004-Good Samaritan'!F44,'#5034-Mt. Washington Pediatric'!F44,'#5050-Shady Grove Adventist'!F44)</f>
        <v>94588.900000000009</v>
      </c>
      <c r="G29" s="123">
        <f>SUM('#1-Meritus'!G44,'#2-UMMS'!G44,'#3-Prince George''s'!G44,'#4-Holy Cross'!G44,'#5-Frederick Memorial'!G44,'#6-Harford Memorial'!G44,'#7-St. Joseph'!G44,'#8-Mercy'!G44,'#9-Johns Hopkins'!G44,'#10-Shore Health Dorchester'!G44,'#11-St. Agnes'!G44,'#12-Sinai'!G44,'#13-Bon Secours'!G44,'#15-Franklin Square'!G44,'#16-Washington Adventist'!G44,'#17-Garrett County'!G44,'#18-Montgomery General'!G44,'#19-Pennisula General'!G44,'#22-Suburban'!G44,'#23-Anne Arundel Medical Center'!G44,'#24-Union Memorial'!G44,'#27-Western Maryland Regional'!G44,'#28-St. Mary''s'!G44,'#29-JH Bayview'!G44,'#30-Chester River'!G44,'#32-Union Cecil County'!G44,'#33-Carroll Hospital '!G44,'#34-Harbor Hospital'!G44,'#35-Civista Medical Center'!G44,'#37-Shore Health Easton'!G44,'#38-UM Midtown'!G44,'#39-Calvert Memorial'!G44,'#40-Northwest'!G44,'#43-UM Baltimore Washington'!G44,'#44-GBMC'!G44,'#45-McCready'!G44,'#48-Howard County'!G44,'#49-UCH Upper Chesapeake'!G44,'#51-Doctors Community'!G44,'#55-Laurel Regional'!G44,'#60-Ft Washington'!G44,'#61-Atlantic General'!G44,'#62-Southern Maryland'!G44,'#2001-UM Rehab &amp; Ortho'!G44,'#2004-Good Samaritan'!G44,'#5034-Mt. Washington Pediatric'!G44,'#5050-Shady Grove Adventist'!G44)</f>
        <v>22268.424999999999</v>
      </c>
      <c r="H29" s="123">
        <f>SUM('#1-Meritus'!H44,'#2-UMMS'!H44,'#3-Prince George''s'!H44,'#4-Holy Cross'!H44,'#5-Frederick Memorial'!H44,'#6-Harford Memorial'!H44,'#7-St. Joseph'!H44,'#8-Mercy'!H44,'#9-Johns Hopkins'!H44,'#10-Shore Health Dorchester'!H44,'#11-St. Agnes'!H44,'#12-Sinai'!H44,'#13-Bon Secours'!H44,'#15-Franklin Square'!H44,'#16-Washington Adventist'!H44,'#17-Garrett County'!H44,'#18-Montgomery General'!H44,'#19-Pennisula General'!H44,'#22-Suburban'!H44,'#23-Anne Arundel Medical Center'!H44,'#24-Union Memorial'!H44,'#27-Western Maryland Regional'!H44,'#28-St. Mary''s'!H44,'#29-JH Bayview'!H44,'#30-Chester River'!H44,'#32-Union Cecil County'!H44,'#33-Carroll Hospital '!H44,'#34-Harbor Hospital'!H44,'#35-Civista Medical Center'!H44,'#37-Shore Health Easton'!H44,'#38-UM Midtown'!H44,'#39-Calvert Memorial'!H44,'#40-Northwest'!H44,'#43-UM Baltimore Washington'!H44,'#44-GBMC'!H44,'#45-McCready'!H44,'#48-Howard County'!H44,'#49-UCH Upper Chesapeake'!H44,'#51-Doctors Community'!H44,'#55-Laurel Regional'!H44,'#60-Ft Washington'!H44,'#61-Atlantic General'!H44,'#62-Southern Maryland'!H44,'#2001-UM Rehab &amp; Ortho'!H44,'#2004-Good Samaritan'!H44,'#5034-Mt. Washington Pediatric'!H44,'#5050-Shady Grove Adventist'!H44)</f>
        <v>3885684.9033435155</v>
      </c>
      <c r="I29" s="123">
        <f>SUM('#1-Meritus'!I44,'#2-UMMS'!I44,'#3-Prince George''s'!I44,'#4-Holy Cross'!I44,'#5-Frederick Memorial'!I44,'#6-Harford Memorial'!I44,'#7-St. Joseph'!I44,'#8-Mercy'!I44,'#9-Johns Hopkins'!I44,'#10-Shore Health Dorchester'!I44,'#11-St. Agnes'!I44,'#12-Sinai'!I44,'#13-Bon Secours'!I44,'#15-Franklin Square'!I44,'#16-Washington Adventist'!I44,'#17-Garrett County'!I44,'#18-Montgomery General'!I44,'#19-Pennisula General'!I44,'#22-Suburban'!I44,'#23-Anne Arundel Medical Center'!I44,'#24-Union Memorial'!I44,'#27-Western Maryland Regional'!I44,'#28-St. Mary''s'!I44,'#29-JH Bayview'!I44,'#30-Chester River'!I44,'#32-Union Cecil County'!I44,'#33-Carroll Hospital '!I44,'#34-Harbor Hospital'!I44,'#35-Civista Medical Center'!I44,'#37-Shore Health Easton'!I44,'#38-UM Midtown'!I44,'#39-Calvert Memorial'!I44,'#40-Northwest'!I44,'#43-UM Baltimore Washington'!I44,'#44-GBMC'!I44,'#45-McCready'!I44,'#48-Howard County'!I44,'#49-UCH Upper Chesapeake'!I44,'#51-Doctors Community'!I44,'#55-Laurel Regional'!I44,'#60-Ft Washington'!I44,'#61-Atlantic General'!I44,'#62-Southern Maryland'!I44,'#2001-UM Rehab &amp; Ortho'!I44,'#2004-Good Samaritan'!I44,'#5034-Mt. Washington Pediatric'!I44,'#5050-Shady Grove Adventist'!I44)</f>
        <v>360562.6186767855</v>
      </c>
      <c r="J29" s="123">
        <f>SUM('#1-Meritus'!J44,'#2-UMMS'!J44,'#3-Prince George''s'!J44,'#4-Holy Cross'!J44,'#5-Frederick Memorial'!J44,'#6-Harford Memorial'!J44,'#7-St. Joseph'!J44,'#8-Mercy'!J44,'#9-Johns Hopkins'!J44,'#10-Shore Health Dorchester'!J44,'#11-St. Agnes'!J44,'#12-Sinai'!J44,'#13-Bon Secours'!J44,'#15-Franklin Square'!J44,'#16-Washington Adventist'!J44,'#17-Garrett County'!J44,'#18-Montgomery General'!J44,'#19-Pennisula General'!J44,'#22-Suburban'!J44,'#23-Anne Arundel Medical Center'!J44,'#24-Union Memorial'!J44,'#27-Western Maryland Regional'!J44,'#28-St. Mary''s'!J44,'#29-JH Bayview'!J44,'#30-Chester River'!J44,'#32-Union Cecil County'!J44,'#33-Carroll Hospital '!J44,'#34-Harbor Hospital'!J44,'#35-Civista Medical Center'!J44,'#37-Shore Health Easton'!J44,'#38-UM Midtown'!J44,'#39-Calvert Memorial'!J44,'#40-Northwest'!J44,'#43-UM Baltimore Washington'!J44,'#44-GBMC'!J44,'#45-McCready'!J44,'#48-Howard County'!J44,'#49-UCH Upper Chesapeake'!J44,'#51-Doctors Community'!J44,'#55-Laurel Regional'!J44,'#60-Ft Washington'!J44,'#61-Atlantic General'!J44,'#62-Southern Maryland'!J44,'#2001-UM Rehab &amp; Ortho'!J44,'#2004-Good Samaritan'!J44,'#5034-Mt. Washington Pediatric'!J44,'#5050-Shady Grove Adventist'!J44)</f>
        <v>11643</v>
      </c>
      <c r="K29" s="123">
        <f t="shared" si="3"/>
        <v>4234604.5220203009</v>
      </c>
      <c r="L29" s="123">
        <f t="shared" si="4"/>
        <v>3874041.9033435155</v>
      </c>
      <c r="M29" s="131"/>
      <c r="N29" s="131"/>
    </row>
    <row r="30" spans="1:14">
      <c r="D30" s="43"/>
      <c r="E30" s="43"/>
      <c r="F30" s="127"/>
      <c r="G30" s="127"/>
      <c r="H30" s="127"/>
      <c r="I30" s="127"/>
      <c r="J30" s="127"/>
      <c r="K30" s="127"/>
      <c r="L30" s="128"/>
      <c r="M30" s="131"/>
      <c r="N30" s="131"/>
    </row>
    <row r="31" spans="1:14">
      <c r="A31" s="135" t="s">
        <v>286</v>
      </c>
      <c r="B31" s="39"/>
      <c r="C31" s="43" t="s">
        <v>53</v>
      </c>
      <c r="F31" s="123">
        <f>SUM(F25:F29)</f>
        <v>6380270.3129043635</v>
      </c>
      <c r="G31" s="123">
        <f t="shared" ref="G31:L31" si="5">SUM(G25:G29)</f>
        <v>238664.03295113257</v>
      </c>
      <c r="H31" s="123">
        <f t="shared" si="5"/>
        <v>331751696.69076681</v>
      </c>
      <c r="I31" s="123">
        <f t="shared" si="5"/>
        <v>81926292.291439697</v>
      </c>
      <c r="J31" s="123">
        <f t="shared" si="5"/>
        <v>803659.5199999999</v>
      </c>
      <c r="K31" s="123">
        <f t="shared" si="5"/>
        <v>412874329.46220654</v>
      </c>
      <c r="L31" s="123">
        <f t="shared" si="5"/>
        <v>330948037.17076683</v>
      </c>
      <c r="M31" s="131"/>
      <c r="N31" s="131"/>
    </row>
    <row r="32" spans="1:14">
      <c r="A32" s="39"/>
      <c r="B32" s="39"/>
      <c r="F32" s="131"/>
      <c r="G32" s="131"/>
      <c r="H32" s="131"/>
      <c r="I32" s="131"/>
      <c r="J32" s="131"/>
      <c r="K32" s="131"/>
      <c r="L32" s="131"/>
      <c r="M32" s="131"/>
      <c r="N32" s="131"/>
    </row>
    <row r="33" spans="1:14">
      <c r="A33" s="39"/>
      <c r="B33" s="39"/>
      <c r="F33" s="131"/>
      <c r="G33" s="131"/>
      <c r="H33" s="131"/>
      <c r="I33" s="131"/>
      <c r="J33" s="131"/>
      <c r="K33" s="131"/>
      <c r="L33" s="131"/>
      <c r="M33" s="131"/>
      <c r="N33" s="131"/>
    </row>
    <row r="34" spans="1:14" ht="38.25">
      <c r="A34" s="39"/>
      <c r="B34" s="39"/>
      <c r="F34" s="47" t="s">
        <v>145</v>
      </c>
      <c r="G34" s="47" t="s">
        <v>146</v>
      </c>
      <c r="H34" s="47" t="s">
        <v>385</v>
      </c>
      <c r="I34" s="47" t="s">
        <v>386</v>
      </c>
      <c r="J34" s="113" t="s">
        <v>382</v>
      </c>
      <c r="K34" s="125" t="s">
        <v>383</v>
      </c>
      <c r="L34" s="47" t="s">
        <v>384</v>
      </c>
      <c r="M34" s="131"/>
      <c r="N34" s="131"/>
    </row>
    <row r="35" spans="1:14">
      <c r="A35" s="48" t="s">
        <v>389</v>
      </c>
      <c r="B35" s="39"/>
      <c r="C35" s="481" t="s">
        <v>390</v>
      </c>
      <c r="J35" s="114"/>
      <c r="K35" s="126"/>
      <c r="M35" s="131"/>
      <c r="N35" s="131"/>
    </row>
    <row r="36" spans="1:14">
      <c r="B36" s="48"/>
      <c r="C36" s="43" t="s">
        <v>53</v>
      </c>
      <c r="D36" s="481"/>
      <c r="E36" s="481"/>
      <c r="F36" s="123">
        <f>SUM('#1-Meritus'!F64,'#2-UMMS'!F64,'#3-Prince George''s'!F64,'#4-Holy Cross'!F64,'#5-Frederick Memorial'!F64,'#6-Harford Memorial'!F64,'#7-St. Joseph'!F64,'#8-Mercy'!F64,'#9-Johns Hopkins'!F64,'#10-Shore Health Dorchester'!F64,'#11-St. Agnes'!F64,'#12-Sinai'!F64,'#13-Bon Secours'!F64,'#15-Franklin Square'!F64,'#16-Washington Adventist'!F64,'#17-Garrett County'!F64,'#18-Montgomery General'!F64,'#19-Pennisula General'!F64,'#22-Suburban'!F64,'#23-Anne Arundel Medical Center'!F64,'#24-Union Memorial'!F64,'#27-Western Maryland Regional'!F64,'#28-St. Mary''s'!F64,'#29-JH Bayview'!F64,'#30-Chester River'!F64,'#32-Union Cecil County'!F64,'#33-Carroll Hospital '!F64,'#34-Harbor Hospital'!F64,'#35-Civista Medical Center'!F64,'#37-Shore Health Easton'!F64,'#38-UM Midtown'!F64,'#39-Calvert Memorial'!F64,'#40-Northwest'!F64,'#43-UM Baltimore Washington'!F64,'#44-GBMC'!F64,'#45-McCready'!F64,'#48-Howard County'!F64,'#49-UCH Upper Chesapeake'!F64,'#51-Doctors Community'!F64,'#55-Laurel Regional'!F64,'#60-Ft Washington'!F64,'#61-Atlantic General'!F64,'#62-Southern Maryland'!F64,'#2001-UM Rehab &amp; Ortho'!F64,'#2004-Good Samaritan'!F64,'#5034-Mt. Washington Pediatric'!F64,'#5050-Shady Grove Adventist'!F64)</f>
        <v>2315236.5975486669</v>
      </c>
      <c r="G36" s="123">
        <f>SUM('#1-Meritus'!G64,'#2-UMMS'!G64,'#3-Prince George''s'!G64,'#4-Holy Cross'!G64,'#5-Frederick Memorial'!G64,'#6-Harford Memorial'!G64,'#7-St. Joseph'!G64,'#8-Mercy'!G64,'#9-Johns Hopkins'!G64,'#10-Shore Health Dorchester'!G64,'#11-St. Agnes'!G64,'#12-Sinai'!G64,'#13-Bon Secours'!G64,'#15-Franklin Square'!G64,'#16-Washington Adventist'!G64,'#17-Garrett County'!G64,'#18-Montgomery General'!G64,'#19-Pennisula General'!G64,'#22-Suburban'!G64,'#23-Anne Arundel Medical Center'!G64,'#24-Union Memorial'!G64,'#27-Western Maryland Regional'!G64,'#28-St. Mary''s'!G64,'#29-JH Bayview'!G64,'#30-Chester River'!G64,'#32-Union Cecil County'!G64,'#33-Carroll Hospital '!G64,'#34-Harbor Hospital'!G64,'#35-Civista Medical Center'!G64,'#37-Shore Health Easton'!G64,'#38-UM Midtown'!G64,'#39-Calvert Memorial'!G64,'#40-Northwest'!G64,'#43-UM Baltimore Washington'!G64,'#44-GBMC'!G64,'#45-McCready'!G64,'#48-Howard County'!G64,'#49-UCH Upper Chesapeake'!G64,'#51-Doctors Community'!G64,'#55-Laurel Regional'!G64,'#60-Ft Washington'!G64,'#61-Atlantic General'!G64,'#62-Southern Maryland'!G64,'#2001-UM Rehab &amp; Ortho'!G64,'#2004-Good Samaritan'!G64,'#5034-Mt. Washington Pediatric'!G64,'#5050-Shady Grove Adventist'!G64)</f>
        <v>870142.19742853672</v>
      </c>
      <c r="H36" s="123">
        <f>SUM('#1-Meritus'!H64,'#2-UMMS'!H64,'#3-Prince George''s'!H64,'#4-Holy Cross'!H64,'#5-Frederick Memorial'!H64,'#6-Harford Memorial'!H64,'#7-St. Joseph'!H64,'#8-Mercy'!H64,'#9-Johns Hopkins'!H64,'#10-Shore Health Dorchester'!H64,'#11-St. Agnes'!H64,'#12-Sinai'!H64,'#13-Bon Secours'!H64,'#15-Franklin Square'!H64,'#16-Washington Adventist'!H64,'#17-Garrett County'!H64,'#18-Montgomery General'!H64,'#19-Pennisula General'!H64,'#22-Suburban'!H64,'#23-Anne Arundel Medical Center'!H64,'#24-Union Memorial'!H64,'#27-Western Maryland Regional'!H64,'#28-St. Mary''s'!H64,'#29-JH Bayview'!H64,'#30-Chester River'!H64,'#32-Union Cecil County'!H64,'#33-Carroll Hospital '!H64,'#34-Harbor Hospital'!H64,'#35-Civista Medical Center'!H64,'#37-Shore Health Easton'!H64,'#38-UM Midtown'!H64,'#39-Calvert Memorial'!H64,'#40-Northwest'!H64,'#43-UM Baltimore Washington'!H64,'#44-GBMC'!H64,'#45-McCready'!H64,'#48-Howard County'!H64,'#49-UCH Upper Chesapeake'!H64,'#51-Doctors Community'!H64,'#55-Laurel Regional'!H64,'#60-Ft Washington'!H64,'#61-Atlantic General'!H64,'#62-Southern Maryland'!H64,'#2001-UM Rehab &amp; Ortho'!H64,'#2004-Good Samaritan'!H64,'#5034-Mt. Washington Pediatric'!H64,'#5050-Shady Grove Adventist'!H64)+1258310</f>
        <v>430378207.68722069</v>
      </c>
      <c r="I36" s="123">
        <f>SUM('#1-Meritus'!I64,'#2-UMMS'!I64,'#3-Prince George''s'!I64,'#4-Holy Cross'!I64,'#5-Frederick Memorial'!I64,'#6-Harford Memorial'!I64,'#7-St. Joseph'!I64,'#8-Mercy'!I64,'#9-Johns Hopkins'!I64,'#10-Shore Health Dorchester'!I64,'#11-St. Agnes'!I64,'#12-Sinai'!I64,'#13-Bon Secours'!I64,'#15-Franklin Square'!I64,'#16-Washington Adventist'!I64,'#17-Garrett County'!I64,'#18-Montgomery General'!I64,'#19-Pennisula General'!I64,'#22-Suburban'!I64,'#23-Anne Arundel Medical Center'!I64,'#24-Union Memorial'!I64,'#27-Western Maryland Regional'!I64,'#28-St. Mary''s'!I64,'#29-JH Bayview'!I64,'#30-Chester River'!I64,'#32-Union Cecil County'!I64,'#33-Carroll Hospital '!I64,'#34-Harbor Hospital'!I64,'#35-Civista Medical Center'!I64,'#37-Shore Health Easton'!I64,'#38-UM Midtown'!I64,'#39-Calvert Memorial'!I64,'#40-Northwest'!I64,'#43-UM Baltimore Washington'!I64,'#44-GBMC'!I64,'#45-McCready'!I64,'#48-Howard County'!I64,'#49-UCH Upper Chesapeake'!I64,'#51-Doctors Community'!I64,'#55-Laurel Regional'!I64,'#60-Ft Washington'!I64,'#61-Atlantic General'!I64,'#62-Southern Maryland'!I64,'#2001-UM Rehab &amp; Ortho'!I64,'#2004-Good Samaritan'!I64,'#5034-Mt. Washington Pediatric'!I64,'#5050-Shady Grove Adventist'!I64)</f>
        <v>103878471.57171127</v>
      </c>
      <c r="J36" s="123">
        <f>SUM('#1-Meritus'!J64,'#2-UMMS'!J64,'#3-Prince George''s'!J64,'#4-Holy Cross'!J64,'#5-Frederick Memorial'!J64,'#6-Harford Memorial'!J64,'#7-St. Joseph'!J64,'#8-Mercy'!J64,'#9-Johns Hopkins'!J64,'#10-Shore Health Dorchester'!J64,'#11-St. Agnes'!J64,'#12-Sinai'!J64,'#13-Bon Secours'!J64,'#15-Franklin Square'!J64,'#16-Washington Adventist'!J64,'#17-Garrett County'!J64,'#18-Montgomery General'!J64,'#19-Pennisula General'!J64,'#22-Suburban'!J64,'#23-Anne Arundel Medical Center'!J64,'#24-Union Memorial'!J64,'#27-Western Maryland Regional'!J64,'#28-St. Mary''s'!J64,'#29-JH Bayview'!J64,'#30-Chester River'!J64,'#32-Union Cecil County'!J64,'#33-Carroll Hospital '!J64,'#34-Harbor Hospital'!J64,'#35-Civista Medical Center'!J64,'#37-Shore Health Easton'!J64,'#38-UM Midtown'!J64,'#39-Calvert Memorial'!J64,'#40-Northwest'!J64,'#43-UM Baltimore Washington'!J64,'#44-GBMC'!J64,'#45-McCready'!J64,'#48-Howard County'!J64,'#49-UCH Upper Chesapeake'!J64,'#51-Doctors Community'!J64,'#55-Laurel Regional'!J64,'#60-Ft Washington'!J64,'#61-Atlantic General'!J64,'#62-Southern Maryland'!J64,'#2001-UM Rehab &amp; Ortho'!J64,'#2004-Good Samaritan'!J64,'#5034-Mt. Washington Pediatric'!J64,'#5050-Shady Grove Adventist'!J64)</f>
        <v>154029477.82103115</v>
      </c>
      <c r="K36" s="123">
        <f t="shared" ref="K36" si="6">+H36+I36-J36</f>
        <v>380227201.43790084</v>
      </c>
      <c r="L36" s="123">
        <f t="shared" ref="L36" si="7">+H36-J36</f>
        <v>276348729.86618954</v>
      </c>
      <c r="M36" s="131"/>
      <c r="N36" s="131"/>
    </row>
    <row r="37" spans="1:14">
      <c r="A37" s="45"/>
      <c r="B37" s="45"/>
      <c r="F37" s="136"/>
      <c r="G37" s="136"/>
      <c r="H37" s="136"/>
      <c r="I37" s="136"/>
      <c r="J37" s="136"/>
      <c r="K37" s="136"/>
      <c r="L37" s="137"/>
      <c r="M37" s="131"/>
      <c r="N37" s="131"/>
    </row>
    <row r="38" spans="1:14">
      <c r="A38" s="45"/>
      <c r="B38" s="45"/>
      <c r="J38" s="114"/>
      <c r="K38" s="126"/>
      <c r="L38" s="131"/>
      <c r="M38" s="131"/>
      <c r="N38" s="131"/>
    </row>
    <row r="39" spans="1:14" ht="45.75" customHeight="1">
      <c r="A39" s="48" t="s">
        <v>391</v>
      </c>
      <c r="B39" s="39"/>
      <c r="C39" s="43" t="s">
        <v>186</v>
      </c>
      <c r="F39" s="47" t="s">
        <v>145</v>
      </c>
      <c r="G39" s="47" t="s">
        <v>146</v>
      </c>
      <c r="H39" s="47" t="s">
        <v>385</v>
      </c>
      <c r="I39" s="47" t="s">
        <v>386</v>
      </c>
      <c r="J39" s="113" t="s">
        <v>382</v>
      </c>
      <c r="K39" s="125" t="s">
        <v>383</v>
      </c>
      <c r="L39" s="47" t="s">
        <v>384</v>
      </c>
      <c r="M39" s="131"/>
      <c r="N39" s="131"/>
    </row>
    <row r="40" spans="1:14">
      <c r="A40" s="45" t="s">
        <v>187</v>
      </c>
      <c r="B40" s="39"/>
      <c r="C40" s="43" t="s">
        <v>188</v>
      </c>
      <c r="F40" s="123">
        <f>SUM('#1-Meritus'!F68,'#2-UMMS'!F68,'#3-Prince George''s'!F68,'#4-Holy Cross'!F68,'#5-Frederick Memorial'!F68,'#6-Harford Memorial'!F68,'#7-St. Joseph'!F68,'#8-Mercy'!F68,'#9-Johns Hopkins'!F68,'#10-Shore Health Dorchester'!F68,'#11-St. Agnes'!F68,'#12-Sinai'!F68,'#13-Bon Secours'!F68,'#15-Franklin Square'!F68,'#16-Washington Adventist'!F68,'#17-Garrett County'!F68,'#18-Montgomery General'!F68,'#19-Pennisula General'!F68,'#22-Suburban'!F68,'#23-Anne Arundel Medical Center'!F68,'#24-Union Memorial'!F68,'#27-Western Maryland Regional'!F68,'#28-St. Mary''s'!F68,'#29-JH Bayview'!F68,'#30-Chester River'!F68,'#32-Union Cecil County'!F68,'#33-Carroll Hospital '!F68,'#34-Harbor Hospital'!F68,'#35-Civista Medical Center'!F68,'#37-Shore Health Easton'!F68,'#38-UM Midtown'!F68,'#39-Calvert Memorial'!F68,'#40-Northwest'!F68,'#43-UM Baltimore Washington'!F68,'#44-GBMC'!F68,'#45-McCready'!F68,'#48-Howard County'!F68,'#49-UCH Upper Chesapeake'!F68,'#51-Doctors Community'!F68,'#55-Laurel Regional'!F68,'#60-Ft Washington'!F68,'#61-Atlantic General'!F68,'#62-Southern Maryland'!F68,'#2001-UM Rehab &amp; Ortho'!F68,'#2004-Good Samaritan'!F68,'#5034-Mt. Washington Pediatric'!F68,'#5050-Shady Grove Adventist'!F68)</f>
        <v>50841.61</v>
      </c>
      <c r="G40" s="123">
        <f>SUM('#1-Meritus'!G68,'#2-UMMS'!G68,'#3-Prince George''s'!G68,'#4-Holy Cross'!G68,'#5-Frederick Memorial'!G68,'#6-Harford Memorial'!G68,'#7-St. Joseph'!G68,'#8-Mercy'!G68,'#9-Johns Hopkins'!G68,'#10-Shore Health Dorchester'!G68,'#11-St. Agnes'!G68,'#12-Sinai'!G68,'#13-Bon Secours'!G68,'#15-Franklin Square'!G68,'#16-Washington Adventist'!G68,'#17-Garrett County'!G68,'#18-Montgomery General'!G68,'#19-Pennisula General'!G68,'#22-Suburban'!G68,'#23-Anne Arundel Medical Center'!G68,'#24-Union Memorial'!G68,'#27-Western Maryland Regional'!G68,'#28-St. Mary''s'!G68,'#29-JH Bayview'!G68,'#30-Chester River'!G68,'#32-Union Cecil County'!G68,'#33-Carroll Hospital '!G68,'#34-Harbor Hospital'!G68,'#35-Civista Medical Center'!G68,'#37-Shore Health Easton'!G68,'#38-UM Midtown'!G68,'#39-Calvert Memorial'!G68,'#40-Northwest'!G68,'#43-UM Baltimore Washington'!G68,'#44-GBMC'!G68,'#45-McCready'!G68,'#48-Howard County'!G68,'#49-UCH Upper Chesapeake'!G68,'#51-Doctors Community'!G68,'#55-Laurel Regional'!G68,'#60-Ft Washington'!G68,'#61-Atlantic General'!G68,'#62-Southern Maryland'!G68,'#2001-UM Rehab &amp; Ortho'!G68,'#2004-Good Samaritan'!G68,'#5034-Mt. Washington Pediatric'!G68,'#5050-Shady Grove Adventist'!G68)</f>
        <v>5387.5</v>
      </c>
      <c r="H40" s="123">
        <f>SUM('#1-Meritus'!H68,'#2-UMMS'!H68,'#3-Prince George''s'!H68,'#4-Holy Cross'!H68,'#5-Frederick Memorial'!H68,'#6-Harford Memorial'!H68,'#7-St. Joseph'!H68,'#8-Mercy'!H68,'#9-Johns Hopkins'!H68,'#10-Shore Health Dorchester'!H68,'#11-St. Agnes'!H68,'#12-Sinai'!H68,'#13-Bon Secours'!H68,'#15-Franklin Square'!H68,'#16-Washington Adventist'!H68,'#17-Garrett County'!H68,'#18-Montgomery General'!H68,'#19-Pennisula General'!H68,'#22-Suburban'!H68,'#23-Anne Arundel Medical Center'!H68,'#24-Union Memorial'!H68,'#27-Western Maryland Regional'!H68,'#28-St. Mary''s'!H68,'#29-JH Bayview'!H68,'#30-Chester River'!H68,'#32-Union Cecil County'!H68,'#33-Carroll Hospital '!H68,'#34-Harbor Hospital'!H68,'#35-Civista Medical Center'!H68,'#37-Shore Health Easton'!H68,'#38-UM Midtown'!H68,'#39-Calvert Memorial'!H68,'#40-Northwest'!H68,'#43-UM Baltimore Washington'!H68,'#44-GBMC'!H68,'#45-McCready'!H68,'#48-Howard County'!H68,'#49-UCH Upper Chesapeake'!H68,'#51-Doctors Community'!H68,'#55-Laurel Regional'!H68,'#60-Ft Washington'!H68,'#61-Atlantic General'!H68,'#62-Southern Maryland'!H68,'#2001-UM Rehab &amp; Ortho'!H68,'#2004-Good Samaritan'!H68,'#5034-Mt. Washington Pediatric'!H68,'#5050-Shady Grove Adventist'!H68)</f>
        <v>9886746.1540299989</v>
      </c>
      <c r="I40" s="123">
        <f>SUM('#1-Meritus'!I68,'#2-UMMS'!I68,'#3-Prince George''s'!I68,'#4-Holy Cross'!I68,'#5-Frederick Memorial'!I68,'#6-Harford Memorial'!I68,'#7-St. Joseph'!I68,'#8-Mercy'!I68,'#9-Johns Hopkins'!I68,'#10-Shore Health Dorchester'!I68,'#11-St. Agnes'!I68,'#12-Sinai'!I68,'#13-Bon Secours'!I68,'#15-Franklin Square'!I68,'#16-Washington Adventist'!I68,'#17-Garrett County'!I68,'#18-Montgomery General'!I68,'#19-Pennisula General'!I68,'#22-Suburban'!I68,'#23-Anne Arundel Medical Center'!I68,'#24-Union Memorial'!I68,'#27-Western Maryland Regional'!I68,'#28-St. Mary''s'!I68,'#29-JH Bayview'!I68,'#30-Chester River'!I68,'#32-Union Cecil County'!I68,'#33-Carroll Hospital '!I68,'#34-Harbor Hospital'!I68,'#35-Civista Medical Center'!I68,'#37-Shore Health Easton'!I68,'#38-UM Midtown'!I68,'#39-Calvert Memorial'!I68,'#40-Northwest'!I68,'#43-UM Baltimore Washington'!I68,'#44-GBMC'!I68,'#45-McCready'!I68,'#48-Howard County'!I68,'#49-UCH Upper Chesapeake'!I68,'#51-Doctors Community'!I68,'#55-Laurel Regional'!I68,'#60-Ft Washington'!I68,'#61-Atlantic General'!I68,'#62-Southern Maryland'!I68,'#2001-UM Rehab &amp; Ortho'!I68,'#2004-Good Samaritan'!I68,'#5034-Mt. Washington Pediatric'!I68,'#5050-Shady Grove Adventist'!I68)</f>
        <v>2146763.9255548082</v>
      </c>
      <c r="J40" s="123">
        <f>SUM('#1-Meritus'!J68,'#2-UMMS'!J68,'#3-Prince George''s'!J68,'#4-Holy Cross'!J68,'#5-Frederick Memorial'!J68,'#6-Harford Memorial'!J68,'#7-St. Joseph'!J68,'#8-Mercy'!J68,'#9-Johns Hopkins'!J68,'#10-Shore Health Dorchester'!J68,'#11-St. Agnes'!J68,'#12-Sinai'!J68,'#13-Bon Secours'!J68,'#15-Franklin Square'!J68,'#16-Washington Adventist'!J68,'#17-Garrett County'!J68,'#18-Montgomery General'!J68,'#19-Pennisula General'!J68,'#22-Suburban'!J68,'#23-Anne Arundel Medical Center'!J68,'#24-Union Memorial'!J68,'#27-Western Maryland Regional'!J68,'#28-St. Mary''s'!J68,'#29-JH Bayview'!J68,'#30-Chester River'!J68,'#32-Union Cecil County'!J68,'#33-Carroll Hospital '!J68,'#34-Harbor Hospital'!J68,'#35-Civista Medical Center'!J68,'#37-Shore Health Easton'!J68,'#38-UM Midtown'!J68,'#39-Calvert Memorial'!J68,'#40-Northwest'!J68,'#43-UM Baltimore Washington'!J68,'#44-GBMC'!J68,'#45-McCready'!J68,'#48-Howard County'!J68,'#49-UCH Upper Chesapeake'!J68,'#51-Doctors Community'!J68,'#55-Laurel Regional'!J68,'#60-Ft Washington'!J68,'#61-Atlantic General'!J68,'#62-Southern Maryland'!J68,'#2001-UM Rehab &amp; Ortho'!J68,'#2004-Good Samaritan'!J68,'#5034-Mt. Washington Pediatric'!J68,'#5050-Shady Grove Adventist'!J68)</f>
        <v>5459900.8399999999</v>
      </c>
      <c r="K40" s="123">
        <f t="shared" ref="K40:K42" si="8">+H40+I40-J40</f>
        <v>6573609.2395848073</v>
      </c>
      <c r="L40" s="123">
        <f t="shared" ref="L40:L42" si="9">+H40-J40</f>
        <v>4426845.3140299991</v>
      </c>
      <c r="M40" s="131"/>
      <c r="N40" s="131"/>
    </row>
    <row r="41" spans="1:14">
      <c r="A41" s="45" t="s">
        <v>189</v>
      </c>
      <c r="B41" s="48"/>
      <c r="C41" s="43" t="s">
        <v>190</v>
      </c>
      <c r="F41" s="123">
        <f>SUM('#1-Meritus'!F69,'#2-UMMS'!F69,'#3-Prince George''s'!F69,'#4-Holy Cross'!F69,'#5-Frederick Memorial'!F69,'#6-Harford Memorial'!F69,'#7-St. Joseph'!F69,'#8-Mercy'!F69,'#9-Johns Hopkins'!F69,'#10-Shore Health Dorchester'!F69,'#11-St. Agnes'!F69,'#12-Sinai'!F69,'#13-Bon Secours'!F69,'#15-Franklin Square'!F69,'#16-Washington Adventist'!F69,'#17-Garrett County'!F69,'#18-Montgomery General'!F69,'#19-Pennisula General'!F69,'#22-Suburban'!F69,'#23-Anne Arundel Medical Center'!F69,'#24-Union Memorial'!F69,'#27-Western Maryland Regional'!F69,'#28-St. Mary''s'!F69,'#29-JH Bayview'!F69,'#30-Chester River'!F69,'#32-Union Cecil County'!F69,'#33-Carroll Hospital '!F69,'#34-Harbor Hospital'!F69,'#35-Civista Medical Center'!F69,'#37-Shore Health Easton'!F69,'#38-UM Midtown'!F69,'#39-Calvert Memorial'!F69,'#40-Northwest'!F69,'#43-UM Baltimore Washington'!F69,'#44-GBMC'!F69,'#45-McCready'!F69,'#48-Howard County'!F69,'#49-UCH Upper Chesapeake'!F69,'#51-Doctors Community'!F69,'#55-Laurel Regional'!F69,'#60-Ft Washington'!F69,'#61-Atlantic General'!F69,'#62-Southern Maryland'!F69,'#2001-UM Rehab &amp; Ortho'!F69,'#2004-Good Samaritan'!F69,'#5034-Mt. Washington Pediatric'!F69,'#5050-Shady Grove Adventist'!F69)</f>
        <v>275.75</v>
      </c>
      <c r="G41" s="123">
        <f>SUM('#1-Meritus'!G69,'#2-UMMS'!G69,'#3-Prince George''s'!G69,'#4-Holy Cross'!G69,'#5-Frederick Memorial'!G69,'#6-Harford Memorial'!G69,'#7-St. Joseph'!G69,'#8-Mercy'!G69,'#9-Johns Hopkins'!G69,'#10-Shore Health Dorchester'!G69,'#11-St. Agnes'!G69,'#12-Sinai'!G69,'#13-Bon Secours'!G69,'#15-Franklin Square'!G69,'#16-Washington Adventist'!G69,'#17-Garrett County'!G69,'#18-Montgomery General'!G69,'#19-Pennisula General'!G69,'#22-Suburban'!G69,'#23-Anne Arundel Medical Center'!G69,'#24-Union Memorial'!G69,'#27-Western Maryland Regional'!G69,'#28-St. Mary''s'!G69,'#29-JH Bayview'!G69,'#30-Chester River'!G69,'#32-Union Cecil County'!G69,'#33-Carroll Hospital '!G69,'#34-Harbor Hospital'!G69,'#35-Civista Medical Center'!G69,'#37-Shore Health Easton'!G69,'#38-UM Midtown'!G69,'#39-Calvert Memorial'!G69,'#40-Northwest'!G69,'#43-UM Baltimore Washington'!G69,'#44-GBMC'!G69,'#45-McCready'!G69,'#48-Howard County'!G69,'#49-UCH Upper Chesapeake'!G69,'#51-Doctors Community'!G69,'#55-Laurel Regional'!G69,'#60-Ft Washington'!G69,'#61-Atlantic General'!G69,'#62-Southern Maryland'!G69,'#2001-UM Rehab &amp; Ortho'!G69,'#2004-Good Samaritan'!G69,'#5034-Mt. Washington Pediatric'!G69,'#5050-Shady Grove Adventist'!G69)</f>
        <v>211.5</v>
      </c>
      <c r="H41" s="123">
        <f>SUM('#1-Meritus'!H69,'#2-UMMS'!H69,'#3-Prince George''s'!H69,'#4-Holy Cross'!H69,'#5-Frederick Memorial'!H69,'#6-Harford Memorial'!H69,'#7-St. Joseph'!H69,'#8-Mercy'!H69,'#9-Johns Hopkins'!H69,'#10-Shore Health Dorchester'!H69,'#11-St. Agnes'!H69,'#12-Sinai'!H69,'#13-Bon Secours'!H69,'#15-Franklin Square'!H69,'#16-Washington Adventist'!H69,'#17-Garrett County'!H69,'#18-Montgomery General'!H69,'#19-Pennisula General'!H69,'#22-Suburban'!H69,'#23-Anne Arundel Medical Center'!H69,'#24-Union Memorial'!H69,'#27-Western Maryland Regional'!H69,'#28-St. Mary''s'!H69,'#29-JH Bayview'!H69,'#30-Chester River'!H69,'#32-Union Cecil County'!H69,'#33-Carroll Hospital '!H69,'#34-Harbor Hospital'!H69,'#35-Civista Medical Center'!H69,'#37-Shore Health Easton'!H69,'#38-UM Midtown'!H69,'#39-Calvert Memorial'!H69,'#40-Northwest'!H69,'#43-UM Baltimore Washington'!H69,'#44-GBMC'!H69,'#45-McCready'!H69,'#48-Howard County'!H69,'#49-UCH Upper Chesapeake'!H69,'#51-Doctors Community'!H69,'#55-Laurel Regional'!H69,'#60-Ft Washington'!H69,'#61-Atlantic General'!H69,'#62-Southern Maryland'!H69,'#2001-UM Rehab &amp; Ortho'!H69,'#2004-Good Samaritan'!H69,'#5034-Mt. Washington Pediatric'!H69,'#5050-Shady Grove Adventist'!H69)</f>
        <v>448988.81</v>
      </c>
      <c r="I41" s="123">
        <f>SUM('#1-Meritus'!I69,'#2-UMMS'!I69,'#3-Prince George''s'!I69,'#4-Holy Cross'!I69,'#5-Frederick Memorial'!I69,'#6-Harford Memorial'!I69,'#7-St. Joseph'!I69,'#8-Mercy'!I69,'#9-Johns Hopkins'!I69,'#10-Shore Health Dorchester'!I69,'#11-St. Agnes'!I69,'#12-Sinai'!I69,'#13-Bon Secours'!I69,'#15-Franklin Square'!I69,'#16-Washington Adventist'!I69,'#17-Garrett County'!I69,'#18-Montgomery General'!I69,'#19-Pennisula General'!I69,'#22-Suburban'!I69,'#23-Anne Arundel Medical Center'!I69,'#24-Union Memorial'!I69,'#27-Western Maryland Regional'!I69,'#28-St. Mary''s'!I69,'#29-JH Bayview'!I69,'#30-Chester River'!I69,'#32-Union Cecil County'!I69,'#33-Carroll Hospital '!I69,'#34-Harbor Hospital'!I69,'#35-Civista Medical Center'!I69,'#37-Shore Health Easton'!I69,'#38-UM Midtown'!I69,'#39-Calvert Memorial'!I69,'#40-Northwest'!I69,'#43-UM Baltimore Washington'!I69,'#44-GBMC'!I69,'#45-McCready'!I69,'#48-Howard County'!I69,'#49-UCH Upper Chesapeake'!I69,'#51-Doctors Community'!I69,'#55-Laurel Regional'!I69,'#60-Ft Washington'!I69,'#61-Atlantic General'!I69,'#62-Southern Maryland'!I69,'#2001-UM Rehab &amp; Ortho'!I69,'#2004-Good Samaritan'!I69,'#5034-Mt. Washington Pediatric'!I69,'#5050-Shady Grove Adventist'!I69)</f>
        <v>158721.34</v>
      </c>
      <c r="J41" s="123">
        <f>SUM('#1-Meritus'!J69,'#2-UMMS'!J69,'#3-Prince George''s'!J69,'#4-Holy Cross'!J69,'#5-Frederick Memorial'!J69,'#6-Harford Memorial'!J69,'#7-St. Joseph'!J69,'#8-Mercy'!J69,'#9-Johns Hopkins'!J69,'#10-Shore Health Dorchester'!J69,'#11-St. Agnes'!J69,'#12-Sinai'!J69,'#13-Bon Secours'!J69,'#15-Franklin Square'!J69,'#16-Washington Adventist'!J69,'#17-Garrett County'!J69,'#18-Montgomery General'!J69,'#19-Pennisula General'!J69,'#22-Suburban'!J69,'#23-Anne Arundel Medical Center'!J69,'#24-Union Memorial'!J69,'#27-Western Maryland Regional'!J69,'#28-St. Mary''s'!J69,'#29-JH Bayview'!J69,'#30-Chester River'!J69,'#32-Union Cecil County'!J69,'#33-Carroll Hospital '!J69,'#34-Harbor Hospital'!J69,'#35-Civista Medical Center'!J69,'#37-Shore Health Easton'!J69,'#38-UM Midtown'!J69,'#39-Calvert Memorial'!J69,'#40-Northwest'!J69,'#43-UM Baltimore Washington'!J69,'#44-GBMC'!J69,'#45-McCready'!J69,'#48-Howard County'!J69,'#49-UCH Upper Chesapeake'!J69,'#51-Doctors Community'!J69,'#55-Laurel Regional'!J69,'#60-Ft Washington'!J69,'#61-Atlantic General'!J69,'#62-Southern Maryland'!J69,'#2001-UM Rehab &amp; Ortho'!J69,'#2004-Good Samaritan'!J69,'#5034-Mt. Washington Pediatric'!J69,'#5050-Shady Grove Adventist'!J69)</f>
        <v>0</v>
      </c>
      <c r="K41" s="123">
        <f t="shared" si="8"/>
        <v>607710.15</v>
      </c>
      <c r="L41" s="123">
        <f t="shared" si="9"/>
        <v>448988.81</v>
      </c>
      <c r="M41" s="131"/>
      <c r="N41" s="131"/>
    </row>
    <row r="42" spans="1:14">
      <c r="A42" s="45" t="s">
        <v>392</v>
      </c>
      <c r="B42" s="45"/>
      <c r="C42" s="43" t="s">
        <v>181</v>
      </c>
      <c r="D42" s="43"/>
      <c r="E42" s="43"/>
      <c r="F42" s="123">
        <f>SUM('#1-Meritus'!F70,'#2-UMMS'!F70,'#3-Prince George''s'!F70,'#4-Holy Cross'!F70,'#5-Frederick Memorial'!F70,'#6-Harford Memorial'!F70,'#7-St. Joseph'!F70,'#8-Mercy'!F70,'#9-Johns Hopkins'!F70,'#10-Shore Health Dorchester'!F70,'#11-St. Agnes'!F70,'#12-Sinai'!F70,'#13-Bon Secours'!F70,'#15-Franklin Square'!F70,'#16-Washington Adventist'!F70,'#17-Garrett County'!F70,'#18-Montgomery General'!F70,'#19-Pennisula General'!F70,'#22-Suburban'!F70,'#23-Anne Arundel Medical Center'!F70,'#24-Union Memorial'!F70,'#27-Western Maryland Regional'!F70,'#28-St. Mary''s'!F70,'#29-JH Bayview'!F70,'#30-Chester River'!F70,'#32-Union Cecil County'!F70,'#33-Carroll Hospital '!F70,'#34-Harbor Hospital'!F70,'#35-Civista Medical Center'!F70,'#37-Shore Health Easton'!F70,'#38-UM Midtown'!F70,'#39-Calvert Memorial'!F70,'#40-Northwest'!F70,'#43-UM Baltimore Washington'!F70,'#44-GBMC'!F70,'#45-McCready'!F70,'#48-Howard County'!F70,'#49-UCH Upper Chesapeake'!F70,'#51-Doctors Community'!F70,'#55-Laurel Regional'!F70,'#60-Ft Washington'!F70,'#61-Atlantic General'!F70,'#62-Southern Maryland'!F70,'#2001-UM Rehab &amp; Ortho'!F70,'#2004-Good Samaritan'!F70,'#5034-Mt. Washington Pediatric'!F70,'#5050-Shady Grove Adventist'!F70)</f>
        <v>12934.324355170053</v>
      </c>
      <c r="G42" s="123">
        <f>SUM('#1-Meritus'!G70,'#2-UMMS'!G70,'#3-Prince George''s'!G70,'#4-Holy Cross'!G70,'#5-Frederick Memorial'!G70,'#6-Harford Memorial'!G70,'#7-St. Joseph'!G70,'#8-Mercy'!G70,'#9-Johns Hopkins'!G70,'#10-Shore Health Dorchester'!G70,'#11-St. Agnes'!G70,'#12-Sinai'!G70,'#13-Bon Secours'!G70,'#15-Franklin Square'!G70,'#16-Washington Adventist'!G70,'#17-Garrett County'!G70,'#18-Montgomery General'!G70,'#19-Pennisula General'!G70,'#22-Suburban'!G70,'#23-Anne Arundel Medical Center'!G70,'#24-Union Memorial'!G70,'#27-Western Maryland Regional'!G70,'#28-St. Mary''s'!G70,'#29-JH Bayview'!G70,'#30-Chester River'!G70,'#32-Union Cecil County'!G70,'#33-Carroll Hospital '!G70,'#34-Harbor Hospital'!G70,'#35-Civista Medical Center'!G70,'#37-Shore Health Easton'!G70,'#38-UM Midtown'!G70,'#39-Calvert Memorial'!G70,'#40-Northwest'!G70,'#43-UM Baltimore Washington'!G70,'#44-GBMC'!G70,'#45-McCready'!G70,'#48-Howard County'!G70,'#49-UCH Upper Chesapeake'!G70,'#51-Doctors Community'!G70,'#55-Laurel Regional'!G70,'#60-Ft Washington'!G70,'#61-Atlantic General'!G70,'#62-Southern Maryland'!G70,'#2001-UM Rehab &amp; Ortho'!G70,'#2004-Good Samaritan'!G70,'#5034-Mt. Washington Pediatric'!G70,'#5050-Shady Grove Adventist'!G70)</f>
        <v>333</v>
      </c>
      <c r="H42" s="123">
        <f>SUM('#1-Meritus'!H70,'#2-UMMS'!H70,'#3-Prince George''s'!H70,'#4-Holy Cross'!H70,'#5-Frederick Memorial'!H70,'#6-Harford Memorial'!H70,'#7-St. Joseph'!H70,'#8-Mercy'!H70,'#9-Johns Hopkins'!H70,'#10-Shore Health Dorchester'!H70,'#11-St. Agnes'!H70,'#12-Sinai'!H70,'#13-Bon Secours'!H70,'#15-Franklin Square'!H70,'#16-Washington Adventist'!H70,'#17-Garrett County'!H70,'#18-Montgomery General'!H70,'#19-Pennisula General'!H70,'#22-Suburban'!H70,'#23-Anne Arundel Medical Center'!H70,'#24-Union Memorial'!H70,'#27-Western Maryland Regional'!H70,'#28-St. Mary''s'!H70,'#29-JH Bayview'!H70,'#30-Chester River'!H70,'#32-Union Cecil County'!H70,'#33-Carroll Hospital '!H70,'#34-Harbor Hospital'!H70,'#35-Civista Medical Center'!H70,'#37-Shore Health Easton'!H70,'#38-UM Midtown'!H70,'#39-Calvert Memorial'!H70,'#40-Northwest'!H70,'#43-UM Baltimore Washington'!H70,'#44-GBMC'!H70,'#45-McCready'!H70,'#48-Howard County'!H70,'#49-UCH Upper Chesapeake'!H70,'#51-Doctors Community'!H70,'#55-Laurel Regional'!H70,'#60-Ft Washington'!H70,'#61-Atlantic General'!H70,'#62-Southern Maryland'!H70,'#2001-UM Rehab &amp; Ortho'!H70,'#2004-Good Samaritan'!H70,'#5034-Mt. Washington Pediatric'!H70,'#5050-Shady Grove Adventist'!H70)</f>
        <v>493784</v>
      </c>
      <c r="I42" s="123">
        <f>SUM('#1-Meritus'!I70,'#2-UMMS'!I70,'#3-Prince George''s'!I70,'#4-Holy Cross'!I70,'#5-Frederick Memorial'!I70,'#6-Harford Memorial'!I70,'#7-St. Joseph'!I70,'#8-Mercy'!I70,'#9-Johns Hopkins'!I70,'#10-Shore Health Dorchester'!I70,'#11-St. Agnes'!I70,'#12-Sinai'!I70,'#13-Bon Secours'!I70,'#15-Franklin Square'!I70,'#16-Washington Adventist'!I70,'#17-Garrett County'!I70,'#18-Montgomery General'!I70,'#19-Pennisula General'!I70,'#22-Suburban'!I70,'#23-Anne Arundel Medical Center'!I70,'#24-Union Memorial'!I70,'#27-Western Maryland Regional'!I70,'#28-St. Mary''s'!I70,'#29-JH Bayview'!I70,'#30-Chester River'!I70,'#32-Union Cecil County'!I70,'#33-Carroll Hospital '!I70,'#34-Harbor Hospital'!I70,'#35-Civista Medical Center'!I70,'#37-Shore Health Easton'!I70,'#38-UM Midtown'!I70,'#39-Calvert Memorial'!I70,'#40-Northwest'!I70,'#43-UM Baltimore Washington'!I70,'#44-GBMC'!I70,'#45-McCready'!I70,'#48-Howard County'!I70,'#49-UCH Upper Chesapeake'!I70,'#51-Doctors Community'!I70,'#55-Laurel Regional'!I70,'#60-Ft Washington'!I70,'#61-Atlantic General'!I70,'#62-Southern Maryland'!I70,'#2001-UM Rehab &amp; Ortho'!I70,'#2004-Good Samaritan'!I70,'#5034-Mt. Washington Pediatric'!I70,'#5050-Shady Grove Adventist'!I70)</f>
        <v>273900.57715691312</v>
      </c>
      <c r="J42" s="123">
        <f>SUM('#1-Meritus'!J70,'#2-UMMS'!J70,'#3-Prince George''s'!J70,'#4-Holy Cross'!J70,'#5-Frederick Memorial'!J70,'#6-Harford Memorial'!J70,'#7-St. Joseph'!J70,'#8-Mercy'!J70,'#9-Johns Hopkins'!J70,'#10-Shore Health Dorchester'!J70,'#11-St. Agnes'!J70,'#12-Sinai'!J70,'#13-Bon Secours'!J70,'#15-Franklin Square'!J70,'#16-Washington Adventist'!J70,'#17-Garrett County'!J70,'#18-Montgomery General'!J70,'#19-Pennisula General'!J70,'#22-Suburban'!J70,'#23-Anne Arundel Medical Center'!J70,'#24-Union Memorial'!J70,'#27-Western Maryland Regional'!J70,'#28-St. Mary''s'!J70,'#29-JH Bayview'!J70,'#30-Chester River'!J70,'#32-Union Cecil County'!J70,'#33-Carroll Hospital '!J70,'#34-Harbor Hospital'!J70,'#35-Civista Medical Center'!J70,'#37-Shore Health Easton'!J70,'#38-UM Midtown'!J70,'#39-Calvert Memorial'!J70,'#40-Northwest'!J70,'#43-UM Baltimore Washington'!J70,'#44-GBMC'!J70,'#45-McCready'!J70,'#48-Howard County'!J70,'#49-UCH Upper Chesapeake'!J70,'#51-Doctors Community'!J70,'#55-Laurel Regional'!J70,'#60-Ft Washington'!J70,'#61-Atlantic General'!J70,'#62-Southern Maryland'!J70,'#2001-UM Rehab &amp; Ortho'!J70,'#2004-Good Samaritan'!J70,'#5034-Mt. Washington Pediatric'!J70,'#5050-Shady Grove Adventist'!J70)</f>
        <v>0</v>
      </c>
      <c r="K42" s="123">
        <f t="shared" si="8"/>
        <v>767684.57715691312</v>
      </c>
      <c r="L42" s="123">
        <f t="shared" si="9"/>
        <v>493784</v>
      </c>
      <c r="M42" s="131"/>
      <c r="N42" s="131"/>
    </row>
    <row r="43" spans="1:14">
      <c r="D43" s="43"/>
      <c r="E43" s="43"/>
      <c r="F43" s="127"/>
      <c r="G43" s="127"/>
      <c r="H43" s="127"/>
      <c r="I43" s="127"/>
      <c r="J43" s="127"/>
      <c r="K43" s="127"/>
      <c r="L43" s="128"/>
      <c r="M43" s="131"/>
      <c r="N43" s="131"/>
    </row>
    <row r="44" spans="1:14">
      <c r="A44" s="45" t="s">
        <v>311</v>
      </c>
      <c r="B44" s="45"/>
      <c r="C44" s="43" t="s">
        <v>53</v>
      </c>
      <c r="F44" s="138">
        <f>SUM(F40:F42)</f>
        <v>64051.684355170051</v>
      </c>
      <c r="G44" s="138">
        <f t="shared" ref="G44:L44" si="10">SUM(G40:G42)</f>
        <v>5932</v>
      </c>
      <c r="H44" s="138">
        <f t="shared" si="10"/>
        <v>10829518.964029999</v>
      </c>
      <c r="I44" s="138">
        <f t="shared" si="10"/>
        <v>2579385.8427117211</v>
      </c>
      <c r="J44" s="138">
        <f t="shared" si="10"/>
        <v>5459900.8399999999</v>
      </c>
      <c r="K44" s="138">
        <f t="shared" si="10"/>
        <v>7949003.9667417211</v>
      </c>
      <c r="L44" s="138">
        <f t="shared" si="10"/>
        <v>5369618.1240299987</v>
      </c>
      <c r="M44" s="131"/>
      <c r="N44" s="131"/>
    </row>
    <row r="45" spans="1:14">
      <c r="A45" s="45"/>
      <c r="B45" s="45"/>
      <c r="C45" s="49"/>
      <c r="F45" s="139"/>
      <c r="G45" s="139"/>
      <c r="H45" s="139"/>
      <c r="I45" s="139"/>
      <c r="J45" s="139"/>
      <c r="K45" s="139"/>
      <c r="L45" s="133"/>
      <c r="M45" s="131"/>
      <c r="N45" s="131"/>
    </row>
    <row r="46" spans="1:14" ht="46.5" customHeight="1">
      <c r="A46" s="135" t="s">
        <v>393</v>
      </c>
      <c r="B46" s="39"/>
      <c r="C46" s="140" t="s">
        <v>248</v>
      </c>
      <c r="F46" s="47" t="s">
        <v>145</v>
      </c>
      <c r="G46" s="47" t="s">
        <v>146</v>
      </c>
      <c r="H46" s="141" t="s">
        <v>385</v>
      </c>
      <c r="I46" s="141" t="s">
        <v>386</v>
      </c>
      <c r="J46" s="113" t="s">
        <v>382</v>
      </c>
      <c r="K46" s="125" t="s">
        <v>383</v>
      </c>
      <c r="L46" s="47" t="s">
        <v>384</v>
      </c>
      <c r="M46" s="131"/>
      <c r="N46" s="131"/>
    </row>
    <row r="47" spans="1:14" ht="15.75">
      <c r="A47" s="39"/>
      <c r="B47" s="39"/>
      <c r="C47" s="140"/>
      <c r="J47" s="114"/>
      <c r="K47" s="126"/>
      <c r="M47" s="131"/>
      <c r="N47" s="131"/>
    </row>
    <row r="48" spans="1:14">
      <c r="A48" s="45" t="s">
        <v>194</v>
      </c>
      <c r="B48" s="39"/>
      <c r="C48" s="48" t="s">
        <v>195</v>
      </c>
      <c r="F48" s="123">
        <f>SUM('#1-Meritus'!F77,'#2-UMMS'!F77,'#3-Prince George''s'!F77,'#4-Holy Cross'!F77,'#5-Frederick Memorial'!F77,'#6-Harford Memorial'!F77,'#7-St. Joseph'!F77,'#8-Mercy'!F77,'#9-Johns Hopkins'!F77,'#10-Shore Health Dorchester'!F77,'#11-St. Agnes'!F77,'#12-Sinai'!F77,'#13-Bon Secours'!F77,'#15-Franklin Square'!F77,'#16-Washington Adventist'!F77,'#17-Garrett County'!F77,'#18-Montgomery General'!F77,'#19-Pennisula General'!F77,'#22-Suburban'!F77,'#23-Anne Arundel Medical Center'!F77,'#24-Union Memorial'!F77,'#27-Western Maryland Regional'!F77,'#28-St. Mary''s'!F77,'#29-JH Bayview'!F77,'#30-Chester River'!F77,'#32-Union Cecil County'!F77,'#33-Carroll Hospital '!F77,'#34-Harbor Hospital'!F77,'#35-Civista Medical Center'!F77,'#37-Shore Health Easton'!F77,'#38-UM Midtown'!F77,'#39-Calvert Memorial'!F77,'#40-Northwest'!F77,'#43-UM Baltimore Washington'!F77,'#44-GBMC'!F77,'#45-McCready'!F77,'#48-Howard County'!F77,'#49-UCH Upper Chesapeake'!F77,'#51-Doctors Community'!F77,'#55-Laurel Regional'!F77,'#60-Ft Washington'!F77,'#61-Atlantic General'!F77,'#62-Southern Maryland'!F77,'#2001-UM Rehab &amp; Ortho'!F77,'#2004-Good Samaritan'!F77,'#5034-Mt. Washington Pediatric'!F77,'#5050-Shady Grove Adventist'!F77)</f>
        <v>2141.75</v>
      </c>
      <c r="G48" s="123">
        <f>SUM('#1-Meritus'!G77,'#2-UMMS'!G77,'#3-Prince George''s'!G77,'#4-Holy Cross'!G77,'#5-Frederick Memorial'!G77,'#6-Harford Memorial'!G77,'#7-St. Joseph'!G77,'#8-Mercy'!G77,'#9-Johns Hopkins'!G77,'#10-Shore Health Dorchester'!G77,'#11-St. Agnes'!G77,'#12-Sinai'!G77,'#13-Bon Secours'!G77,'#15-Franklin Square'!G77,'#16-Washington Adventist'!G77,'#17-Garrett County'!G77,'#18-Montgomery General'!G77,'#19-Pennisula General'!G77,'#22-Suburban'!G77,'#23-Anne Arundel Medical Center'!G77,'#24-Union Memorial'!G77,'#27-Western Maryland Regional'!G77,'#28-St. Mary''s'!G77,'#29-JH Bayview'!G77,'#30-Chester River'!G77,'#32-Union Cecil County'!G77,'#33-Carroll Hospital '!G77,'#34-Harbor Hospital'!G77,'#35-Civista Medical Center'!G77,'#37-Shore Health Easton'!G77,'#38-UM Midtown'!G77,'#39-Calvert Memorial'!G77,'#40-Northwest'!G77,'#43-UM Baltimore Washington'!G77,'#44-GBMC'!G77,'#45-McCready'!G77,'#48-Howard County'!G77,'#49-UCH Upper Chesapeake'!G77,'#51-Doctors Community'!G77,'#55-Laurel Regional'!G77,'#60-Ft Washington'!G77,'#61-Atlantic General'!G77,'#62-Southern Maryland'!G77,'#2001-UM Rehab &amp; Ortho'!G77,'#2004-Good Samaritan'!G77,'#5034-Mt. Washington Pediatric'!G77,'#5050-Shady Grove Adventist'!G77)</f>
        <v>42394.5</v>
      </c>
      <c r="H48" s="123">
        <f>SUM('#1-Meritus'!H77,'#2-UMMS'!H77,'#3-Prince George''s'!H77,'#4-Holy Cross'!H77,'#5-Frederick Memorial'!H77,'#6-Harford Memorial'!H77,'#7-St. Joseph'!H77,'#8-Mercy'!H77,'#9-Johns Hopkins'!H77,'#10-Shore Health Dorchester'!H77,'#11-St. Agnes'!H77,'#12-Sinai'!H77,'#13-Bon Secours'!H77,'#15-Franklin Square'!H77,'#16-Washington Adventist'!H77,'#17-Garrett County'!H77,'#18-Montgomery General'!H77,'#19-Pennisula General'!H77,'#22-Suburban'!H77,'#23-Anne Arundel Medical Center'!H77,'#24-Union Memorial'!H77,'#27-Western Maryland Regional'!H77,'#28-St. Mary''s'!H77,'#29-JH Bayview'!H77,'#30-Chester River'!H77,'#32-Union Cecil County'!H77,'#33-Carroll Hospital '!H77,'#34-Harbor Hospital'!H77,'#35-Civista Medical Center'!H77,'#37-Shore Health Easton'!H77,'#38-UM Midtown'!H77,'#39-Calvert Memorial'!H77,'#40-Northwest'!H77,'#43-UM Baltimore Washington'!H77,'#44-GBMC'!H77,'#45-McCready'!H77,'#48-Howard County'!H77,'#49-UCH Upper Chesapeake'!H77,'#51-Doctors Community'!H77,'#55-Laurel Regional'!H77,'#60-Ft Washington'!H77,'#61-Atlantic General'!H77,'#62-Southern Maryland'!H77,'#2001-UM Rehab &amp; Ortho'!H77,'#2004-Good Samaritan'!H77,'#5034-Mt. Washington Pediatric'!H77,'#5050-Shady Grove Adventist'!H77)</f>
        <v>9992983.7980343383</v>
      </c>
      <c r="I48" s="123">
        <f>SUM('#1-Meritus'!I77,'#2-UMMS'!I77,'#3-Prince George''s'!I77,'#4-Holy Cross'!I77,'#5-Frederick Memorial'!I77,'#6-Harford Memorial'!I77,'#7-St. Joseph'!I77,'#8-Mercy'!I77,'#9-Johns Hopkins'!I77,'#10-Shore Health Dorchester'!I77,'#11-St. Agnes'!I77,'#12-Sinai'!I77,'#13-Bon Secours'!I77,'#15-Franklin Square'!I77,'#16-Washington Adventist'!I77,'#17-Garrett County'!I77,'#18-Montgomery General'!I77,'#19-Pennisula General'!I77,'#22-Suburban'!I77,'#23-Anne Arundel Medical Center'!I77,'#24-Union Memorial'!I77,'#27-Western Maryland Regional'!I77,'#28-St. Mary''s'!I77,'#29-JH Bayview'!I77,'#30-Chester River'!I77,'#32-Union Cecil County'!I77,'#33-Carroll Hospital '!I77,'#34-Harbor Hospital'!I77,'#35-Civista Medical Center'!I77,'#37-Shore Health Easton'!I77,'#38-UM Midtown'!I77,'#39-Calvert Memorial'!I77,'#40-Northwest'!I77,'#43-UM Baltimore Washington'!I77,'#44-GBMC'!I77,'#45-McCready'!I77,'#48-Howard County'!I77,'#49-UCH Upper Chesapeake'!I77,'#51-Doctors Community'!I77,'#55-Laurel Regional'!I77,'#60-Ft Washington'!I77,'#61-Atlantic General'!I77,'#62-Southern Maryland'!I77,'#2001-UM Rehab &amp; Ortho'!I77,'#2004-Good Samaritan'!I77,'#5034-Mt. Washington Pediatric'!I77,'#5050-Shady Grove Adventist'!I77)</f>
        <v>57477.944716903869</v>
      </c>
      <c r="J48" s="123">
        <f>SUM('#1-Meritus'!J77,'#2-UMMS'!J77,'#3-Prince George''s'!J77,'#4-Holy Cross'!J77,'#5-Frederick Memorial'!J77,'#6-Harford Memorial'!J77,'#7-St. Joseph'!J77,'#8-Mercy'!J77,'#9-Johns Hopkins'!J77,'#10-Shore Health Dorchester'!J77,'#11-St. Agnes'!J77,'#12-Sinai'!J77,'#13-Bon Secours'!J77,'#15-Franklin Square'!J77,'#16-Washington Adventist'!J77,'#17-Garrett County'!J77,'#18-Montgomery General'!J77,'#19-Pennisula General'!J77,'#22-Suburban'!J77,'#23-Anne Arundel Medical Center'!J77,'#24-Union Memorial'!J77,'#27-Western Maryland Regional'!J77,'#28-St. Mary''s'!J77,'#29-JH Bayview'!J77,'#30-Chester River'!J77,'#32-Union Cecil County'!J77,'#33-Carroll Hospital '!J77,'#34-Harbor Hospital'!J77,'#35-Civista Medical Center'!J77,'#37-Shore Health Easton'!J77,'#38-UM Midtown'!J77,'#39-Calvert Memorial'!J77,'#40-Northwest'!J77,'#43-UM Baltimore Washington'!J77,'#44-GBMC'!J77,'#45-McCready'!J77,'#48-Howard County'!J77,'#49-UCH Upper Chesapeake'!J77,'#51-Doctors Community'!J77,'#55-Laurel Regional'!J77,'#60-Ft Washington'!J77,'#61-Atlantic General'!J77,'#62-Southern Maryland'!J77,'#2001-UM Rehab &amp; Ortho'!J77,'#2004-Good Samaritan'!J77,'#5034-Mt. Washington Pediatric'!J77,'#5050-Shady Grove Adventist'!J77)</f>
        <v>48332</v>
      </c>
      <c r="K48" s="123">
        <f t="shared" ref="K48:K51" si="11">+H48+I48-J48</f>
        <v>10002129.742751243</v>
      </c>
      <c r="L48" s="123">
        <f t="shared" ref="L48:L51" si="12">+H48-J48</f>
        <v>9944651.7980343383</v>
      </c>
      <c r="M48" s="131"/>
      <c r="N48" s="131"/>
    </row>
    <row r="49" spans="1:14">
      <c r="A49" s="45" t="s">
        <v>196</v>
      </c>
      <c r="B49" s="48"/>
      <c r="C49" s="48" t="s">
        <v>197</v>
      </c>
      <c r="F49" s="123">
        <f>SUM('#1-Meritus'!F78,'#2-UMMS'!F78,'#3-Prince George''s'!F78,'#4-Holy Cross'!F78,'#5-Frederick Memorial'!F78,'#6-Harford Memorial'!F78,'#7-St. Joseph'!F78,'#8-Mercy'!F78,'#9-Johns Hopkins'!F78,'#10-Shore Health Dorchester'!F78,'#11-St. Agnes'!F78,'#12-Sinai'!F78,'#13-Bon Secours'!F78,'#15-Franklin Square'!F78,'#16-Washington Adventist'!F78,'#17-Garrett County'!F78,'#18-Montgomery General'!F78,'#19-Pennisula General'!F78,'#22-Suburban'!F78,'#23-Anne Arundel Medical Center'!F78,'#24-Union Memorial'!F78,'#27-Western Maryland Regional'!F78,'#28-St. Mary''s'!F78,'#29-JH Bayview'!F78,'#30-Chester River'!F78,'#32-Union Cecil County'!F78,'#33-Carroll Hospital '!F78,'#34-Harbor Hospital'!F78,'#35-Civista Medical Center'!F78,'#37-Shore Health Easton'!F78,'#38-UM Midtown'!F78,'#39-Calvert Memorial'!F78,'#40-Northwest'!F78,'#43-UM Baltimore Washington'!F78,'#44-GBMC'!F78,'#45-McCready'!F78,'#48-Howard County'!F78,'#49-UCH Upper Chesapeake'!F78,'#51-Doctors Community'!F78,'#55-Laurel Regional'!F78,'#60-Ft Washington'!F78,'#61-Atlantic General'!F78,'#62-Southern Maryland'!F78,'#2001-UM Rehab &amp; Ortho'!F78,'#2004-Good Samaritan'!F78,'#5034-Mt. Washington Pediatric'!F78,'#5050-Shady Grove Adventist'!F78)</f>
        <v>150</v>
      </c>
      <c r="G49" s="123">
        <f>SUM('#1-Meritus'!G78,'#2-UMMS'!G78,'#3-Prince George''s'!G78,'#4-Holy Cross'!G78,'#5-Frederick Memorial'!G78,'#6-Harford Memorial'!G78,'#7-St. Joseph'!G78,'#8-Mercy'!G78,'#9-Johns Hopkins'!G78,'#10-Shore Health Dorchester'!G78,'#11-St. Agnes'!G78,'#12-Sinai'!G78,'#13-Bon Secours'!G78,'#15-Franklin Square'!G78,'#16-Washington Adventist'!G78,'#17-Garrett County'!G78,'#18-Montgomery General'!G78,'#19-Pennisula General'!G78,'#22-Suburban'!G78,'#23-Anne Arundel Medical Center'!G78,'#24-Union Memorial'!G78,'#27-Western Maryland Regional'!G78,'#28-St. Mary''s'!G78,'#29-JH Bayview'!G78,'#30-Chester River'!G78,'#32-Union Cecil County'!G78,'#33-Carroll Hospital '!G78,'#34-Harbor Hospital'!G78,'#35-Civista Medical Center'!G78,'#37-Shore Health Easton'!G78,'#38-UM Midtown'!G78,'#39-Calvert Memorial'!G78,'#40-Northwest'!G78,'#43-UM Baltimore Washington'!G78,'#44-GBMC'!G78,'#45-McCready'!G78,'#48-Howard County'!G78,'#49-UCH Upper Chesapeake'!G78,'#51-Doctors Community'!G78,'#55-Laurel Regional'!G78,'#60-Ft Washington'!G78,'#61-Atlantic General'!G78,'#62-Southern Maryland'!G78,'#2001-UM Rehab &amp; Ortho'!G78,'#2004-Good Samaritan'!G78,'#5034-Mt. Washington Pediatric'!G78,'#5050-Shady Grove Adventist'!G78)</f>
        <v>327</v>
      </c>
      <c r="H49" s="123">
        <f>SUM('#1-Meritus'!H78,'#2-UMMS'!H78,'#3-Prince George''s'!H78,'#4-Holy Cross'!H78,'#5-Frederick Memorial'!H78,'#6-Harford Memorial'!H78,'#7-St. Joseph'!H78,'#8-Mercy'!H78,'#9-Johns Hopkins'!H78,'#10-Shore Health Dorchester'!H78,'#11-St. Agnes'!H78,'#12-Sinai'!H78,'#13-Bon Secours'!H78,'#15-Franklin Square'!H78,'#16-Washington Adventist'!H78,'#17-Garrett County'!H78,'#18-Montgomery General'!H78,'#19-Pennisula General'!H78,'#22-Suburban'!H78,'#23-Anne Arundel Medical Center'!H78,'#24-Union Memorial'!H78,'#27-Western Maryland Regional'!H78,'#28-St. Mary''s'!H78,'#29-JH Bayview'!H78,'#30-Chester River'!H78,'#32-Union Cecil County'!H78,'#33-Carroll Hospital '!H78,'#34-Harbor Hospital'!H78,'#35-Civista Medical Center'!H78,'#37-Shore Health Easton'!H78,'#38-UM Midtown'!H78,'#39-Calvert Memorial'!H78,'#40-Northwest'!H78,'#43-UM Baltimore Washington'!H78,'#44-GBMC'!H78,'#45-McCready'!H78,'#48-Howard County'!H78,'#49-UCH Upper Chesapeake'!H78,'#51-Doctors Community'!H78,'#55-Laurel Regional'!H78,'#60-Ft Washington'!H78,'#61-Atlantic General'!H78,'#62-Southern Maryland'!H78,'#2001-UM Rehab &amp; Ortho'!H78,'#2004-Good Samaritan'!H78,'#5034-Mt. Washington Pediatric'!H78,'#5050-Shady Grove Adventist'!H78)</f>
        <v>377321</v>
      </c>
      <c r="I49" s="123">
        <f>SUM('#1-Meritus'!I78,'#2-UMMS'!I78,'#3-Prince George''s'!I78,'#4-Holy Cross'!I78,'#5-Frederick Memorial'!I78,'#6-Harford Memorial'!I78,'#7-St. Joseph'!I78,'#8-Mercy'!I78,'#9-Johns Hopkins'!I78,'#10-Shore Health Dorchester'!I78,'#11-St. Agnes'!I78,'#12-Sinai'!I78,'#13-Bon Secours'!I78,'#15-Franklin Square'!I78,'#16-Washington Adventist'!I78,'#17-Garrett County'!I78,'#18-Montgomery General'!I78,'#19-Pennisula General'!I78,'#22-Suburban'!I78,'#23-Anne Arundel Medical Center'!I78,'#24-Union Memorial'!I78,'#27-Western Maryland Regional'!I78,'#28-St. Mary''s'!I78,'#29-JH Bayview'!I78,'#30-Chester River'!I78,'#32-Union Cecil County'!I78,'#33-Carroll Hospital '!I78,'#34-Harbor Hospital'!I78,'#35-Civista Medical Center'!I78,'#37-Shore Health Easton'!I78,'#38-UM Midtown'!I78,'#39-Calvert Memorial'!I78,'#40-Northwest'!I78,'#43-UM Baltimore Washington'!I78,'#44-GBMC'!I78,'#45-McCready'!I78,'#48-Howard County'!I78,'#49-UCH Upper Chesapeake'!I78,'#51-Doctors Community'!I78,'#55-Laurel Regional'!I78,'#60-Ft Washington'!I78,'#61-Atlantic General'!I78,'#62-Southern Maryland'!I78,'#2001-UM Rehab &amp; Ortho'!I78,'#2004-Good Samaritan'!I78,'#5034-Mt. Washington Pediatric'!I78,'#5050-Shady Grove Adventist'!I78)</f>
        <v>2331</v>
      </c>
      <c r="J49" s="123">
        <f>SUM('#1-Meritus'!J78,'#2-UMMS'!J78,'#3-Prince George''s'!J78,'#4-Holy Cross'!J78,'#5-Frederick Memorial'!J78,'#6-Harford Memorial'!J78,'#7-St. Joseph'!J78,'#8-Mercy'!J78,'#9-Johns Hopkins'!J78,'#10-Shore Health Dorchester'!J78,'#11-St. Agnes'!J78,'#12-Sinai'!J78,'#13-Bon Secours'!J78,'#15-Franklin Square'!J78,'#16-Washington Adventist'!J78,'#17-Garrett County'!J78,'#18-Montgomery General'!J78,'#19-Pennisula General'!J78,'#22-Suburban'!J78,'#23-Anne Arundel Medical Center'!J78,'#24-Union Memorial'!J78,'#27-Western Maryland Regional'!J78,'#28-St. Mary''s'!J78,'#29-JH Bayview'!J78,'#30-Chester River'!J78,'#32-Union Cecil County'!J78,'#33-Carroll Hospital '!J78,'#34-Harbor Hospital'!J78,'#35-Civista Medical Center'!J78,'#37-Shore Health Easton'!J78,'#38-UM Midtown'!J78,'#39-Calvert Memorial'!J78,'#40-Northwest'!J78,'#43-UM Baltimore Washington'!J78,'#44-GBMC'!J78,'#45-McCready'!J78,'#48-Howard County'!J78,'#49-UCH Upper Chesapeake'!J78,'#51-Doctors Community'!J78,'#55-Laurel Regional'!J78,'#60-Ft Washington'!J78,'#61-Atlantic General'!J78,'#62-Southern Maryland'!J78,'#2001-UM Rehab &amp; Ortho'!J78,'#2004-Good Samaritan'!J78,'#5034-Mt. Washington Pediatric'!J78,'#5050-Shady Grove Adventist'!J78)</f>
        <v>155368</v>
      </c>
      <c r="K49" s="123">
        <f t="shared" si="11"/>
        <v>224284</v>
      </c>
      <c r="L49" s="123">
        <f t="shared" si="12"/>
        <v>221953</v>
      </c>
      <c r="M49" s="131"/>
      <c r="N49" s="131"/>
    </row>
    <row r="50" spans="1:14">
      <c r="A50" s="45" t="s">
        <v>198</v>
      </c>
      <c r="B50" s="45"/>
      <c r="C50" s="48" t="s">
        <v>199</v>
      </c>
      <c r="F50" s="123">
        <f>SUM('#1-Meritus'!F79,'#2-UMMS'!F79,'#3-Prince George''s'!F79,'#4-Holy Cross'!F79,'#5-Frederick Memorial'!F79,'#6-Harford Memorial'!F79,'#7-St. Joseph'!F79,'#8-Mercy'!F79,'#9-Johns Hopkins'!F79,'#10-Shore Health Dorchester'!F79,'#11-St. Agnes'!F79,'#12-Sinai'!F79,'#13-Bon Secours'!F79,'#15-Franklin Square'!F79,'#16-Washington Adventist'!F79,'#17-Garrett County'!F79,'#18-Montgomery General'!F79,'#19-Pennisula General'!F79,'#22-Suburban'!F79,'#23-Anne Arundel Medical Center'!F79,'#24-Union Memorial'!F79,'#27-Western Maryland Regional'!F79,'#28-St. Mary''s'!F79,'#29-JH Bayview'!F79,'#30-Chester River'!F79,'#32-Union Cecil County'!F79,'#33-Carroll Hospital '!F79,'#34-Harbor Hospital'!F79,'#35-Civista Medical Center'!F79,'#37-Shore Health Easton'!F79,'#38-UM Midtown'!F79,'#39-Calvert Memorial'!F79,'#40-Northwest'!F79,'#43-UM Baltimore Washington'!F79,'#44-GBMC'!F79,'#45-McCready'!F79,'#48-Howard County'!F79,'#49-UCH Upper Chesapeake'!F79,'#51-Doctors Community'!F79,'#55-Laurel Regional'!F79,'#60-Ft Washington'!F79,'#61-Atlantic General'!F79,'#62-Southern Maryland'!F79,'#2001-UM Rehab &amp; Ortho'!F79,'#2004-Good Samaritan'!F79,'#5034-Mt. Washington Pediatric'!F79,'#5050-Shady Grove Adventist'!F79)</f>
        <v>40220.896353430951</v>
      </c>
      <c r="G50" s="123">
        <f>SUM('#1-Meritus'!G79,'#2-UMMS'!G79,'#3-Prince George''s'!G79,'#4-Holy Cross'!G79,'#5-Frederick Memorial'!G79,'#6-Harford Memorial'!G79,'#7-St. Joseph'!G79,'#8-Mercy'!G79,'#9-Johns Hopkins'!G79,'#10-Shore Health Dorchester'!G79,'#11-St. Agnes'!G79,'#12-Sinai'!G79,'#13-Bon Secours'!G79,'#15-Franklin Square'!G79,'#16-Washington Adventist'!G79,'#17-Garrett County'!G79,'#18-Montgomery General'!G79,'#19-Pennisula General'!G79,'#22-Suburban'!G79,'#23-Anne Arundel Medical Center'!G79,'#24-Union Memorial'!G79,'#27-Western Maryland Regional'!G79,'#28-St. Mary''s'!G79,'#29-JH Bayview'!G79,'#30-Chester River'!G79,'#32-Union Cecil County'!G79,'#33-Carroll Hospital '!G79,'#34-Harbor Hospital'!G79,'#35-Civista Medical Center'!G79,'#37-Shore Health Easton'!G79,'#38-UM Midtown'!G79,'#39-Calvert Memorial'!G79,'#40-Northwest'!G79,'#43-UM Baltimore Washington'!G79,'#44-GBMC'!G79,'#45-McCready'!G79,'#48-Howard County'!G79,'#49-UCH Upper Chesapeake'!G79,'#51-Doctors Community'!G79,'#55-Laurel Regional'!G79,'#60-Ft Washington'!G79,'#61-Atlantic General'!G79,'#62-Southern Maryland'!G79,'#2001-UM Rehab &amp; Ortho'!G79,'#2004-Good Samaritan'!G79,'#5034-Mt. Washington Pediatric'!G79,'#5050-Shady Grove Adventist'!G79)</f>
        <v>172356</v>
      </c>
      <c r="H50" s="123">
        <f>SUM('#1-Meritus'!H79,'#2-UMMS'!H79,'#3-Prince George''s'!H79,'#4-Holy Cross'!H79,'#5-Frederick Memorial'!H79,'#6-Harford Memorial'!H79,'#7-St. Joseph'!H79,'#8-Mercy'!H79,'#9-Johns Hopkins'!H79,'#10-Shore Health Dorchester'!H79,'#11-St. Agnes'!H79,'#12-Sinai'!H79,'#13-Bon Secours'!H79,'#15-Franklin Square'!H79,'#16-Washington Adventist'!H79,'#17-Garrett County'!H79,'#18-Montgomery General'!H79,'#19-Pennisula General'!H79,'#22-Suburban'!H79,'#23-Anne Arundel Medical Center'!H79,'#24-Union Memorial'!H79,'#27-Western Maryland Regional'!H79,'#28-St. Mary''s'!H79,'#29-JH Bayview'!H79,'#30-Chester River'!H79,'#32-Union Cecil County'!H79,'#33-Carroll Hospital '!H79,'#34-Harbor Hospital'!H79,'#35-Civista Medical Center'!H79,'#37-Shore Health Easton'!H79,'#38-UM Midtown'!H79,'#39-Calvert Memorial'!H79,'#40-Northwest'!H79,'#43-UM Baltimore Washington'!H79,'#44-GBMC'!H79,'#45-McCready'!H79,'#48-Howard County'!H79,'#49-UCH Upper Chesapeake'!H79,'#51-Doctors Community'!H79,'#55-Laurel Regional'!H79,'#60-Ft Washington'!H79,'#61-Atlantic General'!H79,'#62-Southern Maryland'!H79,'#2001-UM Rehab &amp; Ortho'!H79,'#2004-Good Samaritan'!H79,'#5034-Mt. Washington Pediatric'!H79,'#5050-Shady Grove Adventist'!H79)</f>
        <v>8985540.460351089</v>
      </c>
      <c r="I50" s="123">
        <f>SUM('#1-Meritus'!I79,'#2-UMMS'!I79,'#3-Prince George''s'!I79,'#4-Holy Cross'!I79,'#5-Frederick Memorial'!I79,'#6-Harford Memorial'!I79,'#7-St. Joseph'!I79,'#8-Mercy'!I79,'#9-Johns Hopkins'!I79,'#10-Shore Health Dorchester'!I79,'#11-St. Agnes'!I79,'#12-Sinai'!I79,'#13-Bon Secours'!I79,'#15-Franklin Square'!I79,'#16-Washington Adventist'!I79,'#17-Garrett County'!I79,'#18-Montgomery General'!I79,'#19-Pennisula General'!I79,'#22-Suburban'!I79,'#23-Anne Arundel Medical Center'!I79,'#24-Union Memorial'!I79,'#27-Western Maryland Regional'!I79,'#28-St. Mary''s'!I79,'#29-JH Bayview'!I79,'#30-Chester River'!I79,'#32-Union Cecil County'!I79,'#33-Carroll Hospital '!I79,'#34-Harbor Hospital'!I79,'#35-Civista Medical Center'!I79,'#37-Shore Health Easton'!I79,'#38-UM Midtown'!I79,'#39-Calvert Memorial'!I79,'#40-Northwest'!I79,'#43-UM Baltimore Washington'!I79,'#44-GBMC'!I79,'#45-McCready'!I79,'#48-Howard County'!I79,'#49-UCH Upper Chesapeake'!I79,'#51-Doctors Community'!I79,'#55-Laurel Regional'!I79,'#60-Ft Washington'!I79,'#61-Atlantic General'!I79,'#62-Southern Maryland'!I79,'#2001-UM Rehab &amp; Ortho'!I79,'#2004-Good Samaritan'!I79,'#5034-Mt. Washington Pediatric'!I79,'#5050-Shady Grove Adventist'!I79)</f>
        <v>469644.17796312761</v>
      </c>
      <c r="J50" s="123">
        <f>SUM('#1-Meritus'!J79,'#2-UMMS'!J79,'#3-Prince George''s'!J79,'#4-Holy Cross'!J79,'#5-Frederick Memorial'!J79,'#6-Harford Memorial'!J79,'#7-St. Joseph'!J79,'#8-Mercy'!J79,'#9-Johns Hopkins'!J79,'#10-Shore Health Dorchester'!J79,'#11-St. Agnes'!J79,'#12-Sinai'!J79,'#13-Bon Secours'!J79,'#15-Franklin Square'!J79,'#16-Washington Adventist'!J79,'#17-Garrett County'!J79,'#18-Montgomery General'!J79,'#19-Pennisula General'!J79,'#22-Suburban'!J79,'#23-Anne Arundel Medical Center'!J79,'#24-Union Memorial'!J79,'#27-Western Maryland Regional'!J79,'#28-St. Mary''s'!J79,'#29-JH Bayview'!J79,'#30-Chester River'!J79,'#32-Union Cecil County'!J79,'#33-Carroll Hospital '!J79,'#34-Harbor Hospital'!J79,'#35-Civista Medical Center'!J79,'#37-Shore Health Easton'!J79,'#38-UM Midtown'!J79,'#39-Calvert Memorial'!J79,'#40-Northwest'!J79,'#43-UM Baltimore Washington'!J79,'#44-GBMC'!J79,'#45-McCready'!J79,'#48-Howard County'!J79,'#49-UCH Upper Chesapeake'!J79,'#51-Doctors Community'!J79,'#55-Laurel Regional'!J79,'#60-Ft Washington'!J79,'#61-Atlantic General'!J79,'#62-Southern Maryland'!J79,'#2001-UM Rehab &amp; Ortho'!J79,'#2004-Good Samaritan'!J79,'#5034-Mt. Washington Pediatric'!J79,'#5050-Shady Grove Adventist'!J79)</f>
        <v>170099</v>
      </c>
      <c r="K50" s="123">
        <f t="shared" si="11"/>
        <v>9285085.6383142173</v>
      </c>
      <c r="L50" s="123">
        <f t="shared" si="12"/>
        <v>8815441.460351089</v>
      </c>
      <c r="M50" s="131"/>
      <c r="N50" s="131"/>
    </row>
    <row r="51" spans="1:14">
      <c r="A51" s="45" t="s">
        <v>200</v>
      </c>
      <c r="B51" s="45"/>
      <c r="C51" s="48" t="s">
        <v>316</v>
      </c>
      <c r="F51" s="123">
        <f>SUM('#1-Meritus'!F80,'#2-UMMS'!F80,'#3-Prince George''s'!F80,'#4-Holy Cross'!F80,'#5-Frederick Memorial'!F80,'#6-Harford Memorial'!F80,'#7-St. Joseph'!F80,'#8-Mercy'!F80,'#9-Johns Hopkins'!F80,'#10-Shore Health Dorchester'!F80,'#11-St. Agnes'!F80,'#12-Sinai'!F80,'#13-Bon Secours'!F80,'#15-Franklin Square'!F80,'#16-Washington Adventist'!F80,'#17-Garrett County'!F80,'#18-Montgomery General'!F80,'#19-Pennisula General'!F80,'#22-Suburban'!F80,'#23-Anne Arundel Medical Center'!F80,'#24-Union Memorial'!F80,'#27-Western Maryland Regional'!F80,'#28-St. Mary''s'!F80,'#29-JH Bayview'!F80,'#30-Chester River'!F80,'#32-Union Cecil County'!F80,'#33-Carroll Hospital '!F80,'#34-Harbor Hospital'!F80,'#35-Civista Medical Center'!F80,'#37-Shore Health Easton'!F80,'#38-UM Midtown'!F80,'#39-Calvert Memorial'!F80,'#40-Northwest'!F80,'#43-UM Baltimore Washington'!F80,'#44-GBMC'!F80,'#45-McCready'!F80,'#48-Howard County'!F80,'#49-UCH Upper Chesapeake'!F80,'#51-Doctors Community'!F80,'#55-Laurel Regional'!F80,'#60-Ft Washington'!F80,'#61-Atlantic General'!F80,'#62-Southern Maryland'!F80,'#2001-UM Rehab &amp; Ortho'!F80,'#2004-Good Samaritan'!F80,'#5034-Mt. Washington Pediatric'!F80,'#5050-Shady Grove Adventist'!F80)</f>
        <v>2138.8999999999996</v>
      </c>
      <c r="G51" s="123">
        <f>SUM('#1-Meritus'!G80,'#2-UMMS'!G80,'#3-Prince George''s'!G80,'#4-Holy Cross'!G80,'#5-Frederick Memorial'!G80,'#6-Harford Memorial'!G80,'#7-St. Joseph'!G80,'#8-Mercy'!G80,'#9-Johns Hopkins'!G80,'#10-Shore Health Dorchester'!G80,'#11-St. Agnes'!G80,'#12-Sinai'!G80,'#13-Bon Secours'!G80,'#15-Franklin Square'!G80,'#16-Washington Adventist'!G80,'#17-Garrett County'!G80,'#18-Montgomery General'!G80,'#19-Pennisula General'!G80,'#22-Suburban'!G80,'#23-Anne Arundel Medical Center'!G80,'#24-Union Memorial'!G80,'#27-Western Maryland Regional'!G80,'#28-St. Mary''s'!G80,'#29-JH Bayview'!G80,'#30-Chester River'!G80,'#32-Union Cecil County'!G80,'#33-Carroll Hospital '!G80,'#34-Harbor Hospital'!G80,'#35-Civista Medical Center'!G80,'#37-Shore Health Easton'!G80,'#38-UM Midtown'!G80,'#39-Calvert Memorial'!G80,'#40-Northwest'!G80,'#43-UM Baltimore Washington'!G80,'#44-GBMC'!G80,'#45-McCready'!G80,'#48-Howard County'!G80,'#49-UCH Upper Chesapeake'!G80,'#51-Doctors Community'!G80,'#55-Laurel Regional'!G80,'#60-Ft Washington'!G80,'#61-Atlantic General'!G80,'#62-Southern Maryland'!G80,'#2001-UM Rehab &amp; Ortho'!G80,'#2004-Good Samaritan'!G80,'#5034-Mt. Washington Pediatric'!G80,'#5050-Shady Grove Adventist'!G80)</f>
        <v>1622</v>
      </c>
      <c r="H51" s="123">
        <f>SUM('#1-Meritus'!H80,'#2-UMMS'!H80,'#3-Prince George''s'!H80,'#4-Holy Cross'!H80,'#5-Frederick Memorial'!H80,'#6-Harford Memorial'!H80,'#7-St. Joseph'!H80,'#8-Mercy'!H80,'#9-Johns Hopkins'!H80,'#10-Shore Health Dorchester'!H80,'#11-St. Agnes'!H80,'#12-Sinai'!H80,'#13-Bon Secours'!H80,'#15-Franklin Square'!H80,'#16-Washington Adventist'!H80,'#17-Garrett County'!H80,'#18-Montgomery General'!H80,'#19-Pennisula General'!H80,'#22-Suburban'!H80,'#23-Anne Arundel Medical Center'!H80,'#24-Union Memorial'!H80,'#27-Western Maryland Regional'!H80,'#28-St. Mary''s'!H80,'#29-JH Bayview'!H80,'#30-Chester River'!H80,'#32-Union Cecil County'!H80,'#33-Carroll Hospital '!H80,'#34-Harbor Hospital'!H80,'#35-Civista Medical Center'!H80,'#37-Shore Health Easton'!H80,'#38-UM Midtown'!H80,'#39-Calvert Memorial'!H80,'#40-Northwest'!H80,'#43-UM Baltimore Washington'!H80,'#44-GBMC'!H80,'#45-McCready'!H80,'#48-Howard County'!H80,'#49-UCH Upper Chesapeake'!H80,'#51-Doctors Community'!H80,'#55-Laurel Regional'!H80,'#60-Ft Washington'!H80,'#61-Atlantic General'!H80,'#62-Southern Maryland'!H80,'#2001-UM Rehab &amp; Ortho'!H80,'#2004-Good Samaritan'!H80,'#5034-Mt. Washington Pediatric'!H80,'#5050-Shady Grove Adventist'!H80)</f>
        <v>463747.95085748326</v>
      </c>
      <c r="I51" s="123">
        <f>SUM('#1-Meritus'!I80,'#2-UMMS'!I80,'#3-Prince George''s'!I80,'#4-Holy Cross'!I80,'#5-Frederick Memorial'!I80,'#6-Harford Memorial'!I80,'#7-St. Joseph'!I80,'#8-Mercy'!I80,'#9-Johns Hopkins'!I80,'#10-Shore Health Dorchester'!I80,'#11-St. Agnes'!I80,'#12-Sinai'!I80,'#13-Bon Secours'!I80,'#15-Franklin Square'!I80,'#16-Washington Adventist'!I80,'#17-Garrett County'!I80,'#18-Montgomery General'!I80,'#19-Pennisula General'!I80,'#22-Suburban'!I80,'#23-Anne Arundel Medical Center'!I80,'#24-Union Memorial'!I80,'#27-Western Maryland Regional'!I80,'#28-St. Mary''s'!I80,'#29-JH Bayview'!I80,'#30-Chester River'!I80,'#32-Union Cecil County'!I80,'#33-Carroll Hospital '!I80,'#34-Harbor Hospital'!I80,'#35-Civista Medical Center'!I80,'#37-Shore Health Easton'!I80,'#38-UM Midtown'!I80,'#39-Calvert Memorial'!I80,'#40-Northwest'!I80,'#43-UM Baltimore Washington'!I80,'#44-GBMC'!I80,'#45-McCready'!I80,'#48-Howard County'!I80,'#49-UCH Upper Chesapeake'!I80,'#51-Doctors Community'!I80,'#55-Laurel Regional'!I80,'#60-Ft Washington'!I80,'#61-Atlantic General'!I80,'#62-Southern Maryland'!I80,'#2001-UM Rehab &amp; Ortho'!I80,'#2004-Good Samaritan'!I80,'#5034-Mt. Washington Pediatric'!I80,'#5050-Shady Grove Adventist'!I80)</f>
        <v>76521.491555049521</v>
      </c>
      <c r="J51" s="123">
        <f>SUM('#1-Meritus'!J80,'#2-UMMS'!J80,'#3-Prince George''s'!J80,'#4-Holy Cross'!J80,'#5-Frederick Memorial'!J80,'#6-Harford Memorial'!J80,'#7-St. Joseph'!J80,'#8-Mercy'!J80,'#9-Johns Hopkins'!J80,'#10-Shore Health Dorchester'!J80,'#11-St. Agnes'!J80,'#12-Sinai'!J80,'#13-Bon Secours'!J80,'#15-Franklin Square'!J80,'#16-Washington Adventist'!J80,'#17-Garrett County'!J80,'#18-Montgomery General'!J80,'#19-Pennisula General'!J80,'#22-Suburban'!J80,'#23-Anne Arundel Medical Center'!J80,'#24-Union Memorial'!J80,'#27-Western Maryland Regional'!J80,'#28-St. Mary''s'!J80,'#29-JH Bayview'!J80,'#30-Chester River'!J80,'#32-Union Cecil County'!J80,'#33-Carroll Hospital '!J80,'#34-Harbor Hospital'!J80,'#35-Civista Medical Center'!J80,'#37-Shore Health Easton'!J80,'#38-UM Midtown'!J80,'#39-Calvert Memorial'!J80,'#40-Northwest'!J80,'#43-UM Baltimore Washington'!J80,'#44-GBMC'!J80,'#45-McCready'!J80,'#48-Howard County'!J80,'#49-UCH Upper Chesapeake'!J80,'#51-Doctors Community'!J80,'#55-Laurel Regional'!J80,'#60-Ft Washington'!J80,'#61-Atlantic General'!J80,'#62-Southern Maryland'!J80,'#2001-UM Rehab &amp; Ortho'!J80,'#2004-Good Samaritan'!J80,'#5034-Mt. Washington Pediatric'!J80,'#5050-Shady Grove Adventist'!J80)</f>
        <v>0</v>
      </c>
      <c r="K51" s="123">
        <f t="shared" si="11"/>
        <v>540269.44241253275</v>
      </c>
      <c r="L51" s="123">
        <f t="shared" si="12"/>
        <v>463747.95085748326</v>
      </c>
      <c r="M51" s="131"/>
      <c r="N51" s="131"/>
    </row>
    <row r="52" spans="1:14">
      <c r="A52" s="45"/>
      <c r="B52" s="45"/>
      <c r="C52" s="142"/>
      <c r="F52" s="143"/>
      <c r="G52" s="143"/>
      <c r="H52" s="143"/>
      <c r="I52" s="143"/>
      <c r="J52" s="143"/>
      <c r="K52" s="143"/>
      <c r="L52" s="128"/>
      <c r="M52" s="131"/>
      <c r="N52" s="131"/>
    </row>
    <row r="53" spans="1:14">
      <c r="A53" s="45" t="s">
        <v>317</v>
      </c>
      <c r="B53" s="45"/>
      <c r="C53" s="48" t="s">
        <v>53</v>
      </c>
      <c r="D53" s="142"/>
      <c r="E53" s="142"/>
      <c r="F53" s="138">
        <f>SUM(F48:F52)</f>
        <v>44651.546353430953</v>
      </c>
      <c r="G53" s="138">
        <f t="shared" ref="G53:L53" si="13">SUM(G48:G52)</f>
        <v>216699.5</v>
      </c>
      <c r="H53" s="138">
        <f t="shared" si="13"/>
        <v>19819593.20924291</v>
      </c>
      <c r="I53" s="138">
        <f t="shared" si="13"/>
        <v>605974.61423508101</v>
      </c>
      <c r="J53" s="138">
        <f t="shared" si="13"/>
        <v>373799</v>
      </c>
      <c r="K53" s="138">
        <f t="shared" si="13"/>
        <v>20051768.823477991</v>
      </c>
      <c r="L53" s="138">
        <f t="shared" si="13"/>
        <v>19445794.20924291</v>
      </c>
      <c r="M53" s="131"/>
      <c r="N53" s="131"/>
    </row>
    <row r="54" spans="1:14">
      <c r="A54" s="45"/>
      <c r="B54" s="45"/>
      <c r="C54" s="48"/>
      <c r="D54" s="142"/>
      <c r="E54" s="142"/>
      <c r="F54" s="144"/>
      <c r="G54" s="144"/>
      <c r="H54" s="144"/>
      <c r="I54" s="144"/>
      <c r="J54" s="144"/>
      <c r="K54" s="144"/>
      <c r="L54" s="144"/>
      <c r="M54" s="131"/>
      <c r="N54" s="131"/>
    </row>
    <row r="55" spans="1:14">
      <c r="A55" s="45"/>
      <c r="F55" s="129"/>
      <c r="G55" s="129"/>
      <c r="H55" s="130"/>
      <c r="I55" s="130"/>
      <c r="J55" s="130"/>
      <c r="K55" s="130"/>
      <c r="L55" s="130"/>
      <c r="M55" s="131"/>
      <c r="N55" s="131"/>
    </row>
    <row r="56" spans="1:14">
      <c r="A56" s="45"/>
      <c r="B56" s="45"/>
      <c r="C56" s="48"/>
      <c r="J56" s="114"/>
      <c r="K56" s="126"/>
      <c r="M56" s="131"/>
      <c r="N56" s="131"/>
    </row>
    <row r="57" spans="1:14" ht="41.25" customHeight="1">
      <c r="A57" s="48" t="s">
        <v>394</v>
      </c>
      <c r="B57" s="45"/>
      <c r="C57" s="43" t="s">
        <v>202</v>
      </c>
      <c r="F57" s="47" t="s">
        <v>145</v>
      </c>
      <c r="G57" s="47" t="s">
        <v>146</v>
      </c>
      <c r="H57" s="47" t="s">
        <v>385</v>
      </c>
      <c r="I57" s="47" t="s">
        <v>386</v>
      </c>
      <c r="J57" s="113" t="s">
        <v>382</v>
      </c>
      <c r="K57" s="125" t="s">
        <v>383</v>
      </c>
      <c r="L57" s="47" t="s">
        <v>384</v>
      </c>
      <c r="M57" s="131"/>
      <c r="N57" s="131"/>
    </row>
    <row r="58" spans="1:14">
      <c r="J58" s="114"/>
      <c r="K58" s="126"/>
      <c r="M58" s="131"/>
      <c r="N58" s="131"/>
    </row>
    <row r="59" spans="1:14">
      <c r="A59" s="45" t="s">
        <v>203</v>
      </c>
      <c r="B59" s="39"/>
      <c r="C59" s="43" t="s">
        <v>395</v>
      </c>
      <c r="F59" s="145">
        <f>SUM('#1-Meritus'!F86,'#2-UMMS'!F86,'#3-Prince George''s'!F86,'#4-Holy Cross'!F86,'#5-Frederick Memorial'!F86,'#6-Harford Memorial'!F86,'#7-St. Joseph'!F86,'#8-Mercy'!F86,'#9-Johns Hopkins'!F86,'#10-Shore Health Dorchester'!F86,'#11-St. Agnes'!F86,'#12-Sinai'!F86,'#13-Bon Secours'!F86,'#15-Franklin Square'!F86,'#16-Washington Adventist'!F86,'#17-Garrett County'!F86,'#18-Montgomery General'!F86,'#19-Pennisula General'!F86,'#22-Suburban'!F86,'#23-Anne Arundel Medical Center'!F86,'#24-Union Memorial'!F86,'#27-Western Maryland Regional'!F86,'#28-St. Mary''s'!F86,'#29-JH Bayview'!F86,'#30-Chester River'!F86,'#32-Union Cecil County'!F86,'#33-Carroll Hospital '!F86,'#34-Harbor Hospital'!F86,'#35-Civista Medical Center'!F86,'#37-Shore Health Easton'!F86,'#38-UM Midtown'!F86,'#39-Calvert Memorial'!F86,'#40-Northwest'!F86,'#43-UM Baltimore Washington'!F86,'#44-GBMC'!F86,'#45-McCready'!F86,'#48-Howard County'!F86,'#49-UCH Upper Chesapeake'!F86,'#51-Doctors Community'!F86,'#55-Laurel Regional'!F86,'#60-Ft Washington'!F86,'#61-Atlantic General'!F86,'#62-Southern Maryland'!F86,'#2001-UM Rehab &amp; Ortho'!F86,'#2004-Good Samaritan'!F86,'#5034-Mt. Washington Pediatric'!F86,'#5050-Shady Grove Adventist'!F86)</f>
        <v>9888</v>
      </c>
      <c r="G59" s="145">
        <f>SUM('#1-Meritus'!G86,'#2-UMMS'!G86,'#3-Prince George''s'!G86,'#4-Holy Cross'!G86,'#5-Frederick Memorial'!G86,'#6-Harford Memorial'!G86,'#7-St. Joseph'!G86,'#8-Mercy'!G86,'#9-Johns Hopkins'!G86,'#10-Shore Health Dorchester'!G86,'#11-St. Agnes'!G86,'#12-Sinai'!G86,'#13-Bon Secours'!G86,'#15-Franklin Square'!G86,'#16-Washington Adventist'!G86,'#17-Garrett County'!G86,'#18-Montgomery General'!G86,'#19-Pennisula General'!G86,'#22-Suburban'!G86,'#23-Anne Arundel Medical Center'!G86,'#24-Union Memorial'!G86,'#27-Western Maryland Regional'!G86,'#28-St. Mary''s'!G86,'#29-JH Bayview'!G86,'#30-Chester River'!G86,'#32-Union Cecil County'!G86,'#33-Carroll Hospital '!G86,'#34-Harbor Hospital'!G86,'#35-Civista Medical Center'!G86,'#37-Shore Health Easton'!G86,'#38-UM Midtown'!G86,'#39-Calvert Memorial'!G86,'#40-Northwest'!G86,'#43-UM Baltimore Washington'!G86,'#44-GBMC'!G86,'#45-McCready'!G86,'#48-Howard County'!G86,'#49-UCH Upper Chesapeake'!G86,'#51-Doctors Community'!G86,'#55-Laurel Regional'!G86,'#60-Ft Washington'!G86,'#61-Atlantic General'!G86,'#62-Southern Maryland'!G86,'#2001-UM Rehab &amp; Ortho'!G86,'#2004-Good Samaritan'!G86,'#5034-Mt. Washington Pediatric'!G86,'#5050-Shady Grove Adventist'!G86)</f>
        <v>314210</v>
      </c>
      <c r="H59" s="145">
        <f>SUM('#1-Meritus'!H86,'#2-UMMS'!H86,'#3-Prince George''s'!H86,'#4-Holy Cross'!H86,'#5-Frederick Memorial'!H86,'#6-Harford Memorial'!H86,'#7-St. Joseph'!H86,'#8-Mercy'!H86,'#9-Johns Hopkins'!H86,'#10-Shore Health Dorchester'!H86,'#11-St. Agnes'!H86,'#12-Sinai'!H86,'#13-Bon Secours'!H86,'#15-Franklin Square'!H86,'#16-Washington Adventist'!H86,'#17-Garrett County'!H86,'#18-Montgomery General'!H86,'#19-Pennisula General'!H86,'#22-Suburban'!H86,'#23-Anne Arundel Medical Center'!H86,'#24-Union Memorial'!H86,'#27-Western Maryland Regional'!H86,'#28-St. Mary''s'!H86,'#29-JH Bayview'!H86,'#30-Chester River'!H86,'#32-Union Cecil County'!H86,'#33-Carroll Hospital '!H86,'#34-Harbor Hospital'!H86,'#35-Civista Medical Center'!H86,'#37-Shore Health Easton'!H86,'#38-UM Midtown'!H86,'#39-Calvert Memorial'!H86,'#40-Northwest'!H86,'#43-UM Baltimore Washington'!H86,'#44-GBMC'!H86,'#45-McCready'!H86,'#48-Howard County'!H86,'#49-UCH Upper Chesapeake'!H86,'#51-Doctors Community'!H86,'#55-Laurel Regional'!H86,'#60-Ft Washington'!H86,'#61-Atlantic General'!H86,'#62-Southern Maryland'!H86,'#2001-UM Rehab &amp; Ortho'!H86,'#2004-Good Samaritan'!H86,'#5034-Mt. Washington Pediatric'!H86,'#5050-Shady Grove Adventist'!H86)</f>
        <v>4126382.3881307933</v>
      </c>
      <c r="I59" s="145">
        <f>SUM('#1-Meritus'!I86,'#2-UMMS'!I86,'#3-Prince George''s'!I86,'#4-Holy Cross'!I86,'#5-Frederick Memorial'!I86,'#6-Harford Memorial'!I86,'#7-St. Joseph'!I86,'#8-Mercy'!I86,'#9-Johns Hopkins'!I86,'#10-Shore Health Dorchester'!I86,'#11-St. Agnes'!I86,'#12-Sinai'!I86,'#13-Bon Secours'!I86,'#15-Franklin Square'!I86,'#16-Washington Adventist'!I86,'#17-Garrett County'!I86,'#18-Montgomery General'!I86,'#19-Pennisula General'!I86,'#22-Suburban'!I86,'#23-Anne Arundel Medical Center'!I86,'#24-Union Memorial'!I86,'#27-Western Maryland Regional'!I86,'#28-St. Mary''s'!I86,'#29-JH Bayview'!I86,'#30-Chester River'!I86,'#32-Union Cecil County'!I86,'#33-Carroll Hospital '!I86,'#34-Harbor Hospital'!I86,'#35-Civista Medical Center'!I86,'#37-Shore Health Easton'!I86,'#38-UM Midtown'!I86,'#39-Calvert Memorial'!I86,'#40-Northwest'!I86,'#43-UM Baltimore Washington'!I86,'#44-GBMC'!I86,'#45-McCready'!I86,'#48-Howard County'!I86,'#49-UCH Upper Chesapeake'!I86,'#51-Doctors Community'!I86,'#55-Laurel Regional'!I86,'#60-Ft Washington'!I86,'#61-Atlantic General'!I86,'#62-Southern Maryland'!I86,'#2001-UM Rehab &amp; Ortho'!I86,'#2004-Good Samaritan'!I86,'#5034-Mt. Washington Pediatric'!I86,'#5050-Shady Grove Adventist'!I86)</f>
        <v>656330.65439604979</v>
      </c>
      <c r="J59" s="145">
        <f>SUM('#1-Meritus'!J86,'#2-UMMS'!J86,'#3-Prince George''s'!J86,'#4-Holy Cross'!J86,'#5-Frederick Memorial'!J86,'#6-Harford Memorial'!J86,'#7-St. Joseph'!J86,'#8-Mercy'!J86,'#9-Johns Hopkins'!J86,'#10-Shore Health Dorchester'!J86,'#11-St. Agnes'!J86,'#12-Sinai'!J86,'#13-Bon Secours'!J86,'#15-Franklin Square'!J86,'#16-Washington Adventist'!J86,'#17-Garrett County'!J86,'#18-Montgomery General'!J86,'#19-Pennisula General'!J86,'#22-Suburban'!J86,'#23-Anne Arundel Medical Center'!J86,'#24-Union Memorial'!J86,'#27-Western Maryland Regional'!J86,'#28-St. Mary''s'!J86,'#29-JH Bayview'!J86,'#30-Chester River'!J86,'#32-Union Cecil County'!J86,'#33-Carroll Hospital '!J86,'#34-Harbor Hospital'!J86,'#35-Civista Medical Center'!J86,'#37-Shore Health Easton'!J86,'#38-UM Midtown'!J86,'#39-Calvert Memorial'!J86,'#40-Northwest'!J86,'#43-UM Baltimore Washington'!J86,'#44-GBMC'!J86,'#45-McCready'!J86,'#48-Howard County'!J86,'#49-UCH Upper Chesapeake'!J86,'#51-Doctors Community'!J86,'#55-Laurel Regional'!J86,'#60-Ft Washington'!J86,'#61-Atlantic General'!J86,'#62-Southern Maryland'!J86,'#2001-UM Rehab &amp; Ortho'!J86,'#2004-Good Samaritan'!J86,'#5034-Mt. Washington Pediatric'!J86,'#5050-Shady Grove Adventist'!J86)</f>
        <v>2805123</v>
      </c>
      <c r="K59" s="123">
        <f t="shared" ref="K59:K69" si="14">+H59+I59-J59</f>
        <v>1977590.042526843</v>
      </c>
      <c r="L59" s="123">
        <f t="shared" ref="L59:L69" si="15">+H59-J59</f>
        <v>1321259.3881307933</v>
      </c>
      <c r="M59" s="131"/>
      <c r="N59" s="131"/>
    </row>
    <row r="60" spans="1:14">
      <c r="A60" s="45" t="s">
        <v>205</v>
      </c>
      <c r="B60" s="48"/>
      <c r="C60" s="43" t="s">
        <v>206</v>
      </c>
      <c r="D60" s="43"/>
      <c r="E60" s="43"/>
      <c r="F60" s="145">
        <f>SUM('#1-Meritus'!F87,'#2-UMMS'!F87,'#3-Prince George''s'!F87,'#4-Holy Cross'!F87,'#5-Frederick Memorial'!F87,'#6-Harford Memorial'!F87,'#7-St. Joseph'!F87,'#8-Mercy'!F87,'#9-Johns Hopkins'!F87,'#10-Shore Health Dorchester'!F87,'#11-St. Agnes'!F87,'#12-Sinai'!F87,'#13-Bon Secours'!F87,'#15-Franklin Square'!F87,'#16-Washington Adventist'!F87,'#17-Garrett County'!F87,'#18-Montgomery General'!F87,'#19-Pennisula General'!F87,'#22-Suburban'!F87,'#23-Anne Arundel Medical Center'!F87,'#24-Union Memorial'!F87,'#27-Western Maryland Regional'!F87,'#28-St. Mary''s'!F87,'#29-JH Bayview'!F87,'#30-Chester River'!F87,'#32-Union Cecil County'!F87,'#33-Carroll Hospital '!F87,'#34-Harbor Hospital'!F87,'#35-Civista Medical Center'!F87,'#37-Shore Health Easton'!F87,'#38-UM Midtown'!F87,'#39-Calvert Memorial'!F87,'#40-Northwest'!F87,'#43-UM Baltimore Washington'!F87,'#44-GBMC'!F87,'#45-McCready'!F87,'#48-Howard County'!F87,'#49-UCH Upper Chesapeake'!F87,'#51-Doctors Community'!F87,'#55-Laurel Regional'!F87,'#60-Ft Washington'!F87,'#61-Atlantic General'!F87,'#62-Southern Maryland'!F87,'#2001-UM Rehab &amp; Ortho'!F87,'#2004-Good Samaritan'!F87,'#5034-Mt. Washington Pediatric'!F87,'#5050-Shady Grove Adventist'!F87)</f>
        <v>14315</v>
      </c>
      <c r="G60" s="145">
        <f>SUM('#1-Meritus'!G87,'#2-UMMS'!G87,'#3-Prince George''s'!G87,'#4-Holy Cross'!G87,'#5-Frederick Memorial'!G87,'#6-Harford Memorial'!G87,'#7-St. Joseph'!G87,'#8-Mercy'!G87,'#9-Johns Hopkins'!G87,'#10-Shore Health Dorchester'!G87,'#11-St. Agnes'!G87,'#12-Sinai'!G87,'#13-Bon Secours'!G87,'#15-Franklin Square'!G87,'#16-Washington Adventist'!G87,'#17-Garrett County'!G87,'#18-Montgomery General'!G87,'#19-Pennisula General'!G87,'#22-Suburban'!G87,'#23-Anne Arundel Medical Center'!G87,'#24-Union Memorial'!G87,'#27-Western Maryland Regional'!G87,'#28-St. Mary''s'!G87,'#29-JH Bayview'!G87,'#30-Chester River'!G87,'#32-Union Cecil County'!G87,'#33-Carroll Hospital '!G87,'#34-Harbor Hospital'!G87,'#35-Civista Medical Center'!G87,'#37-Shore Health Easton'!G87,'#38-UM Midtown'!G87,'#39-Calvert Memorial'!G87,'#40-Northwest'!G87,'#43-UM Baltimore Washington'!G87,'#44-GBMC'!G87,'#45-McCready'!G87,'#48-Howard County'!G87,'#49-UCH Upper Chesapeake'!G87,'#51-Doctors Community'!G87,'#55-Laurel Regional'!G87,'#60-Ft Washington'!G87,'#61-Atlantic General'!G87,'#62-Southern Maryland'!G87,'#2001-UM Rehab &amp; Ortho'!G87,'#2004-Good Samaritan'!G87,'#5034-Mt. Washington Pediatric'!G87,'#5050-Shady Grove Adventist'!G87)</f>
        <v>5128</v>
      </c>
      <c r="H60" s="145">
        <f>SUM('#1-Meritus'!H87,'#2-UMMS'!H87,'#3-Prince George''s'!H87,'#4-Holy Cross'!H87,'#5-Frederick Memorial'!H87,'#6-Harford Memorial'!H87,'#7-St. Joseph'!H87,'#8-Mercy'!H87,'#9-Johns Hopkins'!H87,'#10-Shore Health Dorchester'!H87,'#11-St. Agnes'!H87,'#12-Sinai'!H87,'#13-Bon Secours'!H87,'#15-Franklin Square'!H87,'#16-Washington Adventist'!H87,'#17-Garrett County'!H87,'#18-Montgomery General'!H87,'#19-Pennisula General'!H87,'#22-Suburban'!H87,'#23-Anne Arundel Medical Center'!H87,'#24-Union Memorial'!H87,'#27-Western Maryland Regional'!H87,'#28-St. Mary''s'!H87,'#29-JH Bayview'!H87,'#30-Chester River'!H87,'#32-Union Cecil County'!H87,'#33-Carroll Hospital '!H87,'#34-Harbor Hospital'!H87,'#35-Civista Medical Center'!H87,'#37-Shore Health Easton'!H87,'#38-UM Midtown'!H87,'#39-Calvert Memorial'!H87,'#40-Northwest'!H87,'#43-UM Baltimore Washington'!H87,'#44-GBMC'!H87,'#45-McCready'!H87,'#48-Howard County'!H87,'#49-UCH Upper Chesapeake'!H87,'#51-Doctors Community'!H87,'#55-Laurel Regional'!H87,'#60-Ft Washington'!H87,'#61-Atlantic General'!H87,'#62-Southern Maryland'!H87,'#2001-UM Rehab &amp; Ortho'!H87,'#2004-Good Samaritan'!H87,'#5034-Mt. Washington Pediatric'!H87,'#5050-Shady Grove Adventist'!H87)</f>
        <v>771370.40190343186</v>
      </c>
      <c r="I60" s="145">
        <f>SUM('#1-Meritus'!I87,'#2-UMMS'!I87,'#3-Prince George''s'!I87,'#4-Holy Cross'!I87,'#5-Frederick Memorial'!I87,'#6-Harford Memorial'!I87,'#7-St. Joseph'!I87,'#8-Mercy'!I87,'#9-Johns Hopkins'!I87,'#10-Shore Health Dorchester'!I87,'#11-St. Agnes'!I87,'#12-Sinai'!I87,'#13-Bon Secours'!I87,'#15-Franklin Square'!I87,'#16-Washington Adventist'!I87,'#17-Garrett County'!I87,'#18-Montgomery General'!I87,'#19-Pennisula General'!I87,'#22-Suburban'!I87,'#23-Anne Arundel Medical Center'!I87,'#24-Union Memorial'!I87,'#27-Western Maryland Regional'!I87,'#28-St. Mary''s'!I87,'#29-JH Bayview'!I87,'#30-Chester River'!I87,'#32-Union Cecil County'!I87,'#33-Carroll Hospital '!I87,'#34-Harbor Hospital'!I87,'#35-Civista Medical Center'!I87,'#37-Shore Health Easton'!I87,'#38-UM Midtown'!I87,'#39-Calvert Memorial'!I87,'#40-Northwest'!I87,'#43-UM Baltimore Washington'!I87,'#44-GBMC'!I87,'#45-McCready'!I87,'#48-Howard County'!I87,'#49-UCH Upper Chesapeake'!I87,'#51-Doctors Community'!I87,'#55-Laurel Regional'!I87,'#60-Ft Washington'!I87,'#61-Atlantic General'!I87,'#62-Southern Maryland'!I87,'#2001-UM Rehab &amp; Ortho'!I87,'#2004-Good Samaritan'!I87,'#5034-Mt. Washington Pediatric'!I87,'#5050-Shady Grove Adventist'!I87)</f>
        <v>413020.41473186854</v>
      </c>
      <c r="J60" s="145">
        <f>SUM('#1-Meritus'!J87,'#2-UMMS'!J87,'#3-Prince George''s'!J87,'#4-Holy Cross'!J87,'#5-Frederick Memorial'!J87,'#6-Harford Memorial'!J87,'#7-St. Joseph'!J87,'#8-Mercy'!J87,'#9-Johns Hopkins'!J87,'#10-Shore Health Dorchester'!J87,'#11-St. Agnes'!J87,'#12-Sinai'!J87,'#13-Bon Secours'!J87,'#15-Franklin Square'!J87,'#16-Washington Adventist'!J87,'#17-Garrett County'!J87,'#18-Montgomery General'!J87,'#19-Pennisula General'!J87,'#22-Suburban'!J87,'#23-Anne Arundel Medical Center'!J87,'#24-Union Memorial'!J87,'#27-Western Maryland Regional'!J87,'#28-St. Mary''s'!J87,'#29-JH Bayview'!J87,'#30-Chester River'!J87,'#32-Union Cecil County'!J87,'#33-Carroll Hospital '!J87,'#34-Harbor Hospital'!J87,'#35-Civista Medical Center'!J87,'#37-Shore Health Easton'!J87,'#38-UM Midtown'!J87,'#39-Calvert Memorial'!J87,'#40-Northwest'!J87,'#43-UM Baltimore Washington'!J87,'#44-GBMC'!J87,'#45-McCready'!J87,'#48-Howard County'!J87,'#49-UCH Upper Chesapeake'!J87,'#51-Doctors Community'!J87,'#55-Laurel Regional'!J87,'#60-Ft Washington'!J87,'#61-Atlantic General'!J87,'#62-Southern Maryland'!J87,'#2001-UM Rehab &amp; Ortho'!J87,'#2004-Good Samaritan'!J87,'#5034-Mt. Washington Pediatric'!J87,'#5050-Shady Grove Adventist'!J87)</f>
        <v>368164</v>
      </c>
      <c r="K60" s="123">
        <f t="shared" si="14"/>
        <v>816226.81663530041</v>
      </c>
      <c r="L60" s="123">
        <f t="shared" si="15"/>
        <v>403206.40190343186</v>
      </c>
      <c r="M60" s="131"/>
      <c r="N60" s="131"/>
    </row>
    <row r="61" spans="1:14">
      <c r="A61" s="45" t="s">
        <v>207</v>
      </c>
      <c r="B61" s="45"/>
      <c r="C61" s="43" t="s">
        <v>396</v>
      </c>
      <c r="D61" s="43"/>
      <c r="E61" s="43"/>
      <c r="F61" s="145">
        <f>SUM('#1-Meritus'!F88,'#2-UMMS'!F88,'#3-Prince George''s'!F88,'#4-Holy Cross'!F88,'#5-Frederick Memorial'!F88,'#6-Harford Memorial'!F88,'#7-St. Joseph'!F88,'#8-Mercy'!F88,'#9-Johns Hopkins'!F88,'#10-Shore Health Dorchester'!F88,'#11-St. Agnes'!F88,'#12-Sinai'!F88,'#13-Bon Secours'!F88,'#15-Franklin Square'!F88,'#16-Washington Adventist'!F88,'#17-Garrett County'!F88,'#18-Montgomery General'!F88,'#19-Pennisula General'!F88,'#22-Suburban'!F88,'#23-Anne Arundel Medical Center'!F88,'#24-Union Memorial'!F88,'#27-Western Maryland Regional'!F88,'#28-St. Mary''s'!F88,'#29-JH Bayview'!F88,'#30-Chester River'!F88,'#32-Union Cecil County'!F88,'#33-Carroll Hospital '!F88,'#34-Harbor Hospital'!F88,'#35-Civista Medical Center'!F88,'#37-Shore Health Easton'!F88,'#38-UM Midtown'!F88,'#39-Calvert Memorial'!F88,'#40-Northwest'!F88,'#43-UM Baltimore Washington'!F88,'#44-GBMC'!F88,'#45-McCready'!F88,'#48-Howard County'!F88,'#49-UCH Upper Chesapeake'!F88,'#51-Doctors Community'!F88,'#55-Laurel Regional'!F88,'#60-Ft Washington'!F88,'#61-Atlantic General'!F88,'#62-Southern Maryland'!F88,'#2001-UM Rehab &amp; Ortho'!F88,'#2004-Good Samaritan'!F88,'#5034-Mt. Washington Pediatric'!F88,'#5050-Shady Grove Adventist'!F88)</f>
        <v>52987.416666666664</v>
      </c>
      <c r="G61" s="145">
        <f>SUM('#1-Meritus'!G88,'#2-UMMS'!G88,'#3-Prince George''s'!G88,'#4-Holy Cross'!G88,'#5-Frederick Memorial'!G88,'#6-Harford Memorial'!G88,'#7-St. Joseph'!G88,'#8-Mercy'!G88,'#9-Johns Hopkins'!G88,'#10-Shore Health Dorchester'!G88,'#11-St. Agnes'!G88,'#12-Sinai'!G88,'#13-Bon Secours'!G88,'#15-Franklin Square'!G88,'#16-Washington Adventist'!G88,'#17-Garrett County'!G88,'#18-Montgomery General'!G88,'#19-Pennisula General'!G88,'#22-Suburban'!G88,'#23-Anne Arundel Medical Center'!G88,'#24-Union Memorial'!G88,'#27-Western Maryland Regional'!G88,'#28-St. Mary''s'!G88,'#29-JH Bayview'!G88,'#30-Chester River'!G88,'#32-Union Cecil County'!G88,'#33-Carroll Hospital '!G88,'#34-Harbor Hospital'!G88,'#35-Civista Medical Center'!G88,'#37-Shore Health Easton'!G88,'#38-UM Midtown'!G88,'#39-Calvert Memorial'!G88,'#40-Northwest'!G88,'#43-UM Baltimore Washington'!G88,'#44-GBMC'!G88,'#45-McCready'!G88,'#48-Howard County'!G88,'#49-UCH Upper Chesapeake'!G88,'#51-Doctors Community'!G88,'#55-Laurel Regional'!G88,'#60-Ft Washington'!G88,'#61-Atlantic General'!G88,'#62-Southern Maryland'!G88,'#2001-UM Rehab &amp; Ortho'!G88,'#2004-Good Samaritan'!G88,'#5034-Mt. Washington Pediatric'!G88,'#5050-Shady Grove Adventist'!G88)</f>
        <v>26672</v>
      </c>
      <c r="H61" s="145">
        <f>SUM('#1-Meritus'!H88,'#2-UMMS'!H88,'#3-Prince George''s'!H88,'#4-Holy Cross'!H88,'#5-Frederick Memorial'!H88,'#6-Harford Memorial'!H88,'#7-St. Joseph'!H88,'#8-Mercy'!H88,'#9-Johns Hopkins'!H88,'#10-Shore Health Dorchester'!H88,'#11-St. Agnes'!H88,'#12-Sinai'!H88,'#13-Bon Secours'!H88,'#15-Franklin Square'!H88,'#16-Washington Adventist'!H88,'#17-Garrett County'!H88,'#18-Montgomery General'!H88,'#19-Pennisula General'!H88,'#22-Suburban'!H88,'#23-Anne Arundel Medical Center'!H88,'#24-Union Memorial'!H88,'#27-Western Maryland Regional'!H88,'#28-St. Mary''s'!H88,'#29-JH Bayview'!H88,'#30-Chester River'!H88,'#32-Union Cecil County'!H88,'#33-Carroll Hospital '!H88,'#34-Harbor Hospital'!H88,'#35-Civista Medical Center'!H88,'#37-Shore Health Easton'!H88,'#38-UM Midtown'!H88,'#39-Calvert Memorial'!H88,'#40-Northwest'!H88,'#43-UM Baltimore Washington'!H88,'#44-GBMC'!H88,'#45-McCready'!H88,'#48-Howard County'!H88,'#49-UCH Upper Chesapeake'!H88,'#51-Doctors Community'!H88,'#55-Laurel Regional'!H88,'#60-Ft Washington'!H88,'#61-Atlantic General'!H88,'#62-Southern Maryland'!H88,'#2001-UM Rehab &amp; Ortho'!H88,'#2004-Good Samaritan'!H88,'#5034-Mt. Washington Pediatric'!H88,'#5050-Shady Grove Adventist'!H88)</f>
        <v>3027710.6777829803</v>
      </c>
      <c r="I61" s="145">
        <f>SUM('#1-Meritus'!I88,'#2-UMMS'!I88,'#3-Prince George''s'!I88,'#4-Holy Cross'!I88,'#5-Frederick Memorial'!I88,'#6-Harford Memorial'!I88,'#7-St. Joseph'!I88,'#8-Mercy'!I88,'#9-Johns Hopkins'!I88,'#10-Shore Health Dorchester'!I88,'#11-St. Agnes'!I88,'#12-Sinai'!I88,'#13-Bon Secours'!I88,'#15-Franklin Square'!I88,'#16-Washington Adventist'!I88,'#17-Garrett County'!I88,'#18-Montgomery General'!I88,'#19-Pennisula General'!I88,'#22-Suburban'!I88,'#23-Anne Arundel Medical Center'!I88,'#24-Union Memorial'!I88,'#27-Western Maryland Regional'!I88,'#28-St. Mary''s'!I88,'#29-JH Bayview'!I88,'#30-Chester River'!I88,'#32-Union Cecil County'!I88,'#33-Carroll Hospital '!I88,'#34-Harbor Hospital'!I88,'#35-Civista Medical Center'!I88,'#37-Shore Health Easton'!I88,'#38-UM Midtown'!I88,'#39-Calvert Memorial'!I88,'#40-Northwest'!I88,'#43-UM Baltimore Washington'!I88,'#44-GBMC'!I88,'#45-McCready'!I88,'#48-Howard County'!I88,'#49-UCH Upper Chesapeake'!I88,'#51-Doctors Community'!I88,'#55-Laurel Regional'!I88,'#60-Ft Washington'!I88,'#61-Atlantic General'!I88,'#62-Southern Maryland'!I88,'#2001-UM Rehab &amp; Ortho'!I88,'#2004-Good Samaritan'!I88,'#5034-Mt. Washington Pediatric'!I88,'#5050-Shady Grove Adventist'!I88)</f>
        <v>1667108.9566119066</v>
      </c>
      <c r="J61" s="145">
        <f>SUM('#1-Meritus'!J88,'#2-UMMS'!J88,'#3-Prince George''s'!J88,'#4-Holy Cross'!J88,'#5-Frederick Memorial'!J88,'#6-Harford Memorial'!J88,'#7-St. Joseph'!J88,'#8-Mercy'!J88,'#9-Johns Hopkins'!J88,'#10-Shore Health Dorchester'!J88,'#11-St. Agnes'!J88,'#12-Sinai'!J88,'#13-Bon Secours'!J88,'#15-Franklin Square'!J88,'#16-Washington Adventist'!J88,'#17-Garrett County'!J88,'#18-Montgomery General'!J88,'#19-Pennisula General'!J88,'#22-Suburban'!J88,'#23-Anne Arundel Medical Center'!J88,'#24-Union Memorial'!J88,'#27-Western Maryland Regional'!J88,'#28-St. Mary''s'!J88,'#29-JH Bayview'!J88,'#30-Chester River'!J88,'#32-Union Cecil County'!J88,'#33-Carroll Hospital '!J88,'#34-Harbor Hospital'!J88,'#35-Civista Medical Center'!J88,'#37-Shore Health Easton'!J88,'#38-UM Midtown'!J88,'#39-Calvert Memorial'!J88,'#40-Northwest'!J88,'#43-UM Baltimore Washington'!J88,'#44-GBMC'!J88,'#45-McCready'!J88,'#48-Howard County'!J88,'#49-UCH Upper Chesapeake'!J88,'#51-Doctors Community'!J88,'#55-Laurel Regional'!J88,'#60-Ft Washington'!J88,'#61-Atlantic General'!J88,'#62-Southern Maryland'!J88,'#2001-UM Rehab &amp; Ortho'!J88,'#2004-Good Samaritan'!J88,'#5034-Mt. Washington Pediatric'!J88,'#5050-Shady Grove Adventist'!J88)</f>
        <v>666886</v>
      </c>
      <c r="K61" s="123">
        <f t="shared" si="14"/>
        <v>4027933.6343948869</v>
      </c>
      <c r="L61" s="123">
        <f t="shared" si="15"/>
        <v>2360824.6777829803</v>
      </c>
      <c r="M61" s="131"/>
      <c r="N61" s="131"/>
    </row>
    <row r="62" spans="1:14">
      <c r="A62" s="45" t="s">
        <v>209</v>
      </c>
      <c r="B62" s="45"/>
      <c r="C62" s="43" t="s">
        <v>210</v>
      </c>
      <c r="D62" s="43"/>
      <c r="E62" s="43"/>
      <c r="F62" s="145">
        <f>SUM('#1-Meritus'!F89,'#2-UMMS'!F89,'#3-Prince George''s'!F89,'#4-Holy Cross'!F89,'#5-Frederick Memorial'!F89,'#6-Harford Memorial'!F89,'#7-St. Joseph'!F89,'#8-Mercy'!F89,'#9-Johns Hopkins'!F89,'#10-Shore Health Dorchester'!F89,'#11-St. Agnes'!F89,'#12-Sinai'!F89,'#13-Bon Secours'!F89,'#15-Franklin Square'!F89,'#16-Washington Adventist'!F89,'#17-Garrett County'!F89,'#18-Montgomery General'!F89,'#19-Pennisula General'!F89,'#22-Suburban'!F89,'#23-Anne Arundel Medical Center'!F89,'#24-Union Memorial'!F89,'#27-Western Maryland Regional'!F89,'#28-St. Mary''s'!F89,'#29-JH Bayview'!F89,'#30-Chester River'!F89,'#32-Union Cecil County'!F89,'#33-Carroll Hospital '!F89,'#34-Harbor Hospital'!F89,'#35-Civista Medical Center'!F89,'#37-Shore Health Easton'!F89,'#38-UM Midtown'!F89,'#39-Calvert Memorial'!F89,'#40-Northwest'!F89,'#43-UM Baltimore Washington'!F89,'#44-GBMC'!F89,'#45-McCready'!F89,'#48-Howard County'!F89,'#49-UCH Upper Chesapeake'!F89,'#51-Doctors Community'!F89,'#55-Laurel Regional'!F89,'#60-Ft Washington'!F89,'#61-Atlantic General'!F89,'#62-Southern Maryland'!F89,'#2001-UM Rehab &amp; Ortho'!F89,'#2004-Good Samaritan'!F89,'#5034-Mt. Washington Pediatric'!F89,'#5050-Shady Grove Adventist'!F89)</f>
        <v>12903</v>
      </c>
      <c r="G62" s="145">
        <f>SUM('#1-Meritus'!G89,'#2-UMMS'!G89,'#3-Prince George''s'!G89,'#4-Holy Cross'!G89,'#5-Frederick Memorial'!G89,'#6-Harford Memorial'!G89,'#7-St. Joseph'!G89,'#8-Mercy'!G89,'#9-Johns Hopkins'!G89,'#10-Shore Health Dorchester'!G89,'#11-St. Agnes'!G89,'#12-Sinai'!G89,'#13-Bon Secours'!G89,'#15-Franklin Square'!G89,'#16-Washington Adventist'!G89,'#17-Garrett County'!G89,'#18-Montgomery General'!G89,'#19-Pennisula General'!G89,'#22-Suburban'!G89,'#23-Anne Arundel Medical Center'!G89,'#24-Union Memorial'!G89,'#27-Western Maryland Regional'!G89,'#28-St. Mary''s'!G89,'#29-JH Bayview'!G89,'#30-Chester River'!G89,'#32-Union Cecil County'!G89,'#33-Carroll Hospital '!G89,'#34-Harbor Hospital'!G89,'#35-Civista Medical Center'!G89,'#37-Shore Health Easton'!G89,'#38-UM Midtown'!G89,'#39-Calvert Memorial'!G89,'#40-Northwest'!G89,'#43-UM Baltimore Washington'!G89,'#44-GBMC'!G89,'#45-McCready'!G89,'#48-Howard County'!G89,'#49-UCH Upper Chesapeake'!G89,'#51-Doctors Community'!G89,'#55-Laurel Regional'!G89,'#60-Ft Washington'!G89,'#61-Atlantic General'!G89,'#62-Southern Maryland'!G89,'#2001-UM Rehab &amp; Ortho'!G89,'#2004-Good Samaritan'!G89,'#5034-Mt. Washington Pediatric'!G89,'#5050-Shady Grove Adventist'!G89)</f>
        <v>6578</v>
      </c>
      <c r="H62" s="145">
        <f>SUM('#1-Meritus'!H89,'#2-UMMS'!H89,'#3-Prince George''s'!H89,'#4-Holy Cross'!H89,'#5-Frederick Memorial'!H89,'#6-Harford Memorial'!H89,'#7-St. Joseph'!H89,'#8-Mercy'!H89,'#9-Johns Hopkins'!H89,'#10-Shore Health Dorchester'!H89,'#11-St. Agnes'!H89,'#12-Sinai'!H89,'#13-Bon Secours'!H89,'#15-Franklin Square'!H89,'#16-Washington Adventist'!H89,'#17-Garrett County'!H89,'#18-Montgomery General'!H89,'#19-Pennisula General'!H89,'#22-Suburban'!H89,'#23-Anne Arundel Medical Center'!H89,'#24-Union Memorial'!H89,'#27-Western Maryland Regional'!H89,'#28-St. Mary''s'!H89,'#29-JH Bayview'!H89,'#30-Chester River'!H89,'#32-Union Cecil County'!H89,'#33-Carroll Hospital '!H89,'#34-Harbor Hospital'!H89,'#35-Civista Medical Center'!H89,'#37-Shore Health Easton'!H89,'#38-UM Midtown'!H89,'#39-Calvert Memorial'!H89,'#40-Northwest'!H89,'#43-UM Baltimore Washington'!H89,'#44-GBMC'!H89,'#45-McCready'!H89,'#48-Howard County'!H89,'#49-UCH Upper Chesapeake'!H89,'#51-Doctors Community'!H89,'#55-Laurel Regional'!H89,'#60-Ft Washington'!H89,'#61-Atlantic General'!H89,'#62-Southern Maryland'!H89,'#2001-UM Rehab &amp; Ortho'!H89,'#2004-Good Samaritan'!H89,'#5034-Mt. Washington Pediatric'!H89,'#5050-Shady Grove Adventist'!H89)</f>
        <v>616871.33408000006</v>
      </c>
      <c r="I62" s="145">
        <f>SUM('#1-Meritus'!I89,'#2-UMMS'!I89,'#3-Prince George''s'!I89,'#4-Holy Cross'!I89,'#5-Frederick Memorial'!I89,'#6-Harford Memorial'!I89,'#7-St. Joseph'!I89,'#8-Mercy'!I89,'#9-Johns Hopkins'!I89,'#10-Shore Health Dorchester'!I89,'#11-St. Agnes'!I89,'#12-Sinai'!I89,'#13-Bon Secours'!I89,'#15-Franklin Square'!I89,'#16-Washington Adventist'!I89,'#17-Garrett County'!I89,'#18-Montgomery General'!I89,'#19-Pennisula General'!I89,'#22-Suburban'!I89,'#23-Anne Arundel Medical Center'!I89,'#24-Union Memorial'!I89,'#27-Western Maryland Regional'!I89,'#28-St. Mary''s'!I89,'#29-JH Bayview'!I89,'#30-Chester River'!I89,'#32-Union Cecil County'!I89,'#33-Carroll Hospital '!I89,'#34-Harbor Hospital'!I89,'#35-Civista Medical Center'!I89,'#37-Shore Health Easton'!I89,'#38-UM Midtown'!I89,'#39-Calvert Memorial'!I89,'#40-Northwest'!I89,'#43-UM Baltimore Washington'!I89,'#44-GBMC'!I89,'#45-McCready'!I89,'#48-Howard County'!I89,'#49-UCH Upper Chesapeake'!I89,'#51-Doctors Community'!I89,'#55-Laurel Regional'!I89,'#60-Ft Washington'!I89,'#61-Atlantic General'!I89,'#62-Southern Maryland'!I89,'#2001-UM Rehab &amp; Ortho'!I89,'#2004-Good Samaritan'!I89,'#5034-Mt. Washington Pediatric'!I89,'#5050-Shady Grove Adventist'!I89)</f>
        <v>322084.17945622874</v>
      </c>
      <c r="J62" s="145">
        <f>SUM('#1-Meritus'!J89,'#2-UMMS'!J89,'#3-Prince George''s'!J89,'#4-Holy Cross'!J89,'#5-Frederick Memorial'!J89,'#6-Harford Memorial'!J89,'#7-St. Joseph'!J89,'#8-Mercy'!J89,'#9-Johns Hopkins'!J89,'#10-Shore Health Dorchester'!J89,'#11-St. Agnes'!J89,'#12-Sinai'!J89,'#13-Bon Secours'!J89,'#15-Franklin Square'!J89,'#16-Washington Adventist'!J89,'#17-Garrett County'!J89,'#18-Montgomery General'!J89,'#19-Pennisula General'!J89,'#22-Suburban'!J89,'#23-Anne Arundel Medical Center'!J89,'#24-Union Memorial'!J89,'#27-Western Maryland Regional'!J89,'#28-St. Mary''s'!J89,'#29-JH Bayview'!J89,'#30-Chester River'!J89,'#32-Union Cecil County'!J89,'#33-Carroll Hospital '!J89,'#34-Harbor Hospital'!J89,'#35-Civista Medical Center'!J89,'#37-Shore Health Easton'!J89,'#38-UM Midtown'!J89,'#39-Calvert Memorial'!J89,'#40-Northwest'!J89,'#43-UM Baltimore Washington'!J89,'#44-GBMC'!J89,'#45-McCready'!J89,'#48-Howard County'!J89,'#49-UCH Upper Chesapeake'!J89,'#51-Doctors Community'!J89,'#55-Laurel Regional'!J89,'#60-Ft Washington'!J89,'#61-Atlantic General'!J89,'#62-Southern Maryland'!J89,'#2001-UM Rehab &amp; Ortho'!J89,'#2004-Good Samaritan'!J89,'#5034-Mt. Washington Pediatric'!J89,'#5050-Shady Grove Adventist'!J89)</f>
        <v>0</v>
      </c>
      <c r="K62" s="123">
        <f t="shared" si="14"/>
        <v>938955.5135362288</v>
      </c>
      <c r="L62" s="123">
        <f t="shared" si="15"/>
        <v>616871.33408000006</v>
      </c>
      <c r="M62" s="131"/>
      <c r="N62" s="131"/>
    </row>
    <row r="63" spans="1:14">
      <c r="A63" s="45" t="s">
        <v>211</v>
      </c>
      <c r="B63" s="45"/>
      <c r="C63" s="122" t="s">
        <v>212</v>
      </c>
      <c r="D63" s="43"/>
      <c r="E63" s="43"/>
      <c r="F63" s="145">
        <f>SUM('#1-Meritus'!F90,'#2-UMMS'!F90,'#3-Prince George''s'!F90,'#4-Holy Cross'!F90,'#5-Frederick Memorial'!F90,'#6-Harford Memorial'!F90,'#7-St. Joseph'!F90,'#8-Mercy'!F90,'#9-Johns Hopkins'!F90,'#10-Shore Health Dorchester'!F90,'#11-St. Agnes'!F90,'#12-Sinai'!F90,'#13-Bon Secours'!F90,'#15-Franklin Square'!F90,'#16-Washington Adventist'!F90,'#17-Garrett County'!F90,'#18-Montgomery General'!F90,'#19-Pennisula General'!F90,'#22-Suburban'!F90,'#23-Anne Arundel Medical Center'!F90,'#24-Union Memorial'!F90,'#27-Western Maryland Regional'!F90,'#28-St. Mary''s'!F90,'#29-JH Bayview'!F90,'#30-Chester River'!F90,'#32-Union Cecil County'!F90,'#33-Carroll Hospital '!F90,'#34-Harbor Hospital'!F90,'#35-Civista Medical Center'!F90,'#37-Shore Health Easton'!F90,'#38-UM Midtown'!F90,'#39-Calvert Memorial'!F90,'#40-Northwest'!F90,'#43-UM Baltimore Washington'!F90,'#44-GBMC'!F90,'#45-McCready'!F90,'#48-Howard County'!F90,'#49-UCH Upper Chesapeake'!F90,'#51-Doctors Community'!F90,'#55-Laurel Regional'!F90,'#60-Ft Washington'!F90,'#61-Atlantic General'!F90,'#62-Southern Maryland'!F90,'#2001-UM Rehab &amp; Ortho'!F90,'#2004-Good Samaritan'!F90,'#5034-Mt. Washington Pediatric'!F90,'#5050-Shady Grove Adventist'!F90)</f>
        <v>3339.75</v>
      </c>
      <c r="G63" s="145">
        <f>SUM('#1-Meritus'!G90,'#2-UMMS'!G90,'#3-Prince George''s'!G90,'#4-Holy Cross'!G90,'#5-Frederick Memorial'!G90,'#6-Harford Memorial'!G90,'#7-St. Joseph'!G90,'#8-Mercy'!G90,'#9-Johns Hopkins'!G90,'#10-Shore Health Dorchester'!G90,'#11-St. Agnes'!G90,'#12-Sinai'!G90,'#13-Bon Secours'!G90,'#15-Franklin Square'!G90,'#16-Washington Adventist'!G90,'#17-Garrett County'!G90,'#18-Montgomery General'!G90,'#19-Pennisula General'!G90,'#22-Suburban'!G90,'#23-Anne Arundel Medical Center'!G90,'#24-Union Memorial'!G90,'#27-Western Maryland Regional'!G90,'#28-St. Mary''s'!G90,'#29-JH Bayview'!G90,'#30-Chester River'!G90,'#32-Union Cecil County'!G90,'#33-Carroll Hospital '!G90,'#34-Harbor Hospital'!G90,'#35-Civista Medical Center'!G90,'#37-Shore Health Easton'!G90,'#38-UM Midtown'!G90,'#39-Calvert Memorial'!G90,'#40-Northwest'!G90,'#43-UM Baltimore Washington'!G90,'#44-GBMC'!G90,'#45-McCready'!G90,'#48-Howard County'!G90,'#49-UCH Upper Chesapeake'!G90,'#51-Doctors Community'!G90,'#55-Laurel Regional'!G90,'#60-Ft Washington'!G90,'#61-Atlantic General'!G90,'#62-Southern Maryland'!G90,'#2001-UM Rehab &amp; Ortho'!G90,'#2004-Good Samaritan'!G90,'#5034-Mt. Washington Pediatric'!G90,'#5050-Shady Grove Adventist'!G90)</f>
        <v>2237</v>
      </c>
      <c r="H63" s="145">
        <f>SUM('#1-Meritus'!H90,'#2-UMMS'!H90,'#3-Prince George''s'!H90,'#4-Holy Cross'!H90,'#5-Frederick Memorial'!H90,'#6-Harford Memorial'!H90,'#7-St. Joseph'!H90,'#8-Mercy'!H90,'#9-Johns Hopkins'!H90,'#10-Shore Health Dorchester'!H90,'#11-St. Agnes'!H90,'#12-Sinai'!H90,'#13-Bon Secours'!H90,'#15-Franklin Square'!H90,'#16-Washington Adventist'!H90,'#17-Garrett County'!H90,'#18-Montgomery General'!H90,'#19-Pennisula General'!H90,'#22-Suburban'!H90,'#23-Anne Arundel Medical Center'!H90,'#24-Union Memorial'!H90,'#27-Western Maryland Regional'!H90,'#28-St. Mary''s'!H90,'#29-JH Bayview'!H90,'#30-Chester River'!H90,'#32-Union Cecil County'!H90,'#33-Carroll Hospital '!H90,'#34-Harbor Hospital'!H90,'#35-Civista Medical Center'!H90,'#37-Shore Health Easton'!H90,'#38-UM Midtown'!H90,'#39-Calvert Memorial'!H90,'#40-Northwest'!H90,'#43-UM Baltimore Washington'!H90,'#44-GBMC'!H90,'#45-McCready'!H90,'#48-Howard County'!H90,'#49-UCH Upper Chesapeake'!H90,'#51-Doctors Community'!H90,'#55-Laurel Regional'!H90,'#60-Ft Washington'!H90,'#61-Atlantic General'!H90,'#62-Southern Maryland'!H90,'#2001-UM Rehab &amp; Ortho'!H90,'#2004-Good Samaritan'!H90,'#5034-Mt. Washington Pediatric'!H90,'#5050-Shady Grove Adventist'!H90)</f>
        <v>148407.60052799998</v>
      </c>
      <c r="I63" s="145">
        <f>SUM('#1-Meritus'!I90,'#2-UMMS'!I90,'#3-Prince George''s'!I90,'#4-Holy Cross'!I90,'#5-Frederick Memorial'!I90,'#6-Harford Memorial'!I90,'#7-St. Joseph'!I90,'#8-Mercy'!I90,'#9-Johns Hopkins'!I90,'#10-Shore Health Dorchester'!I90,'#11-St. Agnes'!I90,'#12-Sinai'!I90,'#13-Bon Secours'!I90,'#15-Franklin Square'!I90,'#16-Washington Adventist'!I90,'#17-Garrett County'!I90,'#18-Montgomery General'!I90,'#19-Pennisula General'!I90,'#22-Suburban'!I90,'#23-Anne Arundel Medical Center'!I90,'#24-Union Memorial'!I90,'#27-Western Maryland Regional'!I90,'#28-St. Mary''s'!I90,'#29-JH Bayview'!I90,'#30-Chester River'!I90,'#32-Union Cecil County'!I90,'#33-Carroll Hospital '!I90,'#34-Harbor Hospital'!I90,'#35-Civista Medical Center'!I90,'#37-Shore Health Easton'!I90,'#38-UM Midtown'!I90,'#39-Calvert Memorial'!I90,'#40-Northwest'!I90,'#43-UM Baltimore Washington'!I90,'#44-GBMC'!I90,'#45-McCready'!I90,'#48-Howard County'!I90,'#49-UCH Upper Chesapeake'!I90,'#51-Doctors Community'!I90,'#55-Laurel Regional'!I90,'#60-Ft Washington'!I90,'#61-Atlantic General'!I90,'#62-Southern Maryland'!I90,'#2001-UM Rehab &amp; Ortho'!I90,'#2004-Good Samaritan'!I90,'#5034-Mt. Washington Pediatric'!I90,'#5050-Shady Grove Adventist'!I90)</f>
        <v>95396.570670488785</v>
      </c>
      <c r="J63" s="145">
        <f>SUM('#1-Meritus'!J90,'#2-UMMS'!J90,'#3-Prince George''s'!J90,'#4-Holy Cross'!J90,'#5-Frederick Memorial'!J90,'#6-Harford Memorial'!J90,'#7-St. Joseph'!J90,'#8-Mercy'!J90,'#9-Johns Hopkins'!J90,'#10-Shore Health Dorchester'!J90,'#11-St. Agnes'!J90,'#12-Sinai'!J90,'#13-Bon Secours'!J90,'#15-Franklin Square'!J90,'#16-Washington Adventist'!J90,'#17-Garrett County'!J90,'#18-Montgomery General'!J90,'#19-Pennisula General'!J90,'#22-Suburban'!J90,'#23-Anne Arundel Medical Center'!J90,'#24-Union Memorial'!J90,'#27-Western Maryland Regional'!J90,'#28-St. Mary''s'!J90,'#29-JH Bayview'!J90,'#30-Chester River'!J90,'#32-Union Cecil County'!J90,'#33-Carroll Hospital '!J90,'#34-Harbor Hospital'!J90,'#35-Civista Medical Center'!J90,'#37-Shore Health Easton'!J90,'#38-UM Midtown'!J90,'#39-Calvert Memorial'!J90,'#40-Northwest'!J90,'#43-UM Baltimore Washington'!J90,'#44-GBMC'!J90,'#45-McCready'!J90,'#48-Howard County'!J90,'#49-UCH Upper Chesapeake'!J90,'#51-Doctors Community'!J90,'#55-Laurel Regional'!J90,'#60-Ft Washington'!J90,'#61-Atlantic General'!J90,'#62-Southern Maryland'!J90,'#2001-UM Rehab &amp; Ortho'!J90,'#2004-Good Samaritan'!J90,'#5034-Mt. Washington Pediatric'!J90,'#5050-Shady Grove Adventist'!J90)</f>
        <v>0</v>
      </c>
      <c r="K63" s="123">
        <f t="shared" si="14"/>
        <v>243804.17119848877</v>
      </c>
      <c r="L63" s="123">
        <f t="shared" si="15"/>
        <v>148407.60052799998</v>
      </c>
      <c r="M63" s="131"/>
      <c r="N63" s="131"/>
    </row>
    <row r="64" spans="1:14">
      <c r="A64" s="45" t="s">
        <v>213</v>
      </c>
      <c r="B64" s="45"/>
      <c r="C64" s="43" t="s">
        <v>214</v>
      </c>
      <c r="D64" s="146"/>
      <c r="E64" s="146"/>
      <c r="F64" s="145">
        <f>SUM('#1-Meritus'!F91,'#2-UMMS'!F91,'#3-Prince George''s'!F91,'#4-Holy Cross'!F91,'#5-Frederick Memorial'!F91,'#6-Harford Memorial'!F91,'#7-St. Joseph'!F91,'#8-Mercy'!F91,'#9-Johns Hopkins'!F91,'#10-Shore Health Dorchester'!F91,'#11-St. Agnes'!F91,'#12-Sinai'!F91,'#13-Bon Secours'!F91,'#15-Franklin Square'!F91,'#16-Washington Adventist'!F91,'#17-Garrett County'!F91,'#18-Montgomery General'!F91,'#19-Pennisula General'!F91,'#22-Suburban'!F91,'#23-Anne Arundel Medical Center'!F91,'#24-Union Memorial'!F91,'#27-Western Maryland Regional'!F91,'#28-St. Mary''s'!F91,'#29-JH Bayview'!F91,'#30-Chester River'!F91,'#32-Union Cecil County'!F91,'#33-Carroll Hospital '!F91,'#34-Harbor Hospital'!F91,'#35-Civista Medical Center'!F91,'#37-Shore Health Easton'!F91,'#38-UM Midtown'!F91,'#39-Calvert Memorial'!F91,'#40-Northwest'!F91,'#43-UM Baltimore Washington'!F91,'#44-GBMC'!F91,'#45-McCready'!F91,'#48-Howard County'!F91,'#49-UCH Upper Chesapeake'!F91,'#51-Doctors Community'!F91,'#55-Laurel Regional'!F91,'#60-Ft Washington'!F91,'#61-Atlantic General'!F91,'#62-Southern Maryland'!F91,'#2001-UM Rehab &amp; Ortho'!F91,'#2004-Good Samaritan'!F91,'#5034-Mt. Washington Pediatric'!F91,'#5050-Shady Grove Adventist'!F91)</f>
        <v>10527.495663090618</v>
      </c>
      <c r="G64" s="145">
        <f>SUM('#1-Meritus'!G91,'#2-UMMS'!G91,'#3-Prince George''s'!G91,'#4-Holy Cross'!G91,'#5-Frederick Memorial'!G91,'#6-Harford Memorial'!G91,'#7-St. Joseph'!G91,'#8-Mercy'!G91,'#9-Johns Hopkins'!G91,'#10-Shore Health Dorchester'!G91,'#11-St. Agnes'!G91,'#12-Sinai'!G91,'#13-Bon Secours'!G91,'#15-Franklin Square'!G91,'#16-Washington Adventist'!G91,'#17-Garrett County'!G91,'#18-Montgomery General'!G91,'#19-Pennisula General'!G91,'#22-Suburban'!G91,'#23-Anne Arundel Medical Center'!G91,'#24-Union Memorial'!G91,'#27-Western Maryland Regional'!G91,'#28-St. Mary''s'!G91,'#29-JH Bayview'!G91,'#30-Chester River'!G91,'#32-Union Cecil County'!G91,'#33-Carroll Hospital '!G91,'#34-Harbor Hospital'!G91,'#35-Civista Medical Center'!G91,'#37-Shore Health Easton'!G91,'#38-UM Midtown'!G91,'#39-Calvert Memorial'!G91,'#40-Northwest'!G91,'#43-UM Baltimore Washington'!G91,'#44-GBMC'!G91,'#45-McCready'!G91,'#48-Howard County'!G91,'#49-UCH Upper Chesapeake'!G91,'#51-Doctors Community'!G91,'#55-Laurel Regional'!G91,'#60-Ft Washington'!G91,'#61-Atlantic General'!G91,'#62-Southern Maryland'!G91,'#2001-UM Rehab &amp; Ortho'!G91,'#2004-Good Samaritan'!G91,'#5034-Mt. Washington Pediatric'!G91,'#5050-Shady Grove Adventist'!G91)</f>
        <v>22717</v>
      </c>
      <c r="H64" s="145">
        <f>SUM('#1-Meritus'!H91,'#2-UMMS'!H91,'#3-Prince George''s'!H91,'#4-Holy Cross'!H91,'#5-Frederick Memorial'!H91,'#6-Harford Memorial'!H91,'#7-St. Joseph'!H91,'#8-Mercy'!H91,'#9-Johns Hopkins'!H91,'#10-Shore Health Dorchester'!H91,'#11-St. Agnes'!H91,'#12-Sinai'!H91,'#13-Bon Secours'!H91,'#15-Franklin Square'!H91,'#16-Washington Adventist'!H91,'#17-Garrett County'!H91,'#18-Montgomery General'!H91,'#19-Pennisula General'!H91,'#22-Suburban'!H91,'#23-Anne Arundel Medical Center'!H91,'#24-Union Memorial'!H91,'#27-Western Maryland Regional'!H91,'#28-St. Mary''s'!H91,'#29-JH Bayview'!H91,'#30-Chester River'!H91,'#32-Union Cecil County'!H91,'#33-Carroll Hospital '!H91,'#34-Harbor Hospital'!H91,'#35-Civista Medical Center'!H91,'#37-Shore Health Easton'!H91,'#38-UM Midtown'!H91,'#39-Calvert Memorial'!H91,'#40-Northwest'!H91,'#43-UM Baltimore Washington'!H91,'#44-GBMC'!H91,'#45-McCready'!H91,'#48-Howard County'!H91,'#49-UCH Upper Chesapeake'!H91,'#51-Doctors Community'!H91,'#55-Laurel Regional'!H91,'#60-Ft Washington'!H91,'#61-Atlantic General'!H91,'#62-Southern Maryland'!H91,'#2001-UM Rehab &amp; Ortho'!H91,'#2004-Good Samaritan'!H91,'#5034-Mt. Washington Pediatric'!H91,'#5050-Shady Grove Adventist'!H91)</f>
        <v>863034.34139864624</v>
      </c>
      <c r="I64" s="145">
        <f>SUM('#1-Meritus'!I91,'#2-UMMS'!I91,'#3-Prince George''s'!I91,'#4-Holy Cross'!I91,'#5-Frederick Memorial'!I91,'#6-Harford Memorial'!I91,'#7-St. Joseph'!I91,'#8-Mercy'!I91,'#9-Johns Hopkins'!I91,'#10-Shore Health Dorchester'!I91,'#11-St. Agnes'!I91,'#12-Sinai'!I91,'#13-Bon Secours'!I91,'#15-Franklin Square'!I91,'#16-Washington Adventist'!I91,'#17-Garrett County'!I91,'#18-Montgomery General'!I91,'#19-Pennisula General'!I91,'#22-Suburban'!I91,'#23-Anne Arundel Medical Center'!I91,'#24-Union Memorial'!I91,'#27-Western Maryland Regional'!I91,'#28-St. Mary''s'!I91,'#29-JH Bayview'!I91,'#30-Chester River'!I91,'#32-Union Cecil County'!I91,'#33-Carroll Hospital '!I91,'#34-Harbor Hospital'!I91,'#35-Civista Medical Center'!I91,'#37-Shore Health Easton'!I91,'#38-UM Midtown'!I91,'#39-Calvert Memorial'!I91,'#40-Northwest'!I91,'#43-UM Baltimore Washington'!I91,'#44-GBMC'!I91,'#45-McCready'!I91,'#48-Howard County'!I91,'#49-UCH Upper Chesapeake'!I91,'#51-Doctors Community'!I91,'#55-Laurel Regional'!I91,'#60-Ft Washington'!I91,'#61-Atlantic General'!I91,'#62-Southern Maryland'!I91,'#2001-UM Rehab &amp; Ortho'!I91,'#2004-Good Samaritan'!I91,'#5034-Mt. Washington Pediatric'!I91,'#5050-Shady Grove Adventist'!I91)</f>
        <v>494421.82630101219</v>
      </c>
      <c r="J64" s="145">
        <f>SUM('#1-Meritus'!J91,'#2-UMMS'!J91,'#3-Prince George''s'!J91,'#4-Holy Cross'!J91,'#5-Frederick Memorial'!J91,'#6-Harford Memorial'!J91,'#7-St. Joseph'!J91,'#8-Mercy'!J91,'#9-Johns Hopkins'!J91,'#10-Shore Health Dorchester'!J91,'#11-St. Agnes'!J91,'#12-Sinai'!J91,'#13-Bon Secours'!J91,'#15-Franklin Square'!J91,'#16-Washington Adventist'!J91,'#17-Garrett County'!J91,'#18-Montgomery General'!J91,'#19-Pennisula General'!J91,'#22-Suburban'!J91,'#23-Anne Arundel Medical Center'!J91,'#24-Union Memorial'!J91,'#27-Western Maryland Regional'!J91,'#28-St. Mary''s'!J91,'#29-JH Bayview'!J91,'#30-Chester River'!J91,'#32-Union Cecil County'!J91,'#33-Carroll Hospital '!J91,'#34-Harbor Hospital'!J91,'#35-Civista Medical Center'!J91,'#37-Shore Health Easton'!J91,'#38-UM Midtown'!J91,'#39-Calvert Memorial'!J91,'#40-Northwest'!J91,'#43-UM Baltimore Washington'!J91,'#44-GBMC'!J91,'#45-McCready'!J91,'#48-Howard County'!J91,'#49-UCH Upper Chesapeake'!J91,'#51-Doctors Community'!J91,'#55-Laurel Regional'!J91,'#60-Ft Washington'!J91,'#61-Atlantic General'!J91,'#62-Southern Maryland'!J91,'#2001-UM Rehab &amp; Ortho'!J91,'#2004-Good Samaritan'!J91,'#5034-Mt. Washington Pediatric'!J91,'#5050-Shady Grove Adventist'!J91)</f>
        <v>17</v>
      </c>
      <c r="K64" s="123">
        <f t="shared" si="14"/>
        <v>1357439.1676996583</v>
      </c>
      <c r="L64" s="123">
        <f t="shared" si="15"/>
        <v>863017.34139864624</v>
      </c>
      <c r="M64" s="131"/>
      <c r="N64" s="131"/>
    </row>
    <row r="65" spans="1:14">
      <c r="A65" s="45" t="s">
        <v>215</v>
      </c>
      <c r="B65" s="45"/>
      <c r="C65" s="43" t="s">
        <v>397</v>
      </c>
      <c r="D65" s="43"/>
      <c r="E65" s="43"/>
      <c r="F65" s="145">
        <f>SUM('#1-Meritus'!F92,'#2-UMMS'!F92,'#3-Prince George''s'!F92,'#4-Holy Cross'!F92,'#5-Frederick Memorial'!F92,'#6-Harford Memorial'!F92,'#7-St. Joseph'!F92,'#8-Mercy'!F92,'#9-Johns Hopkins'!F92,'#10-Shore Health Dorchester'!F92,'#11-St. Agnes'!F92,'#12-Sinai'!F92,'#13-Bon Secours'!F92,'#15-Franklin Square'!F92,'#16-Washington Adventist'!F92,'#17-Garrett County'!F92,'#18-Montgomery General'!F92,'#19-Pennisula General'!F92,'#22-Suburban'!F92,'#23-Anne Arundel Medical Center'!F92,'#24-Union Memorial'!F92,'#27-Western Maryland Regional'!F92,'#28-St. Mary''s'!F92,'#29-JH Bayview'!F92,'#30-Chester River'!F92,'#32-Union Cecil County'!F92,'#33-Carroll Hospital '!F92,'#34-Harbor Hospital'!F92,'#35-Civista Medical Center'!F92,'#37-Shore Health Easton'!F92,'#38-UM Midtown'!F92,'#39-Calvert Memorial'!F92,'#40-Northwest'!F92,'#43-UM Baltimore Washington'!F92,'#44-GBMC'!F92,'#45-McCready'!F92,'#48-Howard County'!F92,'#49-UCH Upper Chesapeake'!F92,'#51-Doctors Community'!F92,'#55-Laurel Regional'!F92,'#60-Ft Washington'!F92,'#61-Atlantic General'!F92,'#62-Southern Maryland'!F92,'#2001-UM Rehab &amp; Ortho'!F92,'#2004-Good Samaritan'!F92,'#5034-Mt. Washington Pediatric'!F92,'#5050-Shady Grove Adventist'!F92)</f>
        <v>10419.852894230768</v>
      </c>
      <c r="G65" s="145">
        <f>SUM('#1-Meritus'!G92,'#2-UMMS'!G92,'#3-Prince George''s'!G92,'#4-Holy Cross'!G92,'#5-Frederick Memorial'!G92,'#6-Harford Memorial'!G92,'#7-St. Joseph'!G92,'#8-Mercy'!G92,'#9-Johns Hopkins'!G92,'#10-Shore Health Dorchester'!G92,'#11-St. Agnes'!G92,'#12-Sinai'!G92,'#13-Bon Secours'!G92,'#15-Franklin Square'!G92,'#16-Washington Adventist'!G92,'#17-Garrett County'!G92,'#18-Montgomery General'!G92,'#19-Pennisula General'!G92,'#22-Suburban'!G92,'#23-Anne Arundel Medical Center'!G92,'#24-Union Memorial'!G92,'#27-Western Maryland Regional'!G92,'#28-St. Mary''s'!G92,'#29-JH Bayview'!G92,'#30-Chester River'!G92,'#32-Union Cecil County'!G92,'#33-Carroll Hospital '!G92,'#34-Harbor Hospital'!G92,'#35-Civista Medical Center'!G92,'#37-Shore Health Easton'!G92,'#38-UM Midtown'!G92,'#39-Calvert Memorial'!G92,'#40-Northwest'!G92,'#43-UM Baltimore Washington'!G92,'#44-GBMC'!G92,'#45-McCready'!G92,'#48-Howard County'!G92,'#49-UCH Upper Chesapeake'!G92,'#51-Doctors Community'!G92,'#55-Laurel Regional'!G92,'#60-Ft Washington'!G92,'#61-Atlantic General'!G92,'#62-Southern Maryland'!G92,'#2001-UM Rehab &amp; Ortho'!G92,'#2004-Good Samaritan'!G92,'#5034-Mt. Washington Pediatric'!G92,'#5050-Shady Grove Adventist'!G92)</f>
        <v>10151.082</v>
      </c>
      <c r="H65" s="145">
        <f>SUM('#1-Meritus'!H92,'#2-UMMS'!H92,'#3-Prince George''s'!H92,'#4-Holy Cross'!H92,'#5-Frederick Memorial'!H92,'#6-Harford Memorial'!H92,'#7-St. Joseph'!H92,'#8-Mercy'!H92,'#9-Johns Hopkins'!H92,'#10-Shore Health Dorchester'!H92,'#11-St. Agnes'!H92,'#12-Sinai'!H92,'#13-Bon Secours'!H92,'#15-Franklin Square'!H92,'#16-Washington Adventist'!H92,'#17-Garrett County'!H92,'#18-Montgomery General'!H92,'#19-Pennisula General'!H92,'#22-Suburban'!H92,'#23-Anne Arundel Medical Center'!H92,'#24-Union Memorial'!H92,'#27-Western Maryland Regional'!H92,'#28-St. Mary''s'!H92,'#29-JH Bayview'!H92,'#30-Chester River'!H92,'#32-Union Cecil County'!H92,'#33-Carroll Hospital '!H92,'#34-Harbor Hospital'!H92,'#35-Civista Medical Center'!H92,'#37-Shore Health Easton'!H92,'#38-UM Midtown'!H92,'#39-Calvert Memorial'!H92,'#40-Northwest'!H92,'#43-UM Baltimore Washington'!H92,'#44-GBMC'!H92,'#45-McCready'!H92,'#48-Howard County'!H92,'#49-UCH Upper Chesapeake'!H92,'#51-Doctors Community'!H92,'#55-Laurel Regional'!H92,'#60-Ft Washington'!H92,'#61-Atlantic General'!H92,'#62-Southern Maryland'!H92,'#2001-UM Rehab &amp; Ortho'!H92,'#2004-Good Samaritan'!H92,'#5034-Mt. Washington Pediatric'!H92,'#5050-Shady Grove Adventist'!H92)</f>
        <v>1628755.1727677616</v>
      </c>
      <c r="I65" s="145">
        <f>SUM('#1-Meritus'!I92,'#2-UMMS'!I92,'#3-Prince George''s'!I92,'#4-Holy Cross'!I92,'#5-Frederick Memorial'!I92,'#6-Harford Memorial'!I92,'#7-St. Joseph'!I92,'#8-Mercy'!I92,'#9-Johns Hopkins'!I92,'#10-Shore Health Dorchester'!I92,'#11-St. Agnes'!I92,'#12-Sinai'!I92,'#13-Bon Secours'!I92,'#15-Franklin Square'!I92,'#16-Washington Adventist'!I92,'#17-Garrett County'!I92,'#18-Montgomery General'!I92,'#19-Pennisula General'!I92,'#22-Suburban'!I92,'#23-Anne Arundel Medical Center'!I92,'#24-Union Memorial'!I92,'#27-Western Maryland Regional'!I92,'#28-St. Mary''s'!I92,'#29-JH Bayview'!I92,'#30-Chester River'!I92,'#32-Union Cecil County'!I92,'#33-Carroll Hospital '!I92,'#34-Harbor Hospital'!I92,'#35-Civista Medical Center'!I92,'#37-Shore Health Easton'!I92,'#38-UM Midtown'!I92,'#39-Calvert Memorial'!I92,'#40-Northwest'!I92,'#43-UM Baltimore Washington'!I92,'#44-GBMC'!I92,'#45-McCready'!I92,'#48-Howard County'!I92,'#49-UCH Upper Chesapeake'!I92,'#51-Doctors Community'!I92,'#55-Laurel Regional'!I92,'#60-Ft Washington'!I92,'#61-Atlantic General'!I92,'#62-Southern Maryland'!I92,'#2001-UM Rehab &amp; Ortho'!I92,'#2004-Good Samaritan'!I92,'#5034-Mt. Washington Pediatric'!I92,'#5050-Shady Grove Adventist'!I92)</f>
        <v>760895.47639460943</v>
      </c>
      <c r="J65" s="145">
        <f>SUM('#1-Meritus'!J92,'#2-UMMS'!J92,'#3-Prince George''s'!J92,'#4-Holy Cross'!J92,'#5-Frederick Memorial'!J92,'#6-Harford Memorial'!J92,'#7-St. Joseph'!J92,'#8-Mercy'!J92,'#9-Johns Hopkins'!J92,'#10-Shore Health Dorchester'!J92,'#11-St. Agnes'!J92,'#12-Sinai'!J92,'#13-Bon Secours'!J92,'#15-Franklin Square'!J92,'#16-Washington Adventist'!J92,'#17-Garrett County'!J92,'#18-Montgomery General'!J92,'#19-Pennisula General'!J92,'#22-Suburban'!J92,'#23-Anne Arundel Medical Center'!J92,'#24-Union Memorial'!J92,'#27-Western Maryland Regional'!J92,'#28-St. Mary''s'!J92,'#29-JH Bayview'!J92,'#30-Chester River'!J92,'#32-Union Cecil County'!J92,'#33-Carroll Hospital '!J92,'#34-Harbor Hospital'!J92,'#35-Civista Medical Center'!J92,'#37-Shore Health Easton'!J92,'#38-UM Midtown'!J92,'#39-Calvert Memorial'!J92,'#40-Northwest'!J92,'#43-UM Baltimore Washington'!J92,'#44-GBMC'!J92,'#45-McCready'!J92,'#48-Howard County'!J92,'#49-UCH Upper Chesapeake'!J92,'#51-Doctors Community'!J92,'#55-Laurel Regional'!J92,'#60-Ft Washington'!J92,'#61-Atlantic General'!J92,'#62-Southern Maryland'!J92,'#2001-UM Rehab &amp; Ortho'!J92,'#2004-Good Samaritan'!J92,'#5034-Mt. Washington Pediatric'!J92,'#5050-Shady Grove Adventist'!J92)</f>
        <v>49391.131000000001</v>
      </c>
      <c r="K65" s="123">
        <f t="shared" si="14"/>
        <v>2340259.5181623711</v>
      </c>
      <c r="L65" s="123">
        <f t="shared" si="15"/>
        <v>1579364.0417677616</v>
      </c>
      <c r="M65" s="131"/>
      <c r="N65" s="131"/>
    </row>
    <row r="66" spans="1:14">
      <c r="A66" s="45" t="s">
        <v>217</v>
      </c>
      <c r="B66" s="45"/>
      <c r="C66" s="43" t="s">
        <v>398</v>
      </c>
      <c r="D66" s="43"/>
      <c r="E66" s="43"/>
      <c r="F66" s="145">
        <f>SUM('#1-Meritus'!F93,'#2-UMMS'!F93,'#3-Prince George''s'!F93,'#4-Holy Cross'!F93,'#5-Frederick Memorial'!F93,'#6-Harford Memorial'!F93,'#7-St. Joseph'!F93,'#8-Mercy'!F93,'#9-Johns Hopkins'!F93,'#10-Shore Health Dorchester'!F93,'#11-St. Agnes'!F93,'#12-Sinai'!F93,'#13-Bon Secours'!F93,'#15-Franklin Square'!F93,'#16-Washington Adventist'!F93,'#17-Garrett County'!F93,'#18-Montgomery General'!F93,'#19-Pennisula General'!F93,'#22-Suburban'!F93,'#23-Anne Arundel Medical Center'!F93,'#24-Union Memorial'!F93,'#27-Western Maryland Regional'!F93,'#28-St. Mary''s'!F93,'#29-JH Bayview'!F93,'#30-Chester River'!F93,'#32-Union Cecil County'!F93,'#33-Carroll Hospital '!F93,'#34-Harbor Hospital'!F93,'#35-Civista Medical Center'!F93,'#37-Shore Health Easton'!F93,'#38-UM Midtown'!F93,'#39-Calvert Memorial'!F93,'#40-Northwest'!F93,'#43-UM Baltimore Washington'!F93,'#44-GBMC'!F93,'#45-McCready'!F93,'#48-Howard County'!F93,'#49-UCH Upper Chesapeake'!F93,'#51-Doctors Community'!F93,'#55-Laurel Regional'!F93,'#60-Ft Washington'!F93,'#61-Atlantic General'!F93,'#62-Southern Maryland'!F93,'#2001-UM Rehab &amp; Ortho'!F93,'#2004-Good Samaritan'!F93,'#5034-Mt. Washington Pediatric'!F93,'#5050-Shady Grove Adventist'!F93)</f>
        <v>18319.75</v>
      </c>
      <c r="G66" s="145">
        <f>SUM('#1-Meritus'!G93,'#2-UMMS'!G93,'#3-Prince George''s'!G93,'#4-Holy Cross'!G93,'#5-Frederick Memorial'!G93,'#6-Harford Memorial'!G93,'#7-St. Joseph'!G93,'#8-Mercy'!G93,'#9-Johns Hopkins'!G93,'#10-Shore Health Dorchester'!G93,'#11-St. Agnes'!G93,'#12-Sinai'!G93,'#13-Bon Secours'!G93,'#15-Franklin Square'!G93,'#16-Washington Adventist'!G93,'#17-Garrett County'!G93,'#18-Montgomery General'!G93,'#19-Pennisula General'!G93,'#22-Suburban'!G93,'#23-Anne Arundel Medical Center'!G93,'#24-Union Memorial'!G93,'#27-Western Maryland Regional'!G93,'#28-St. Mary''s'!G93,'#29-JH Bayview'!G93,'#30-Chester River'!G93,'#32-Union Cecil County'!G93,'#33-Carroll Hospital '!G93,'#34-Harbor Hospital'!G93,'#35-Civista Medical Center'!G93,'#37-Shore Health Easton'!G93,'#38-UM Midtown'!G93,'#39-Calvert Memorial'!G93,'#40-Northwest'!G93,'#43-UM Baltimore Washington'!G93,'#44-GBMC'!G93,'#45-McCready'!G93,'#48-Howard County'!G93,'#49-UCH Upper Chesapeake'!G93,'#51-Doctors Community'!G93,'#55-Laurel Regional'!G93,'#60-Ft Washington'!G93,'#61-Atlantic General'!G93,'#62-Southern Maryland'!G93,'#2001-UM Rehab &amp; Ortho'!G93,'#2004-Good Samaritan'!G93,'#5034-Mt. Washington Pediatric'!G93,'#5050-Shady Grove Adventist'!G93)</f>
        <v>23905</v>
      </c>
      <c r="H66" s="145">
        <f>SUM('#1-Meritus'!H93,'#2-UMMS'!H93,'#3-Prince George''s'!H93,'#4-Holy Cross'!H93,'#5-Frederick Memorial'!H93,'#6-Harford Memorial'!H93,'#7-St. Joseph'!H93,'#8-Mercy'!H93,'#9-Johns Hopkins'!H93,'#10-Shore Health Dorchester'!H93,'#11-St. Agnes'!H93,'#12-Sinai'!H93,'#13-Bon Secours'!H93,'#15-Franklin Square'!H93,'#16-Washington Adventist'!H93,'#17-Garrett County'!H93,'#18-Montgomery General'!H93,'#19-Pennisula General'!H93,'#22-Suburban'!H93,'#23-Anne Arundel Medical Center'!H93,'#24-Union Memorial'!H93,'#27-Western Maryland Regional'!H93,'#28-St. Mary''s'!H93,'#29-JH Bayview'!H93,'#30-Chester River'!H93,'#32-Union Cecil County'!H93,'#33-Carroll Hospital '!H93,'#34-Harbor Hospital'!H93,'#35-Civista Medical Center'!H93,'#37-Shore Health Easton'!H93,'#38-UM Midtown'!H93,'#39-Calvert Memorial'!H93,'#40-Northwest'!H93,'#43-UM Baltimore Washington'!H93,'#44-GBMC'!H93,'#45-McCready'!H93,'#48-Howard County'!H93,'#49-UCH Upper Chesapeake'!H93,'#51-Doctors Community'!H93,'#55-Laurel Regional'!H93,'#60-Ft Washington'!H93,'#61-Atlantic General'!H93,'#62-Southern Maryland'!H93,'#2001-UM Rehab &amp; Ortho'!H93,'#2004-Good Samaritan'!H93,'#5034-Mt. Washington Pediatric'!H93,'#5050-Shady Grove Adventist'!H93)</f>
        <v>2145287.3021282572</v>
      </c>
      <c r="I66" s="145">
        <f>SUM('#1-Meritus'!I93,'#2-UMMS'!I93,'#3-Prince George''s'!I93,'#4-Holy Cross'!I93,'#5-Frederick Memorial'!I93,'#6-Harford Memorial'!I93,'#7-St. Joseph'!I93,'#8-Mercy'!I93,'#9-Johns Hopkins'!I93,'#10-Shore Health Dorchester'!I93,'#11-St. Agnes'!I93,'#12-Sinai'!I93,'#13-Bon Secours'!I93,'#15-Franklin Square'!I93,'#16-Washington Adventist'!I93,'#17-Garrett County'!I93,'#18-Montgomery General'!I93,'#19-Pennisula General'!I93,'#22-Suburban'!I93,'#23-Anne Arundel Medical Center'!I93,'#24-Union Memorial'!I93,'#27-Western Maryland Regional'!I93,'#28-St. Mary''s'!I93,'#29-JH Bayview'!I93,'#30-Chester River'!I93,'#32-Union Cecil County'!I93,'#33-Carroll Hospital '!I93,'#34-Harbor Hospital'!I93,'#35-Civista Medical Center'!I93,'#37-Shore Health Easton'!I93,'#38-UM Midtown'!I93,'#39-Calvert Memorial'!I93,'#40-Northwest'!I93,'#43-UM Baltimore Washington'!I93,'#44-GBMC'!I93,'#45-McCready'!I93,'#48-Howard County'!I93,'#49-UCH Upper Chesapeake'!I93,'#51-Doctors Community'!I93,'#55-Laurel Regional'!I93,'#60-Ft Washington'!I93,'#61-Atlantic General'!I93,'#62-Southern Maryland'!I93,'#2001-UM Rehab &amp; Ortho'!I93,'#2004-Good Samaritan'!I93,'#5034-Mt. Washington Pediatric'!I93,'#5050-Shady Grove Adventist'!I93)</f>
        <v>1211378.9717318485</v>
      </c>
      <c r="J66" s="145">
        <f>SUM('#1-Meritus'!J93,'#2-UMMS'!J93,'#3-Prince George''s'!J93,'#4-Holy Cross'!J93,'#5-Frederick Memorial'!J93,'#6-Harford Memorial'!J93,'#7-St. Joseph'!J93,'#8-Mercy'!J93,'#9-Johns Hopkins'!J93,'#10-Shore Health Dorchester'!J93,'#11-St. Agnes'!J93,'#12-Sinai'!J93,'#13-Bon Secours'!J93,'#15-Franklin Square'!J93,'#16-Washington Adventist'!J93,'#17-Garrett County'!J93,'#18-Montgomery General'!J93,'#19-Pennisula General'!J93,'#22-Suburban'!J93,'#23-Anne Arundel Medical Center'!J93,'#24-Union Memorial'!J93,'#27-Western Maryland Regional'!J93,'#28-St. Mary''s'!J93,'#29-JH Bayview'!J93,'#30-Chester River'!J93,'#32-Union Cecil County'!J93,'#33-Carroll Hospital '!J93,'#34-Harbor Hospital'!J93,'#35-Civista Medical Center'!J93,'#37-Shore Health Easton'!J93,'#38-UM Midtown'!J93,'#39-Calvert Memorial'!J93,'#40-Northwest'!J93,'#43-UM Baltimore Washington'!J93,'#44-GBMC'!J93,'#45-McCready'!J93,'#48-Howard County'!J93,'#49-UCH Upper Chesapeake'!J93,'#51-Doctors Community'!J93,'#55-Laurel Regional'!J93,'#60-Ft Washington'!J93,'#61-Atlantic General'!J93,'#62-Southern Maryland'!J93,'#2001-UM Rehab &amp; Ortho'!J93,'#2004-Good Samaritan'!J93,'#5034-Mt. Washington Pediatric'!J93,'#5050-Shady Grove Adventist'!J93)</f>
        <v>59746.65</v>
      </c>
      <c r="K66" s="123">
        <f t="shared" si="14"/>
        <v>3296919.6238601059</v>
      </c>
      <c r="L66" s="123">
        <f t="shared" si="15"/>
        <v>2085540.6521282573</v>
      </c>
      <c r="M66" s="131"/>
      <c r="N66" s="131"/>
    </row>
    <row r="67" spans="1:14">
      <c r="A67" s="45" t="s">
        <v>219</v>
      </c>
      <c r="B67" s="45"/>
      <c r="C67" s="43" t="s">
        <v>181</v>
      </c>
      <c r="D67" s="43"/>
      <c r="E67" s="43"/>
      <c r="F67" s="145">
        <f>SUM('#1-Meritus'!F94,'#2-UMMS'!F94,'#3-Prince George''s'!F94,'#4-Holy Cross'!F94,'#5-Frederick Memorial'!F94,'#6-Harford Memorial'!F94,'#7-St. Joseph'!F94,'#8-Mercy'!F94,'#9-Johns Hopkins'!F94,'#10-Shore Health Dorchester'!F94,'#11-St. Agnes'!F94,'#12-Sinai'!F94,'#13-Bon Secours'!F94,'#15-Franklin Square'!F94,'#16-Washington Adventist'!F94,'#17-Garrett County'!F94,'#18-Montgomery General'!F94,'#19-Pennisula General'!F94,'#22-Suburban'!F94,'#23-Anne Arundel Medical Center'!F94,'#24-Union Memorial'!F94,'#27-Western Maryland Regional'!F94,'#28-St. Mary''s'!F94,'#29-JH Bayview'!F94,'#30-Chester River'!F94,'#32-Union Cecil County'!F94,'#33-Carroll Hospital '!F94,'#34-Harbor Hospital'!F94,'#35-Civista Medical Center'!F94,'#37-Shore Health Easton'!F94,'#38-UM Midtown'!F94,'#39-Calvert Memorial'!F94,'#40-Northwest'!F94,'#43-UM Baltimore Washington'!F94,'#44-GBMC'!F94,'#45-McCready'!F94,'#48-Howard County'!F94,'#49-UCH Upper Chesapeake'!F94,'#51-Doctors Community'!F94,'#55-Laurel Regional'!F94,'#60-Ft Washington'!F94,'#61-Atlantic General'!F94,'#62-Southern Maryland'!F94,'#2001-UM Rehab &amp; Ortho'!F94,'#2004-Good Samaritan'!F94,'#5034-Mt. Washington Pediatric'!F94,'#5050-Shady Grove Adventist'!F94)</f>
        <v>18843.072316654019</v>
      </c>
      <c r="G67" s="145">
        <f>SUM('#1-Meritus'!G94,'#2-UMMS'!G94,'#3-Prince George''s'!G94,'#4-Holy Cross'!G94,'#5-Frederick Memorial'!G94,'#6-Harford Memorial'!G94,'#7-St. Joseph'!G94,'#8-Mercy'!G94,'#9-Johns Hopkins'!G94,'#10-Shore Health Dorchester'!G94,'#11-St. Agnes'!G94,'#12-Sinai'!G94,'#13-Bon Secours'!G94,'#15-Franklin Square'!G94,'#16-Washington Adventist'!G94,'#17-Garrett County'!G94,'#18-Montgomery General'!G94,'#19-Pennisula General'!G94,'#22-Suburban'!G94,'#23-Anne Arundel Medical Center'!G94,'#24-Union Memorial'!G94,'#27-Western Maryland Regional'!G94,'#28-St. Mary''s'!G94,'#29-JH Bayview'!G94,'#30-Chester River'!G94,'#32-Union Cecil County'!G94,'#33-Carroll Hospital '!G94,'#34-Harbor Hospital'!G94,'#35-Civista Medical Center'!G94,'#37-Shore Health Easton'!G94,'#38-UM Midtown'!G94,'#39-Calvert Memorial'!G94,'#40-Northwest'!G94,'#43-UM Baltimore Washington'!G94,'#44-GBMC'!G94,'#45-McCready'!G94,'#48-Howard County'!G94,'#49-UCH Upper Chesapeake'!G94,'#51-Doctors Community'!G94,'#55-Laurel Regional'!G94,'#60-Ft Washington'!G94,'#61-Atlantic General'!G94,'#62-Southern Maryland'!G94,'#2001-UM Rehab &amp; Ortho'!G94,'#2004-Good Samaritan'!G94,'#5034-Mt. Washington Pediatric'!G94,'#5050-Shady Grove Adventist'!G94)</f>
        <v>263770.8555656824</v>
      </c>
      <c r="H67" s="145">
        <f>SUM('#1-Meritus'!H94,'#2-UMMS'!H94,'#3-Prince George''s'!H94,'#4-Holy Cross'!H94,'#5-Frederick Memorial'!H94,'#6-Harford Memorial'!H94,'#7-St. Joseph'!H94,'#8-Mercy'!H94,'#9-Johns Hopkins'!H94,'#10-Shore Health Dorchester'!H94,'#11-St. Agnes'!H94,'#12-Sinai'!H94,'#13-Bon Secours'!H94,'#15-Franklin Square'!H94,'#16-Washington Adventist'!H94,'#17-Garrett County'!H94,'#18-Montgomery General'!H94,'#19-Pennisula General'!H94,'#22-Suburban'!H94,'#23-Anne Arundel Medical Center'!H94,'#24-Union Memorial'!H94,'#27-Western Maryland Regional'!H94,'#28-St. Mary''s'!H94,'#29-JH Bayview'!H94,'#30-Chester River'!H94,'#32-Union Cecil County'!H94,'#33-Carroll Hospital '!H94,'#34-Harbor Hospital'!H94,'#35-Civista Medical Center'!H94,'#37-Shore Health Easton'!H94,'#38-UM Midtown'!H94,'#39-Calvert Memorial'!H94,'#40-Northwest'!H94,'#43-UM Baltimore Washington'!H94,'#44-GBMC'!H94,'#45-McCready'!H94,'#48-Howard County'!H94,'#49-UCH Upper Chesapeake'!H94,'#51-Doctors Community'!H94,'#55-Laurel Regional'!H94,'#60-Ft Washington'!H94,'#61-Atlantic General'!H94,'#62-Southern Maryland'!H94,'#2001-UM Rehab &amp; Ortho'!H94,'#2004-Good Samaritan'!H94,'#5034-Mt. Washington Pediatric'!H94,'#5050-Shady Grove Adventist'!H94)</f>
        <v>1220412.6729017715</v>
      </c>
      <c r="I67" s="145">
        <f>SUM('#1-Meritus'!I94,'#2-UMMS'!I94,'#3-Prince George''s'!I94,'#4-Holy Cross'!I94,'#5-Frederick Memorial'!I94,'#6-Harford Memorial'!I94,'#7-St. Joseph'!I94,'#8-Mercy'!I94,'#9-Johns Hopkins'!I94,'#10-Shore Health Dorchester'!I94,'#11-St. Agnes'!I94,'#12-Sinai'!I94,'#13-Bon Secours'!I94,'#15-Franklin Square'!I94,'#16-Washington Adventist'!I94,'#17-Garrett County'!I94,'#18-Montgomery General'!I94,'#19-Pennisula General'!I94,'#22-Suburban'!I94,'#23-Anne Arundel Medical Center'!I94,'#24-Union Memorial'!I94,'#27-Western Maryland Regional'!I94,'#28-St. Mary''s'!I94,'#29-JH Bayview'!I94,'#30-Chester River'!I94,'#32-Union Cecil County'!I94,'#33-Carroll Hospital '!I94,'#34-Harbor Hospital'!I94,'#35-Civista Medical Center'!I94,'#37-Shore Health Easton'!I94,'#38-UM Midtown'!I94,'#39-Calvert Memorial'!I94,'#40-Northwest'!I94,'#43-UM Baltimore Washington'!I94,'#44-GBMC'!I94,'#45-McCready'!I94,'#48-Howard County'!I94,'#49-UCH Upper Chesapeake'!I94,'#51-Doctors Community'!I94,'#55-Laurel Regional'!I94,'#60-Ft Washington'!I94,'#61-Atlantic General'!I94,'#62-Southern Maryland'!I94,'#2001-UM Rehab &amp; Ortho'!I94,'#2004-Good Samaritan'!I94,'#5034-Mt. Washington Pediatric'!I94,'#5050-Shady Grove Adventist'!I94)</f>
        <v>596561.91660465836</v>
      </c>
      <c r="J67" s="145">
        <f>SUM('#1-Meritus'!J94,'#2-UMMS'!J94,'#3-Prince George''s'!J94,'#4-Holy Cross'!J94,'#5-Frederick Memorial'!J94,'#6-Harford Memorial'!J94,'#7-St. Joseph'!J94,'#8-Mercy'!J94,'#9-Johns Hopkins'!J94,'#10-Shore Health Dorchester'!J94,'#11-St. Agnes'!J94,'#12-Sinai'!J94,'#13-Bon Secours'!J94,'#15-Franklin Square'!J94,'#16-Washington Adventist'!J94,'#17-Garrett County'!J94,'#18-Montgomery General'!J94,'#19-Pennisula General'!J94,'#22-Suburban'!J94,'#23-Anne Arundel Medical Center'!J94,'#24-Union Memorial'!J94,'#27-Western Maryland Regional'!J94,'#28-St. Mary''s'!J94,'#29-JH Bayview'!J94,'#30-Chester River'!J94,'#32-Union Cecil County'!J94,'#33-Carroll Hospital '!J94,'#34-Harbor Hospital'!J94,'#35-Civista Medical Center'!J94,'#37-Shore Health Easton'!J94,'#38-UM Midtown'!J94,'#39-Calvert Memorial'!J94,'#40-Northwest'!J94,'#43-UM Baltimore Washington'!J94,'#44-GBMC'!J94,'#45-McCready'!J94,'#48-Howard County'!J94,'#49-UCH Upper Chesapeake'!J94,'#51-Doctors Community'!J94,'#55-Laurel Regional'!J94,'#60-Ft Washington'!J94,'#61-Atlantic General'!J94,'#62-Southern Maryland'!J94,'#2001-UM Rehab &amp; Ortho'!J94,'#2004-Good Samaritan'!J94,'#5034-Mt. Washington Pediatric'!J94,'#5050-Shady Grove Adventist'!J94)</f>
        <v>6575</v>
      </c>
      <c r="K67" s="123">
        <f t="shared" si="14"/>
        <v>1810399.5895064299</v>
      </c>
      <c r="L67" s="123">
        <f t="shared" si="15"/>
        <v>1213837.6729017715</v>
      </c>
      <c r="M67" s="131"/>
      <c r="N67" s="131"/>
    </row>
    <row r="68" spans="1:14">
      <c r="A68" s="45" t="s">
        <v>319</v>
      </c>
      <c r="B68" s="45"/>
      <c r="C68" s="43" t="s">
        <v>181</v>
      </c>
      <c r="D68" s="43"/>
      <c r="E68" s="43"/>
      <c r="F68" s="145">
        <f>SUM('#1-Meritus'!F95,'#2-UMMS'!F95,'#3-Prince George''s'!F95,'#4-Holy Cross'!F95,'#5-Frederick Memorial'!F95,'#6-Harford Memorial'!F95,'#7-St. Joseph'!F95,'#8-Mercy'!F95,'#9-Johns Hopkins'!F95,'#10-Shore Health Dorchester'!F95,'#11-St. Agnes'!F95,'#12-Sinai'!F95,'#13-Bon Secours'!F95,'#15-Franklin Square'!F95,'#16-Washington Adventist'!F95,'#17-Garrett County'!F95,'#18-Montgomery General'!F95,'#19-Pennisula General'!F95,'#22-Suburban'!F95,'#23-Anne Arundel Medical Center'!F95,'#24-Union Memorial'!F95,'#27-Western Maryland Regional'!F95,'#28-St. Mary''s'!F95,'#29-JH Bayview'!F95,'#30-Chester River'!F95,'#32-Union Cecil County'!F95,'#33-Carroll Hospital '!F95,'#34-Harbor Hospital'!F95,'#35-Civista Medical Center'!F95,'#37-Shore Health Easton'!F95,'#38-UM Midtown'!F95,'#39-Calvert Memorial'!F95,'#40-Northwest'!F95,'#43-UM Baltimore Washington'!F95,'#44-GBMC'!F95,'#45-McCready'!F95,'#48-Howard County'!F95,'#49-UCH Upper Chesapeake'!F95,'#51-Doctors Community'!F95,'#55-Laurel Regional'!F95,'#60-Ft Washington'!F95,'#61-Atlantic General'!F95,'#62-Southern Maryland'!F95,'#2001-UM Rehab &amp; Ortho'!F95,'#2004-Good Samaritan'!F95,'#5034-Mt. Washington Pediatric'!F95,'#5050-Shady Grove Adventist'!F95)</f>
        <v>1200</v>
      </c>
      <c r="G68" s="145">
        <f>SUM('#1-Meritus'!G95,'#2-UMMS'!G95,'#3-Prince George''s'!G95,'#4-Holy Cross'!G95,'#5-Frederick Memorial'!G95,'#6-Harford Memorial'!G95,'#7-St. Joseph'!G95,'#8-Mercy'!G95,'#9-Johns Hopkins'!G95,'#10-Shore Health Dorchester'!G95,'#11-St. Agnes'!G95,'#12-Sinai'!G95,'#13-Bon Secours'!G95,'#15-Franklin Square'!G95,'#16-Washington Adventist'!G95,'#17-Garrett County'!G95,'#18-Montgomery General'!G95,'#19-Pennisula General'!G95,'#22-Suburban'!G95,'#23-Anne Arundel Medical Center'!G95,'#24-Union Memorial'!G95,'#27-Western Maryland Regional'!G95,'#28-St. Mary''s'!G95,'#29-JH Bayview'!G95,'#30-Chester River'!G95,'#32-Union Cecil County'!G95,'#33-Carroll Hospital '!G95,'#34-Harbor Hospital'!G95,'#35-Civista Medical Center'!G95,'#37-Shore Health Easton'!G95,'#38-UM Midtown'!G95,'#39-Calvert Memorial'!G95,'#40-Northwest'!G95,'#43-UM Baltimore Washington'!G95,'#44-GBMC'!G95,'#45-McCready'!G95,'#48-Howard County'!G95,'#49-UCH Upper Chesapeake'!G95,'#51-Doctors Community'!G95,'#55-Laurel Regional'!G95,'#60-Ft Washington'!G95,'#61-Atlantic General'!G95,'#62-Southern Maryland'!G95,'#2001-UM Rehab &amp; Ortho'!G95,'#2004-Good Samaritan'!G95,'#5034-Mt. Washington Pediatric'!G95,'#5050-Shady Grove Adventist'!G95)</f>
        <v>0</v>
      </c>
      <c r="H68" s="145">
        <f>SUM('#1-Meritus'!H95,'#2-UMMS'!H95,'#3-Prince George''s'!H95,'#4-Holy Cross'!H95,'#5-Frederick Memorial'!H95,'#6-Harford Memorial'!H95,'#7-St. Joseph'!H95,'#8-Mercy'!H95,'#9-Johns Hopkins'!H95,'#10-Shore Health Dorchester'!H95,'#11-St. Agnes'!H95,'#12-Sinai'!H95,'#13-Bon Secours'!H95,'#15-Franklin Square'!H95,'#16-Washington Adventist'!H95,'#17-Garrett County'!H95,'#18-Montgomery General'!H95,'#19-Pennisula General'!H95,'#22-Suburban'!H95,'#23-Anne Arundel Medical Center'!H95,'#24-Union Memorial'!H95,'#27-Western Maryland Regional'!H95,'#28-St. Mary''s'!H95,'#29-JH Bayview'!H95,'#30-Chester River'!H95,'#32-Union Cecil County'!H95,'#33-Carroll Hospital '!H95,'#34-Harbor Hospital'!H95,'#35-Civista Medical Center'!H95,'#37-Shore Health Easton'!H95,'#38-UM Midtown'!H95,'#39-Calvert Memorial'!H95,'#40-Northwest'!H95,'#43-UM Baltimore Washington'!H95,'#44-GBMC'!H95,'#45-McCready'!H95,'#48-Howard County'!H95,'#49-UCH Upper Chesapeake'!H95,'#51-Doctors Community'!H95,'#55-Laurel Regional'!H95,'#60-Ft Washington'!H95,'#61-Atlantic General'!H95,'#62-Southern Maryland'!H95,'#2001-UM Rehab &amp; Ortho'!H95,'#2004-Good Samaritan'!H95,'#5034-Mt. Washington Pediatric'!H95,'#5050-Shady Grove Adventist'!H95)</f>
        <v>50400</v>
      </c>
      <c r="I68" s="145">
        <f>SUM('#1-Meritus'!I95,'#2-UMMS'!I95,'#3-Prince George''s'!I95,'#4-Holy Cross'!I95,'#5-Frederick Memorial'!I95,'#6-Harford Memorial'!I95,'#7-St. Joseph'!I95,'#8-Mercy'!I95,'#9-Johns Hopkins'!I95,'#10-Shore Health Dorchester'!I95,'#11-St. Agnes'!I95,'#12-Sinai'!I95,'#13-Bon Secours'!I95,'#15-Franklin Square'!I95,'#16-Washington Adventist'!I95,'#17-Garrett County'!I95,'#18-Montgomery General'!I95,'#19-Pennisula General'!I95,'#22-Suburban'!I95,'#23-Anne Arundel Medical Center'!I95,'#24-Union Memorial'!I95,'#27-Western Maryland Regional'!I95,'#28-St. Mary''s'!I95,'#29-JH Bayview'!I95,'#30-Chester River'!I95,'#32-Union Cecil County'!I95,'#33-Carroll Hospital '!I95,'#34-Harbor Hospital'!I95,'#35-Civista Medical Center'!I95,'#37-Shore Health Easton'!I95,'#38-UM Midtown'!I95,'#39-Calvert Memorial'!I95,'#40-Northwest'!I95,'#43-UM Baltimore Washington'!I95,'#44-GBMC'!I95,'#45-McCready'!I95,'#48-Howard County'!I95,'#49-UCH Upper Chesapeake'!I95,'#51-Doctors Community'!I95,'#55-Laurel Regional'!I95,'#60-Ft Washington'!I95,'#61-Atlantic General'!I95,'#62-Southern Maryland'!I95,'#2001-UM Rehab &amp; Ortho'!I95,'#2004-Good Samaritan'!I95,'#5034-Mt. Washington Pediatric'!I95,'#5050-Shady Grove Adventist'!I95)</f>
        <v>26328.959999999999</v>
      </c>
      <c r="J68" s="145">
        <f>SUM('#1-Meritus'!J95,'#2-UMMS'!J95,'#3-Prince George''s'!J95,'#4-Holy Cross'!J95,'#5-Frederick Memorial'!J95,'#6-Harford Memorial'!J95,'#7-St. Joseph'!J95,'#8-Mercy'!J95,'#9-Johns Hopkins'!J95,'#10-Shore Health Dorchester'!J95,'#11-St. Agnes'!J95,'#12-Sinai'!J95,'#13-Bon Secours'!J95,'#15-Franklin Square'!J95,'#16-Washington Adventist'!J95,'#17-Garrett County'!J95,'#18-Montgomery General'!J95,'#19-Pennisula General'!J95,'#22-Suburban'!J95,'#23-Anne Arundel Medical Center'!J95,'#24-Union Memorial'!J95,'#27-Western Maryland Regional'!J95,'#28-St. Mary''s'!J95,'#29-JH Bayview'!J95,'#30-Chester River'!J95,'#32-Union Cecil County'!J95,'#33-Carroll Hospital '!J95,'#34-Harbor Hospital'!J95,'#35-Civista Medical Center'!J95,'#37-Shore Health Easton'!J95,'#38-UM Midtown'!J95,'#39-Calvert Memorial'!J95,'#40-Northwest'!J95,'#43-UM Baltimore Washington'!J95,'#44-GBMC'!J95,'#45-McCready'!J95,'#48-Howard County'!J95,'#49-UCH Upper Chesapeake'!J95,'#51-Doctors Community'!J95,'#55-Laurel Regional'!J95,'#60-Ft Washington'!J95,'#61-Atlantic General'!J95,'#62-Southern Maryland'!J95,'#2001-UM Rehab &amp; Ortho'!J95,'#2004-Good Samaritan'!J95,'#5034-Mt. Washington Pediatric'!J95,'#5050-Shady Grove Adventist'!J95)</f>
        <v>0</v>
      </c>
      <c r="K68" s="123">
        <f t="shared" si="14"/>
        <v>76728.959999999992</v>
      </c>
      <c r="L68" s="123">
        <f t="shared" si="15"/>
        <v>50400</v>
      </c>
      <c r="M68" s="131"/>
      <c r="N68" s="131"/>
    </row>
    <row r="69" spans="1:14">
      <c r="A69" s="45" t="s">
        <v>399</v>
      </c>
      <c r="B69" s="45"/>
      <c r="C69" s="809"/>
      <c r="D69" s="809"/>
      <c r="E69" s="810"/>
      <c r="F69" s="145">
        <f>SUM('#1-Meritus'!F96,'#2-UMMS'!F96,'#3-Prince George''s'!F96,'#4-Holy Cross'!F96,'#5-Frederick Memorial'!F96,'#6-Harford Memorial'!F96,'#7-St. Joseph'!F96,'#8-Mercy'!F96,'#9-Johns Hopkins'!F96,'#10-Shore Health Dorchester'!F96,'#11-St. Agnes'!F96,'#12-Sinai'!F96,'#13-Bon Secours'!F96,'#15-Franklin Square'!F96,'#16-Washington Adventist'!F96,'#17-Garrett County'!F96,'#18-Montgomery General'!F96,'#19-Pennisula General'!F96,'#22-Suburban'!F96,'#23-Anne Arundel Medical Center'!F96,'#24-Union Memorial'!F96,'#27-Western Maryland Regional'!F96,'#28-St. Mary''s'!F96,'#29-JH Bayview'!F96,'#30-Chester River'!F96,'#32-Union Cecil County'!F96,'#33-Carroll Hospital '!F96,'#34-Harbor Hospital'!F96,'#35-Civista Medical Center'!F96,'#37-Shore Health Easton'!F96,'#38-UM Midtown'!F96,'#39-Calvert Memorial'!F96,'#40-Northwest'!F96,'#43-UM Baltimore Washington'!F96,'#44-GBMC'!F96,'#45-McCready'!F96,'#48-Howard County'!F96,'#49-UCH Upper Chesapeake'!F96,'#51-Doctors Community'!F96,'#55-Laurel Regional'!F96,'#60-Ft Washington'!F96,'#61-Atlantic General'!F96,'#62-Southern Maryland'!F96,'#2001-UM Rehab &amp; Ortho'!F96,'#2004-Good Samaritan'!F96,'#5034-Mt. Washington Pediatric'!F96,'#5050-Shady Grove Adventist'!F96)</f>
        <v>0</v>
      </c>
      <c r="G69" s="145">
        <f>SUM('#1-Meritus'!G96,'#2-UMMS'!G96,'#3-Prince George''s'!G96,'#4-Holy Cross'!G96,'#5-Frederick Memorial'!G96,'#6-Harford Memorial'!G96,'#7-St. Joseph'!G96,'#8-Mercy'!G96,'#9-Johns Hopkins'!G96,'#10-Shore Health Dorchester'!G96,'#11-St. Agnes'!G96,'#12-Sinai'!G96,'#13-Bon Secours'!G96,'#15-Franklin Square'!G96,'#16-Washington Adventist'!G96,'#17-Garrett County'!G96,'#18-Montgomery General'!G96,'#19-Pennisula General'!G96,'#22-Suburban'!G96,'#23-Anne Arundel Medical Center'!G96,'#24-Union Memorial'!G96,'#27-Western Maryland Regional'!G96,'#28-St. Mary''s'!G96,'#29-JH Bayview'!G96,'#30-Chester River'!G96,'#32-Union Cecil County'!G96,'#33-Carroll Hospital '!G96,'#34-Harbor Hospital'!G96,'#35-Civista Medical Center'!G96,'#37-Shore Health Easton'!G96,'#38-UM Midtown'!G96,'#39-Calvert Memorial'!G96,'#40-Northwest'!G96,'#43-UM Baltimore Washington'!G96,'#44-GBMC'!G96,'#45-McCready'!G96,'#48-Howard County'!G96,'#49-UCH Upper Chesapeake'!G96,'#51-Doctors Community'!G96,'#55-Laurel Regional'!G96,'#60-Ft Washington'!G96,'#61-Atlantic General'!G96,'#62-Southern Maryland'!G96,'#2001-UM Rehab &amp; Ortho'!G96,'#2004-Good Samaritan'!G96,'#5034-Mt. Washington Pediatric'!G96,'#5050-Shady Grove Adventist'!G96)</f>
        <v>0</v>
      </c>
      <c r="H69" s="145">
        <f>SUM('#1-Meritus'!H96,'#2-UMMS'!H96,'#3-Prince George''s'!H96,'#4-Holy Cross'!H96,'#5-Frederick Memorial'!H96,'#6-Harford Memorial'!H96,'#7-St. Joseph'!H96,'#8-Mercy'!H96,'#9-Johns Hopkins'!H96,'#10-Shore Health Dorchester'!H96,'#11-St. Agnes'!H96,'#12-Sinai'!H96,'#13-Bon Secours'!H96,'#15-Franklin Square'!H96,'#16-Washington Adventist'!H96,'#17-Garrett County'!H96,'#18-Montgomery General'!H96,'#19-Pennisula General'!H96,'#22-Suburban'!H96,'#23-Anne Arundel Medical Center'!H96,'#24-Union Memorial'!H96,'#27-Western Maryland Regional'!H96,'#28-St. Mary''s'!H96,'#29-JH Bayview'!H96,'#30-Chester River'!H96,'#32-Union Cecil County'!H96,'#33-Carroll Hospital '!H96,'#34-Harbor Hospital'!H96,'#35-Civista Medical Center'!H96,'#37-Shore Health Easton'!H96,'#38-UM Midtown'!H96,'#39-Calvert Memorial'!H96,'#40-Northwest'!H96,'#43-UM Baltimore Washington'!H96,'#44-GBMC'!H96,'#45-McCready'!H96,'#48-Howard County'!H96,'#49-UCH Upper Chesapeake'!H96,'#51-Doctors Community'!H96,'#55-Laurel Regional'!H96,'#60-Ft Washington'!H96,'#61-Atlantic General'!H96,'#62-Southern Maryland'!H96,'#2001-UM Rehab &amp; Ortho'!H96,'#2004-Good Samaritan'!H96,'#5034-Mt. Washington Pediatric'!H96,'#5050-Shady Grove Adventist'!H96)</f>
        <v>0</v>
      </c>
      <c r="I69" s="145">
        <f>SUM('#1-Meritus'!I96,'#2-UMMS'!I96,'#3-Prince George''s'!I96,'#4-Holy Cross'!I96,'#5-Frederick Memorial'!I96,'#6-Harford Memorial'!I96,'#7-St. Joseph'!I96,'#8-Mercy'!I96,'#9-Johns Hopkins'!I96,'#10-Shore Health Dorchester'!I96,'#11-St. Agnes'!I96,'#12-Sinai'!I96,'#13-Bon Secours'!I96,'#15-Franklin Square'!I96,'#16-Washington Adventist'!I96,'#17-Garrett County'!I96,'#18-Montgomery General'!I96,'#19-Pennisula General'!I96,'#22-Suburban'!I96,'#23-Anne Arundel Medical Center'!I96,'#24-Union Memorial'!I96,'#27-Western Maryland Regional'!I96,'#28-St. Mary''s'!I96,'#29-JH Bayview'!I96,'#30-Chester River'!I96,'#32-Union Cecil County'!I96,'#33-Carroll Hospital '!I96,'#34-Harbor Hospital'!I96,'#35-Civista Medical Center'!I96,'#37-Shore Health Easton'!I96,'#38-UM Midtown'!I96,'#39-Calvert Memorial'!I96,'#40-Northwest'!I96,'#43-UM Baltimore Washington'!I96,'#44-GBMC'!I96,'#45-McCready'!I96,'#48-Howard County'!I96,'#49-UCH Upper Chesapeake'!I96,'#51-Doctors Community'!I96,'#55-Laurel Regional'!I96,'#60-Ft Washington'!I96,'#61-Atlantic General'!I96,'#62-Southern Maryland'!I96,'#2001-UM Rehab &amp; Ortho'!I96,'#2004-Good Samaritan'!I96,'#5034-Mt. Washington Pediatric'!I96,'#5050-Shady Grove Adventist'!I96)</f>
        <v>0</v>
      </c>
      <c r="J69" s="145">
        <f>SUM('#1-Meritus'!J96,'#2-UMMS'!J96,'#3-Prince George''s'!J96,'#4-Holy Cross'!J96,'#5-Frederick Memorial'!J96,'#6-Harford Memorial'!J96,'#7-St. Joseph'!J96,'#8-Mercy'!J96,'#9-Johns Hopkins'!J96,'#10-Shore Health Dorchester'!J96,'#11-St. Agnes'!J96,'#12-Sinai'!J96,'#13-Bon Secours'!J96,'#15-Franklin Square'!J96,'#16-Washington Adventist'!J96,'#17-Garrett County'!J96,'#18-Montgomery General'!J96,'#19-Pennisula General'!J96,'#22-Suburban'!J96,'#23-Anne Arundel Medical Center'!J96,'#24-Union Memorial'!J96,'#27-Western Maryland Regional'!J96,'#28-St. Mary''s'!J96,'#29-JH Bayview'!J96,'#30-Chester River'!J96,'#32-Union Cecil County'!J96,'#33-Carroll Hospital '!J96,'#34-Harbor Hospital'!J96,'#35-Civista Medical Center'!J96,'#37-Shore Health Easton'!J96,'#38-UM Midtown'!J96,'#39-Calvert Memorial'!J96,'#40-Northwest'!J96,'#43-UM Baltimore Washington'!J96,'#44-GBMC'!J96,'#45-McCready'!J96,'#48-Howard County'!J96,'#49-UCH Upper Chesapeake'!J96,'#51-Doctors Community'!J96,'#55-Laurel Regional'!J96,'#60-Ft Washington'!J96,'#61-Atlantic General'!J96,'#62-Southern Maryland'!J96,'#2001-UM Rehab &amp; Ortho'!J96,'#2004-Good Samaritan'!J96,'#5034-Mt. Washington Pediatric'!J96,'#5050-Shady Grove Adventist'!J96)</f>
        <v>0</v>
      </c>
      <c r="K69" s="123">
        <f t="shared" si="14"/>
        <v>0</v>
      </c>
      <c r="L69" s="123">
        <f t="shared" si="15"/>
        <v>0</v>
      </c>
      <c r="M69" s="131"/>
      <c r="N69" s="131"/>
    </row>
    <row r="70" spans="1:14">
      <c r="B70" s="45"/>
      <c r="C70" s="49"/>
      <c r="D70" s="43"/>
      <c r="E70" s="43"/>
      <c r="H70" s="133"/>
      <c r="I70" s="133"/>
      <c r="J70" s="133"/>
      <c r="K70" s="133"/>
      <c r="L70" s="131"/>
      <c r="M70" s="131"/>
      <c r="N70" s="131"/>
    </row>
    <row r="71" spans="1:14">
      <c r="A71" s="48" t="s">
        <v>331</v>
      </c>
      <c r="B71" s="45"/>
      <c r="C71" s="43" t="s">
        <v>53</v>
      </c>
      <c r="F71" s="145">
        <f>SUM(F59:F69)</f>
        <v>152743.33754064207</v>
      </c>
      <c r="G71" s="145">
        <f t="shared" ref="G71:L71" si="16">SUM(G59:G69)</f>
        <v>675368.93756568246</v>
      </c>
      <c r="H71" s="145">
        <f t="shared" si="16"/>
        <v>14598631.891621644</v>
      </c>
      <c r="I71" s="145">
        <f t="shared" si="16"/>
        <v>6243527.9268986704</v>
      </c>
      <c r="J71" s="145">
        <f t="shared" si="16"/>
        <v>3955902.781</v>
      </c>
      <c r="K71" s="145">
        <f t="shared" si="16"/>
        <v>16886257.037520315</v>
      </c>
      <c r="L71" s="145">
        <f t="shared" si="16"/>
        <v>10642729.110621642</v>
      </c>
      <c r="M71" s="131"/>
      <c r="N71" s="131"/>
    </row>
    <row r="72" spans="1:14">
      <c r="A72" s="45"/>
      <c r="B72" s="45"/>
      <c r="C72" s="43"/>
      <c r="F72" s="136"/>
      <c r="G72" s="136"/>
      <c r="H72" s="136"/>
      <c r="I72" s="136"/>
      <c r="J72" s="136"/>
      <c r="K72" s="136"/>
      <c r="L72" s="136"/>
      <c r="M72" s="131"/>
      <c r="N72" s="131"/>
    </row>
    <row r="73" spans="1:14">
      <c r="A73" s="39"/>
      <c r="B73" s="39"/>
      <c r="C73" s="43"/>
      <c r="J73" s="114"/>
      <c r="K73" s="126"/>
      <c r="M73" s="131"/>
      <c r="N73" s="131"/>
    </row>
    <row r="74" spans="1:14" ht="46.5" customHeight="1">
      <c r="A74" s="43" t="s">
        <v>400</v>
      </c>
      <c r="B74" s="43"/>
      <c r="C74" s="43" t="s">
        <v>222</v>
      </c>
      <c r="F74" s="47" t="s">
        <v>145</v>
      </c>
      <c r="G74" s="47" t="s">
        <v>146</v>
      </c>
      <c r="H74" s="47" t="s">
        <v>385</v>
      </c>
      <c r="I74" s="47" t="s">
        <v>386</v>
      </c>
      <c r="J74" s="113" t="s">
        <v>382</v>
      </c>
      <c r="K74" s="125" t="s">
        <v>383</v>
      </c>
      <c r="L74" s="47" t="s">
        <v>384</v>
      </c>
      <c r="M74" s="131"/>
      <c r="N74" s="131"/>
    </row>
    <row r="75" spans="1:14">
      <c r="A75" s="39"/>
      <c r="B75" s="39"/>
      <c r="C75" s="43"/>
      <c r="J75" s="114"/>
      <c r="K75" s="126"/>
      <c r="M75" s="131"/>
      <c r="N75" s="131"/>
    </row>
    <row r="76" spans="1:14">
      <c r="A76" s="45" t="s">
        <v>223</v>
      </c>
      <c r="B76" s="39"/>
      <c r="C76" s="40" t="s">
        <v>401</v>
      </c>
      <c r="F76" s="145">
        <f>SUM('#1-Meritus'!F102,'#2-UMMS'!F102,'#3-Prince George''s'!F102,'#4-Holy Cross'!F102,'#5-Frederick Memorial'!F102,'#6-Harford Memorial'!F102,'#7-St. Joseph'!F102,'#8-Mercy'!F102,'#9-Johns Hopkins'!F102,'#10-Shore Health Dorchester'!F102,'#11-St. Agnes'!F102,'#12-Sinai'!F102,'#13-Bon Secours'!F102,'#15-Franklin Square'!F102,'#16-Washington Adventist'!F102,'#17-Garrett County'!F102,'#18-Montgomery General'!F102,'#19-Pennisula General'!F102,'#22-Suburban'!F102,'#23-Anne Arundel Medical Center'!F102,'#24-Union Memorial'!F102,'#27-Western Maryland Regional'!F102,'#28-St. Mary''s'!F102,'#29-JH Bayview'!F102,'#30-Chester River'!F102,'#32-Union Cecil County'!F102,'#33-Carroll Hospital '!F102,'#34-Harbor Hospital'!F102,'#35-Civista Medical Center'!F102,'#37-Shore Health Easton'!F102,'#38-UM Midtown'!F102,'#39-Calvert Memorial'!F102,'#40-Northwest'!F102,'#43-UM Baltimore Washington'!F102,'#44-GBMC'!F102,'#45-McCready'!F102,'#48-Howard County'!F102,'#49-UCH Upper Chesapeake'!F102,'#51-Doctors Community'!F102,'#55-Laurel Regional'!F102,'#60-Ft Washington'!F102,'#61-Atlantic General'!F102,'#62-Southern Maryland'!F102,'#2001-UM Rehab &amp; Ortho'!F102,'#2004-Good Samaritan'!F102,'#5034-Mt. Washington Pediatric'!F102,'#5050-Shady Grove Adventist'!F102)</f>
        <v>81127.512252910296</v>
      </c>
      <c r="G76" s="145">
        <f>SUM('#1-Meritus'!G102,'#2-UMMS'!G102,'#3-Prince George''s'!G102,'#4-Holy Cross'!G102,'#5-Frederick Memorial'!G102,'#6-Harford Memorial'!G102,'#7-St. Joseph'!G102,'#8-Mercy'!G102,'#9-Johns Hopkins'!G102,'#10-Shore Health Dorchester'!G102,'#11-St. Agnes'!G102,'#12-Sinai'!G102,'#13-Bon Secours'!G102,'#15-Franklin Square'!G102,'#16-Washington Adventist'!G102,'#17-Garrett County'!G102,'#18-Montgomery General'!G102,'#19-Pennisula General'!G102,'#22-Suburban'!G102,'#23-Anne Arundel Medical Center'!G102,'#24-Union Memorial'!G102,'#27-Western Maryland Regional'!G102,'#28-St. Mary''s'!G102,'#29-JH Bayview'!G102,'#30-Chester River'!G102,'#32-Union Cecil County'!G102,'#33-Carroll Hospital '!G102,'#34-Harbor Hospital'!G102,'#35-Civista Medical Center'!G102,'#37-Shore Health Easton'!G102,'#38-UM Midtown'!G102,'#39-Calvert Memorial'!G102,'#40-Northwest'!G102,'#43-UM Baltimore Washington'!G102,'#44-GBMC'!G102,'#45-McCready'!G102,'#48-Howard County'!G102,'#49-UCH Upper Chesapeake'!G102,'#51-Doctors Community'!G102,'#55-Laurel Regional'!G102,'#60-Ft Washington'!G102,'#61-Atlantic General'!G102,'#62-Southern Maryland'!G102,'#2001-UM Rehab &amp; Ortho'!G102,'#2004-Good Samaritan'!G102,'#5034-Mt. Washington Pediatric'!G102,'#5050-Shady Grove Adventist'!G102)</f>
        <v>1256</v>
      </c>
      <c r="H76" s="145">
        <f>SUM('#1-Meritus'!H102,'#2-UMMS'!H102,'#3-Prince George''s'!H102,'#4-Holy Cross'!H102,'#5-Frederick Memorial'!H102,'#6-Harford Memorial'!H102,'#7-St. Joseph'!H102,'#8-Mercy'!H102,'#9-Johns Hopkins'!H102,'#10-Shore Health Dorchester'!H102,'#11-St. Agnes'!H102,'#12-Sinai'!H102,'#13-Bon Secours'!H102,'#15-Franklin Square'!H102,'#16-Washington Adventist'!H102,'#17-Garrett County'!H102,'#18-Montgomery General'!H102,'#19-Pennisula General'!H102,'#22-Suburban'!H102,'#23-Anne Arundel Medical Center'!H102,'#24-Union Memorial'!H102,'#27-Western Maryland Regional'!H102,'#28-St. Mary''s'!H102,'#29-JH Bayview'!H102,'#30-Chester River'!H102,'#32-Union Cecil County'!H102,'#33-Carroll Hospital '!H102,'#34-Harbor Hospital'!H102,'#35-Civista Medical Center'!H102,'#37-Shore Health Easton'!H102,'#38-UM Midtown'!H102,'#39-Calvert Memorial'!H102,'#40-Northwest'!H102,'#43-UM Baltimore Washington'!H102,'#44-GBMC'!H102,'#45-McCready'!H102,'#48-Howard County'!H102,'#49-UCH Upper Chesapeake'!H102,'#51-Doctors Community'!H102,'#55-Laurel Regional'!H102,'#60-Ft Washington'!H102,'#61-Atlantic General'!H102,'#62-Southern Maryland'!H102,'#2001-UM Rehab &amp; Ortho'!H102,'#2004-Good Samaritan'!H102,'#5034-Mt. Washington Pediatric'!H102,'#5050-Shady Grove Adventist'!H102)</f>
        <v>4431700.2383152051</v>
      </c>
      <c r="I76" s="145">
        <f>SUM('#1-Meritus'!I102,'#2-UMMS'!I102,'#3-Prince George''s'!I102,'#4-Holy Cross'!I102,'#5-Frederick Memorial'!I102,'#6-Harford Memorial'!I102,'#7-St. Joseph'!I102,'#8-Mercy'!I102,'#9-Johns Hopkins'!I102,'#10-Shore Health Dorchester'!I102,'#11-St. Agnes'!I102,'#12-Sinai'!I102,'#13-Bon Secours'!I102,'#15-Franklin Square'!I102,'#16-Washington Adventist'!I102,'#17-Garrett County'!I102,'#18-Montgomery General'!I102,'#19-Pennisula General'!I102,'#22-Suburban'!I102,'#23-Anne Arundel Medical Center'!I102,'#24-Union Memorial'!I102,'#27-Western Maryland Regional'!I102,'#28-St. Mary''s'!I102,'#29-JH Bayview'!I102,'#30-Chester River'!I102,'#32-Union Cecil County'!I102,'#33-Carroll Hospital '!I102,'#34-Harbor Hospital'!I102,'#35-Civista Medical Center'!I102,'#37-Shore Health Easton'!I102,'#38-UM Midtown'!I102,'#39-Calvert Memorial'!I102,'#40-Northwest'!I102,'#43-UM Baltimore Washington'!I102,'#44-GBMC'!I102,'#45-McCready'!I102,'#48-Howard County'!I102,'#49-UCH Upper Chesapeake'!I102,'#51-Doctors Community'!I102,'#55-Laurel Regional'!I102,'#60-Ft Washington'!I102,'#61-Atlantic General'!I102,'#62-Southern Maryland'!I102,'#2001-UM Rehab &amp; Ortho'!I102,'#2004-Good Samaritan'!I102,'#5034-Mt. Washington Pediatric'!I102,'#5050-Shady Grove Adventist'!I102)</f>
        <v>1960091.1088737408</v>
      </c>
      <c r="J76" s="145">
        <f>SUM('#1-Meritus'!J102,'#2-UMMS'!J102,'#3-Prince George''s'!J102,'#4-Holy Cross'!J102,'#5-Frederick Memorial'!J102,'#6-Harford Memorial'!J102,'#7-St. Joseph'!J102,'#8-Mercy'!J102,'#9-Johns Hopkins'!J102,'#10-Shore Health Dorchester'!J102,'#11-St. Agnes'!J102,'#12-Sinai'!J102,'#13-Bon Secours'!J102,'#15-Franklin Square'!J102,'#16-Washington Adventist'!J102,'#17-Garrett County'!J102,'#18-Montgomery General'!J102,'#19-Pennisula General'!J102,'#22-Suburban'!J102,'#23-Anne Arundel Medical Center'!J102,'#24-Union Memorial'!J102,'#27-Western Maryland Regional'!J102,'#28-St. Mary''s'!J102,'#29-JH Bayview'!J102,'#30-Chester River'!J102,'#32-Union Cecil County'!J102,'#33-Carroll Hospital '!J102,'#34-Harbor Hospital'!J102,'#35-Civista Medical Center'!J102,'#37-Shore Health Easton'!J102,'#38-UM Midtown'!J102,'#39-Calvert Memorial'!J102,'#40-Northwest'!J102,'#43-UM Baltimore Washington'!J102,'#44-GBMC'!J102,'#45-McCready'!J102,'#48-Howard County'!J102,'#49-UCH Upper Chesapeake'!J102,'#51-Doctors Community'!J102,'#55-Laurel Regional'!J102,'#60-Ft Washington'!J102,'#61-Atlantic General'!J102,'#62-Southern Maryland'!J102,'#2001-UM Rehab &amp; Ortho'!J102,'#2004-Good Samaritan'!J102,'#5034-Mt. Washington Pediatric'!J102,'#5050-Shady Grove Adventist'!J102)</f>
        <v>0</v>
      </c>
      <c r="K76" s="123">
        <f t="shared" ref="K76:K80" si="17">+H76+I76-J76</f>
        <v>6391791.3471889459</v>
      </c>
      <c r="L76" s="123">
        <f t="shared" ref="L76:L80" si="18">+H76-J76</f>
        <v>4431700.2383152051</v>
      </c>
      <c r="M76" s="131"/>
      <c r="N76" s="131"/>
    </row>
    <row r="77" spans="1:14">
      <c r="A77" s="45" t="s">
        <v>225</v>
      </c>
      <c r="B77" s="48"/>
      <c r="C77" s="441" t="s">
        <v>226</v>
      </c>
      <c r="F77" s="145">
        <f>SUM('#1-Meritus'!F103,'#2-UMMS'!F103,'#3-Prince George''s'!F103,'#4-Holy Cross'!F103,'#5-Frederick Memorial'!F103,'#6-Harford Memorial'!F103,'#7-St. Joseph'!F103,'#8-Mercy'!F103,'#9-Johns Hopkins'!F103,'#10-Shore Health Dorchester'!F103,'#11-St. Agnes'!F103,'#12-Sinai'!F103,'#13-Bon Secours'!F103,'#15-Franklin Square'!F103,'#16-Washington Adventist'!F103,'#17-Garrett County'!F103,'#18-Montgomery General'!F103,'#19-Pennisula General'!F103,'#22-Suburban'!F103,'#23-Anne Arundel Medical Center'!F103,'#24-Union Memorial'!F103,'#27-Western Maryland Regional'!F103,'#28-St. Mary''s'!F103,'#29-JH Bayview'!F103,'#30-Chester River'!F103,'#32-Union Cecil County'!F103,'#33-Carroll Hospital '!F103,'#34-Harbor Hospital'!F103,'#35-Civista Medical Center'!F103,'#37-Shore Health Easton'!F103,'#38-UM Midtown'!F103,'#39-Calvert Memorial'!F103,'#40-Northwest'!F103,'#43-UM Baltimore Washington'!F103,'#44-GBMC'!F103,'#45-McCready'!F103,'#48-Howard County'!F103,'#49-UCH Upper Chesapeake'!F103,'#51-Doctors Community'!F103,'#55-Laurel Regional'!F103,'#60-Ft Washington'!F103,'#61-Atlantic General'!F103,'#62-Southern Maryland'!F103,'#2001-UM Rehab &amp; Ortho'!F103,'#2004-Good Samaritan'!F103,'#5034-Mt. Washington Pediatric'!F103,'#5050-Shady Grove Adventist'!F103)</f>
        <v>5312.38</v>
      </c>
      <c r="G77" s="145">
        <f>SUM('#1-Meritus'!G103,'#2-UMMS'!G103,'#3-Prince George''s'!G103,'#4-Holy Cross'!G103,'#5-Frederick Memorial'!G103,'#6-Harford Memorial'!G103,'#7-St. Joseph'!G103,'#8-Mercy'!G103,'#9-Johns Hopkins'!G103,'#10-Shore Health Dorchester'!G103,'#11-St. Agnes'!G103,'#12-Sinai'!G103,'#13-Bon Secours'!G103,'#15-Franklin Square'!G103,'#16-Washington Adventist'!G103,'#17-Garrett County'!G103,'#18-Montgomery General'!G103,'#19-Pennisula General'!G103,'#22-Suburban'!G103,'#23-Anne Arundel Medical Center'!G103,'#24-Union Memorial'!G103,'#27-Western Maryland Regional'!G103,'#28-St. Mary''s'!G103,'#29-JH Bayview'!G103,'#30-Chester River'!G103,'#32-Union Cecil County'!G103,'#33-Carroll Hospital '!G103,'#34-Harbor Hospital'!G103,'#35-Civista Medical Center'!G103,'#37-Shore Health Easton'!G103,'#38-UM Midtown'!G103,'#39-Calvert Memorial'!G103,'#40-Northwest'!G103,'#43-UM Baltimore Washington'!G103,'#44-GBMC'!G103,'#45-McCready'!G103,'#48-Howard County'!G103,'#49-UCH Upper Chesapeake'!G103,'#51-Doctors Community'!G103,'#55-Laurel Regional'!G103,'#60-Ft Washington'!G103,'#61-Atlantic General'!G103,'#62-Southern Maryland'!G103,'#2001-UM Rehab &amp; Ortho'!G103,'#2004-Good Samaritan'!G103,'#5034-Mt. Washington Pediatric'!G103,'#5050-Shady Grove Adventist'!G103)</f>
        <v>682</v>
      </c>
      <c r="H77" s="145">
        <f>SUM('#1-Meritus'!H103,'#2-UMMS'!H103,'#3-Prince George''s'!H103,'#4-Holy Cross'!H103,'#5-Frederick Memorial'!H103,'#6-Harford Memorial'!H103,'#7-St. Joseph'!H103,'#8-Mercy'!H103,'#9-Johns Hopkins'!H103,'#10-Shore Health Dorchester'!H103,'#11-St. Agnes'!H103,'#12-Sinai'!H103,'#13-Bon Secours'!H103,'#15-Franklin Square'!H103,'#16-Washington Adventist'!H103,'#17-Garrett County'!H103,'#18-Montgomery General'!H103,'#19-Pennisula General'!H103,'#22-Suburban'!H103,'#23-Anne Arundel Medical Center'!H103,'#24-Union Memorial'!H103,'#27-Western Maryland Regional'!H103,'#28-St. Mary''s'!H103,'#29-JH Bayview'!H103,'#30-Chester River'!H103,'#32-Union Cecil County'!H103,'#33-Carroll Hospital '!H103,'#34-Harbor Hospital'!H103,'#35-Civista Medical Center'!H103,'#37-Shore Health Easton'!H103,'#38-UM Midtown'!H103,'#39-Calvert Memorial'!H103,'#40-Northwest'!H103,'#43-UM Baltimore Washington'!H103,'#44-GBMC'!H103,'#45-McCready'!H103,'#48-Howard County'!H103,'#49-UCH Upper Chesapeake'!H103,'#51-Doctors Community'!H103,'#55-Laurel Regional'!H103,'#60-Ft Washington'!H103,'#61-Atlantic General'!H103,'#62-Southern Maryland'!H103,'#2001-UM Rehab &amp; Ortho'!H103,'#2004-Good Samaritan'!H103,'#5034-Mt. Washington Pediatric'!H103,'#5050-Shady Grove Adventist'!H103)</f>
        <v>551718.73991975014</v>
      </c>
      <c r="I77" s="145">
        <f>SUM('#1-Meritus'!I103,'#2-UMMS'!I103,'#3-Prince George''s'!I103,'#4-Holy Cross'!I103,'#5-Frederick Memorial'!I103,'#6-Harford Memorial'!I103,'#7-St. Joseph'!I103,'#8-Mercy'!I103,'#9-Johns Hopkins'!I103,'#10-Shore Health Dorchester'!I103,'#11-St. Agnes'!I103,'#12-Sinai'!I103,'#13-Bon Secours'!I103,'#15-Franklin Square'!I103,'#16-Washington Adventist'!I103,'#17-Garrett County'!I103,'#18-Montgomery General'!I103,'#19-Pennisula General'!I103,'#22-Suburban'!I103,'#23-Anne Arundel Medical Center'!I103,'#24-Union Memorial'!I103,'#27-Western Maryland Regional'!I103,'#28-St. Mary''s'!I103,'#29-JH Bayview'!I103,'#30-Chester River'!I103,'#32-Union Cecil County'!I103,'#33-Carroll Hospital '!I103,'#34-Harbor Hospital'!I103,'#35-Civista Medical Center'!I103,'#37-Shore Health Easton'!I103,'#38-UM Midtown'!I103,'#39-Calvert Memorial'!I103,'#40-Northwest'!I103,'#43-UM Baltimore Washington'!I103,'#44-GBMC'!I103,'#45-McCready'!I103,'#48-Howard County'!I103,'#49-UCH Upper Chesapeake'!I103,'#51-Doctors Community'!I103,'#55-Laurel Regional'!I103,'#60-Ft Washington'!I103,'#61-Atlantic General'!I103,'#62-Southern Maryland'!I103,'#2001-UM Rehab &amp; Ortho'!I103,'#2004-Good Samaritan'!I103,'#5034-Mt. Washington Pediatric'!I103,'#5050-Shady Grove Adventist'!I103)</f>
        <v>243761.99704077243</v>
      </c>
      <c r="J77" s="145">
        <f>SUM('#1-Meritus'!J103,'#2-UMMS'!J103,'#3-Prince George''s'!J103,'#4-Holy Cross'!J103,'#5-Frederick Memorial'!J103,'#6-Harford Memorial'!J103,'#7-St. Joseph'!J103,'#8-Mercy'!J103,'#9-Johns Hopkins'!J103,'#10-Shore Health Dorchester'!J103,'#11-St. Agnes'!J103,'#12-Sinai'!J103,'#13-Bon Secours'!J103,'#15-Franklin Square'!J103,'#16-Washington Adventist'!J103,'#17-Garrett County'!J103,'#18-Montgomery General'!J103,'#19-Pennisula General'!J103,'#22-Suburban'!J103,'#23-Anne Arundel Medical Center'!J103,'#24-Union Memorial'!J103,'#27-Western Maryland Regional'!J103,'#28-St. Mary''s'!J103,'#29-JH Bayview'!J103,'#30-Chester River'!J103,'#32-Union Cecil County'!J103,'#33-Carroll Hospital '!J103,'#34-Harbor Hospital'!J103,'#35-Civista Medical Center'!J103,'#37-Shore Health Easton'!J103,'#38-UM Midtown'!J103,'#39-Calvert Memorial'!J103,'#40-Northwest'!J103,'#43-UM Baltimore Washington'!J103,'#44-GBMC'!J103,'#45-McCready'!J103,'#48-Howard County'!J103,'#49-UCH Upper Chesapeake'!J103,'#51-Doctors Community'!J103,'#55-Laurel Regional'!J103,'#60-Ft Washington'!J103,'#61-Atlantic General'!J103,'#62-Southern Maryland'!J103,'#2001-UM Rehab &amp; Ortho'!J103,'#2004-Good Samaritan'!J103,'#5034-Mt. Washington Pediatric'!J103,'#5050-Shady Grove Adventist'!J103)</f>
        <v>20091.131000000001</v>
      </c>
      <c r="K77" s="123">
        <f t="shared" si="17"/>
        <v>775389.60596052255</v>
      </c>
      <c r="L77" s="123">
        <f t="shared" si="18"/>
        <v>531627.60891975008</v>
      </c>
      <c r="M77" s="131"/>
      <c r="N77" s="131"/>
    </row>
    <row r="78" spans="1:14">
      <c r="A78" s="45" t="s">
        <v>227</v>
      </c>
      <c r="B78" s="45"/>
      <c r="C78" s="40" t="s">
        <v>228</v>
      </c>
      <c r="D78" s="134"/>
      <c r="E78" s="134"/>
      <c r="F78" s="145">
        <f>SUM('#1-Meritus'!F104,'#2-UMMS'!F104,'#3-Prince George''s'!F104,'#4-Holy Cross'!F104,'#5-Frederick Memorial'!F104,'#6-Harford Memorial'!F104,'#7-St. Joseph'!F104,'#8-Mercy'!F104,'#9-Johns Hopkins'!F104,'#10-Shore Health Dorchester'!F104,'#11-St. Agnes'!F104,'#12-Sinai'!F104,'#13-Bon Secours'!F104,'#15-Franklin Square'!F104,'#16-Washington Adventist'!F104,'#17-Garrett County'!F104,'#18-Montgomery General'!F104,'#19-Pennisula General'!F104,'#22-Suburban'!F104,'#23-Anne Arundel Medical Center'!F104,'#24-Union Memorial'!F104,'#27-Western Maryland Regional'!F104,'#28-St. Mary''s'!F104,'#29-JH Bayview'!F104,'#30-Chester River'!F104,'#32-Union Cecil County'!F104,'#33-Carroll Hospital '!F104,'#34-Harbor Hospital'!F104,'#35-Civista Medical Center'!F104,'#37-Shore Health Easton'!F104,'#38-UM Midtown'!F104,'#39-Calvert Memorial'!F104,'#40-Northwest'!F104,'#43-UM Baltimore Washington'!F104,'#44-GBMC'!F104,'#45-McCready'!F104,'#48-Howard County'!F104,'#49-UCH Upper Chesapeake'!F104,'#51-Doctors Community'!F104,'#55-Laurel Regional'!F104,'#60-Ft Washington'!F104,'#61-Atlantic General'!F104,'#62-Southern Maryland'!F104,'#2001-UM Rehab &amp; Ortho'!F104,'#2004-Good Samaritan'!F104,'#5034-Mt. Washington Pediatric'!F104,'#5050-Shady Grove Adventist'!F104)</f>
        <v>396.5</v>
      </c>
      <c r="G78" s="145">
        <f>SUM('#1-Meritus'!G104,'#2-UMMS'!G104,'#3-Prince George''s'!G104,'#4-Holy Cross'!G104,'#5-Frederick Memorial'!G104,'#6-Harford Memorial'!G104,'#7-St. Joseph'!G104,'#8-Mercy'!G104,'#9-Johns Hopkins'!G104,'#10-Shore Health Dorchester'!G104,'#11-St. Agnes'!G104,'#12-Sinai'!G104,'#13-Bon Secours'!G104,'#15-Franklin Square'!G104,'#16-Washington Adventist'!G104,'#17-Garrett County'!G104,'#18-Montgomery General'!G104,'#19-Pennisula General'!G104,'#22-Suburban'!G104,'#23-Anne Arundel Medical Center'!G104,'#24-Union Memorial'!G104,'#27-Western Maryland Regional'!G104,'#28-St. Mary''s'!G104,'#29-JH Bayview'!G104,'#30-Chester River'!G104,'#32-Union Cecil County'!G104,'#33-Carroll Hospital '!G104,'#34-Harbor Hospital'!G104,'#35-Civista Medical Center'!G104,'#37-Shore Health Easton'!G104,'#38-UM Midtown'!G104,'#39-Calvert Memorial'!G104,'#40-Northwest'!G104,'#43-UM Baltimore Washington'!G104,'#44-GBMC'!G104,'#45-McCready'!G104,'#48-Howard County'!G104,'#49-UCH Upper Chesapeake'!G104,'#51-Doctors Community'!G104,'#55-Laurel Regional'!G104,'#60-Ft Washington'!G104,'#61-Atlantic General'!G104,'#62-Southern Maryland'!G104,'#2001-UM Rehab &amp; Ortho'!G104,'#2004-Good Samaritan'!G104,'#5034-Mt. Washington Pediatric'!G104,'#5050-Shady Grove Adventist'!G104)</f>
        <v>183</v>
      </c>
      <c r="H78" s="145">
        <f>SUM('#1-Meritus'!H104,'#2-UMMS'!H104,'#3-Prince George''s'!H104,'#4-Holy Cross'!H104,'#5-Frederick Memorial'!H104,'#6-Harford Memorial'!H104,'#7-St. Joseph'!H104,'#8-Mercy'!H104,'#9-Johns Hopkins'!H104,'#10-Shore Health Dorchester'!H104,'#11-St. Agnes'!H104,'#12-Sinai'!H104,'#13-Bon Secours'!H104,'#15-Franklin Square'!H104,'#16-Washington Adventist'!H104,'#17-Garrett County'!H104,'#18-Montgomery General'!H104,'#19-Pennisula General'!H104,'#22-Suburban'!H104,'#23-Anne Arundel Medical Center'!H104,'#24-Union Memorial'!H104,'#27-Western Maryland Regional'!H104,'#28-St. Mary''s'!H104,'#29-JH Bayview'!H104,'#30-Chester River'!H104,'#32-Union Cecil County'!H104,'#33-Carroll Hospital '!H104,'#34-Harbor Hospital'!H104,'#35-Civista Medical Center'!H104,'#37-Shore Health Easton'!H104,'#38-UM Midtown'!H104,'#39-Calvert Memorial'!H104,'#40-Northwest'!H104,'#43-UM Baltimore Washington'!H104,'#44-GBMC'!H104,'#45-McCready'!H104,'#48-Howard County'!H104,'#49-UCH Upper Chesapeake'!H104,'#51-Doctors Community'!H104,'#55-Laurel Regional'!H104,'#60-Ft Washington'!H104,'#61-Atlantic General'!H104,'#62-Southern Maryland'!H104,'#2001-UM Rehab &amp; Ortho'!H104,'#2004-Good Samaritan'!H104,'#5034-Mt. Washington Pediatric'!H104,'#5050-Shady Grove Adventist'!H104)</f>
        <v>679909.19888999988</v>
      </c>
      <c r="I78" s="145">
        <f>SUM('#1-Meritus'!I104,'#2-UMMS'!I104,'#3-Prince George''s'!I104,'#4-Holy Cross'!I104,'#5-Frederick Memorial'!I104,'#6-Harford Memorial'!I104,'#7-St. Joseph'!I104,'#8-Mercy'!I104,'#9-Johns Hopkins'!I104,'#10-Shore Health Dorchester'!I104,'#11-St. Agnes'!I104,'#12-Sinai'!I104,'#13-Bon Secours'!I104,'#15-Franklin Square'!I104,'#16-Washington Adventist'!I104,'#17-Garrett County'!I104,'#18-Montgomery General'!I104,'#19-Pennisula General'!I104,'#22-Suburban'!I104,'#23-Anne Arundel Medical Center'!I104,'#24-Union Memorial'!I104,'#27-Western Maryland Regional'!I104,'#28-St. Mary''s'!I104,'#29-JH Bayview'!I104,'#30-Chester River'!I104,'#32-Union Cecil County'!I104,'#33-Carroll Hospital '!I104,'#34-Harbor Hospital'!I104,'#35-Civista Medical Center'!I104,'#37-Shore Health Easton'!I104,'#38-UM Midtown'!I104,'#39-Calvert Memorial'!I104,'#40-Northwest'!I104,'#43-UM Baltimore Washington'!I104,'#44-GBMC'!I104,'#45-McCready'!I104,'#48-Howard County'!I104,'#49-UCH Upper Chesapeake'!I104,'#51-Doctors Community'!I104,'#55-Laurel Regional'!I104,'#60-Ft Washington'!I104,'#61-Atlantic General'!I104,'#62-Southern Maryland'!I104,'#2001-UM Rehab &amp; Ortho'!I104,'#2004-Good Samaritan'!I104,'#5034-Mt. Washington Pediatric'!I104,'#5050-Shady Grove Adventist'!I104)</f>
        <v>315158.17737374466</v>
      </c>
      <c r="J78" s="145">
        <f>SUM('#1-Meritus'!J104,'#2-UMMS'!J104,'#3-Prince George''s'!J104,'#4-Holy Cross'!J104,'#5-Frederick Memorial'!J104,'#6-Harford Memorial'!J104,'#7-St. Joseph'!J104,'#8-Mercy'!J104,'#9-Johns Hopkins'!J104,'#10-Shore Health Dorchester'!J104,'#11-St. Agnes'!J104,'#12-Sinai'!J104,'#13-Bon Secours'!J104,'#15-Franklin Square'!J104,'#16-Washington Adventist'!J104,'#17-Garrett County'!J104,'#18-Montgomery General'!J104,'#19-Pennisula General'!J104,'#22-Suburban'!J104,'#23-Anne Arundel Medical Center'!J104,'#24-Union Memorial'!J104,'#27-Western Maryland Regional'!J104,'#28-St. Mary''s'!J104,'#29-JH Bayview'!J104,'#30-Chester River'!J104,'#32-Union Cecil County'!J104,'#33-Carroll Hospital '!J104,'#34-Harbor Hospital'!J104,'#35-Civista Medical Center'!J104,'#37-Shore Health Easton'!J104,'#38-UM Midtown'!J104,'#39-Calvert Memorial'!J104,'#40-Northwest'!J104,'#43-UM Baltimore Washington'!J104,'#44-GBMC'!J104,'#45-McCready'!J104,'#48-Howard County'!J104,'#49-UCH Upper Chesapeake'!J104,'#51-Doctors Community'!J104,'#55-Laurel Regional'!J104,'#60-Ft Washington'!J104,'#61-Atlantic General'!J104,'#62-Southern Maryland'!J104,'#2001-UM Rehab &amp; Ortho'!J104,'#2004-Good Samaritan'!J104,'#5034-Mt. Washington Pediatric'!J104,'#5050-Shady Grove Adventist'!J104)</f>
        <v>20135.131000000001</v>
      </c>
      <c r="K78" s="123">
        <f t="shared" si="17"/>
        <v>974932.24526374449</v>
      </c>
      <c r="L78" s="123">
        <f t="shared" si="18"/>
        <v>659774.06788999983</v>
      </c>
      <c r="M78" s="131"/>
      <c r="N78" s="131"/>
    </row>
    <row r="79" spans="1:14">
      <c r="A79" s="45" t="s">
        <v>402</v>
      </c>
      <c r="B79" s="45"/>
      <c r="C79" s="43"/>
      <c r="F79" s="145">
        <f>SUM('#1-Meritus'!F105,'#2-UMMS'!F105,'#3-Prince George''s'!F105,'#4-Holy Cross'!F105,'#5-Frederick Memorial'!F105,'#6-Harford Memorial'!F105,'#7-St. Joseph'!F105,'#8-Mercy'!F105,'#9-Johns Hopkins'!F105,'#10-Shore Health Dorchester'!F105,'#11-St. Agnes'!F105,'#12-Sinai'!F105,'#13-Bon Secours'!F105,'#15-Franklin Square'!F105,'#16-Washington Adventist'!F105,'#17-Garrett County'!F105,'#18-Montgomery General'!F105,'#19-Pennisula General'!F105,'#22-Suburban'!F105,'#23-Anne Arundel Medical Center'!F105,'#24-Union Memorial'!F105,'#27-Western Maryland Regional'!F105,'#28-St. Mary''s'!F105,'#29-JH Bayview'!F105,'#30-Chester River'!F105,'#32-Union Cecil County'!F105,'#33-Carroll Hospital '!F105,'#34-Harbor Hospital'!F105,'#35-Civista Medical Center'!F105,'#37-Shore Health Easton'!F105,'#38-UM Midtown'!F105,'#39-Calvert Memorial'!F105,'#40-Northwest'!F105,'#43-UM Baltimore Washington'!F105,'#44-GBMC'!F105,'#45-McCready'!F105,'#48-Howard County'!F105,'#49-UCH Upper Chesapeake'!F105,'#51-Doctors Community'!F105,'#55-Laurel Regional'!F105,'#60-Ft Washington'!F105,'#61-Atlantic General'!F105,'#62-Southern Maryland'!F105,'#2001-UM Rehab &amp; Ortho'!F105,'#2004-Good Samaritan'!F105,'#5034-Mt. Washington Pediatric'!F105,'#5050-Shady Grove Adventist'!F105)</f>
        <v>0</v>
      </c>
      <c r="G79" s="145">
        <f>SUM('#1-Meritus'!G105,'#2-UMMS'!G105,'#3-Prince George''s'!G105,'#4-Holy Cross'!G105,'#5-Frederick Memorial'!G105,'#6-Harford Memorial'!G105,'#7-St. Joseph'!G105,'#8-Mercy'!G105,'#9-Johns Hopkins'!G105,'#10-Shore Health Dorchester'!G105,'#11-St. Agnes'!G105,'#12-Sinai'!G105,'#13-Bon Secours'!G105,'#15-Franklin Square'!G105,'#16-Washington Adventist'!G105,'#17-Garrett County'!G105,'#18-Montgomery General'!G105,'#19-Pennisula General'!G105,'#22-Suburban'!G105,'#23-Anne Arundel Medical Center'!G105,'#24-Union Memorial'!G105,'#27-Western Maryland Regional'!G105,'#28-St. Mary''s'!G105,'#29-JH Bayview'!G105,'#30-Chester River'!G105,'#32-Union Cecil County'!G105,'#33-Carroll Hospital '!G105,'#34-Harbor Hospital'!G105,'#35-Civista Medical Center'!G105,'#37-Shore Health Easton'!G105,'#38-UM Midtown'!G105,'#39-Calvert Memorial'!G105,'#40-Northwest'!G105,'#43-UM Baltimore Washington'!G105,'#44-GBMC'!G105,'#45-McCready'!G105,'#48-Howard County'!G105,'#49-UCH Upper Chesapeake'!G105,'#51-Doctors Community'!G105,'#55-Laurel Regional'!G105,'#60-Ft Washington'!G105,'#61-Atlantic General'!G105,'#62-Southern Maryland'!G105,'#2001-UM Rehab &amp; Ortho'!G105,'#2004-Good Samaritan'!G105,'#5034-Mt. Washington Pediatric'!G105,'#5050-Shady Grove Adventist'!G105)</f>
        <v>0</v>
      </c>
      <c r="H79" s="145">
        <f>SUM('#1-Meritus'!H105,'#2-UMMS'!H105,'#3-Prince George''s'!H105,'#4-Holy Cross'!H105,'#5-Frederick Memorial'!H105,'#6-Harford Memorial'!H105,'#7-St. Joseph'!H105,'#8-Mercy'!H105,'#9-Johns Hopkins'!H105,'#10-Shore Health Dorchester'!H105,'#11-St. Agnes'!H105,'#12-Sinai'!H105,'#13-Bon Secours'!H105,'#15-Franklin Square'!H105,'#16-Washington Adventist'!H105,'#17-Garrett County'!H105,'#18-Montgomery General'!H105,'#19-Pennisula General'!H105,'#22-Suburban'!H105,'#23-Anne Arundel Medical Center'!H105,'#24-Union Memorial'!H105,'#27-Western Maryland Regional'!H105,'#28-St. Mary''s'!H105,'#29-JH Bayview'!H105,'#30-Chester River'!H105,'#32-Union Cecil County'!H105,'#33-Carroll Hospital '!H105,'#34-Harbor Hospital'!H105,'#35-Civista Medical Center'!H105,'#37-Shore Health Easton'!H105,'#38-UM Midtown'!H105,'#39-Calvert Memorial'!H105,'#40-Northwest'!H105,'#43-UM Baltimore Washington'!H105,'#44-GBMC'!H105,'#45-McCready'!H105,'#48-Howard County'!H105,'#49-UCH Upper Chesapeake'!H105,'#51-Doctors Community'!H105,'#55-Laurel Regional'!H105,'#60-Ft Washington'!H105,'#61-Atlantic General'!H105,'#62-Southern Maryland'!H105,'#2001-UM Rehab &amp; Ortho'!H105,'#2004-Good Samaritan'!H105,'#5034-Mt. Washington Pediatric'!H105,'#5050-Shady Grove Adventist'!H105)</f>
        <v>37888</v>
      </c>
      <c r="I79" s="145">
        <f>SUM('#1-Meritus'!I105,'#2-UMMS'!I105,'#3-Prince George''s'!I105,'#4-Holy Cross'!I105,'#5-Frederick Memorial'!I105,'#6-Harford Memorial'!I105,'#7-St. Joseph'!I105,'#8-Mercy'!I105,'#9-Johns Hopkins'!I105,'#10-Shore Health Dorchester'!I105,'#11-St. Agnes'!I105,'#12-Sinai'!I105,'#13-Bon Secours'!I105,'#15-Franklin Square'!I105,'#16-Washington Adventist'!I105,'#17-Garrett County'!I105,'#18-Montgomery General'!I105,'#19-Pennisula General'!I105,'#22-Suburban'!I105,'#23-Anne Arundel Medical Center'!I105,'#24-Union Memorial'!I105,'#27-Western Maryland Regional'!I105,'#28-St. Mary''s'!I105,'#29-JH Bayview'!I105,'#30-Chester River'!I105,'#32-Union Cecil County'!I105,'#33-Carroll Hospital '!I105,'#34-Harbor Hospital'!I105,'#35-Civista Medical Center'!I105,'#37-Shore Health Easton'!I105,'#38-UM Midtown'!I105,'#39-Calvert Memorial'!I105,'#40-Northwest'!I105,'#43-UM Baltimore Washington'!I105,'#44-GBMC'!I105,'#45-McCready'!I105,'#48-Howard County'!I105,'#49-UCH Upper Chesapeake'!I105,'#51-Doctors Community'!I105,'#55-Laurel Regional'!I105,'#60-Ft Washington'!I105,'#61-Atlantic General'!I105,'#62-Southern Maryland'!I105,'#2001-UM Rehab &amp; Ortho'!I105,'#2004-Good Samaritan'!I105,'#5034-Mt. Washington Pediatric'!I105,'#5050-Shady Grove Adventist'!I105)</f>
        <v>0</v>
      </c>
      <c r="J79" s="145">
        <f>SUM('#1-Meritus'!J105,'#2-UMMS'!J105,'#3-Prince George''s'!J105,'#4-Holy Cross'!J105,'#5-Frederick Memorial'!J105,'#6-Harford Memorial'!J105,'#7-St. Joseph'!J105,'#8-Mercy'!J105,'#9-Johns Hopkins'!J105,'#10-Shore Health Dorchester'!J105,'#11-St. Agnes'!J105,'#12-Sinai'!J105,'#13-Bon Secours'!J105,'#15-Franklin Square'!J105,'#16-Washington Adventist'!J105,'#17-Garrett County'!J105,'#18-Montgomery General'!J105,'#19-Pennisula General'!J105,'#22-Suburban'!J105,'#23-Anne Arundel Medical Center'!J105,'#24-Union Memorial'!J105,'#27-Western Maryland Regional'!J105,'#28-St. Mary''s'!J105,'#29-JH Bayview'!J105,'#30-Chester River'!J105,'#32-Union Cecil County'!J105,'#33-Carroll Hospital '!J105,'#34-Harbor Hospital'!J105,'#35-Civista Medical Center'!J105,'#37-Shore Health Easton'!J105,'#38-UM Midtown'!J105,'#39-Calvert Memorial'!J105,'#40-Northwest'!J105,'#43-UM Baltimore Washington'!J105,'#44-GBMC'!J105,'#45-McCready'!J105,'#48-Howard County'!J105,'#49-UCH Upper Chesapeake'!J105,'#51-Doctors Community'!J105,'#55-Laurel Regional'!J105,'#60-Ft Washington'!J105,'#61-Atlantic General'!J105,'#62-Southern Maryland'!J105,'#2001-UM Rehab &amp; Ortho'!J105,'#2004-Good Samaritan'!J105,'#5034-Mt. Washington Pediatric'!J105,'#5050-Shady Grove Adventist'!J105)</f>
        <v>0</v>
      </c>
      <c r="K79" s="123">
        <f t="shared" si="17"/>
        <v>37888</v>
      </c>
      <c r="L79" s="123">
        <f t="shared" si="18"/>
        <v>37888</v>
      </c>
      <c r="M79" s="131"/>
      <c r="N79" s="131"/>
    </row>
    <row r="80" spans="1:14">
      <c r="A80" s="45" t="s">
        <v>403</v>
      </c>
      <c r="B80" s="45"/>
      <c r="C80" s="43"/>
      <c r="F80" s="145">
        <f>SUM('#1-Meritus'!F106,'#2-UMMS'!F106,'#3-Prince George''s'!F106,'#4-Holy Cross'!F106,'#5-Frederick Memorial'!F106,'#6-Harford Memorial'!F106,'#7-St. Joseph'!F106,'#8-Mercy'!F106,'#9-Johns Hopkins'!F106,'#10-Shore Health Dorchester'!F106,'#11-St. Agnes'!F106,'#12-Sinai'!F106,'#13-Bon Secours'!F106,'#15-Franklin Square'!F106,'#16-Washington Adventist'!F106,'#17-Garrett County'!F106,'#18-Montgomery General'!F106,'#19-Pennisula General'!F106,'#22-Suburban'!F106,'#23-Anne Arundel Medical Center'!F106,'#24-Union Memorial'!F106,'#27-Western Maryland Regional'!F106,'#28-St. Mary''s'!F106,'#29-JH Bayview'!F106,'#30-Chester River'!F106,'#32-Union Cecil County'!F106,'#33-Carroll Hospital '!F106,'#34-Harbor Hospital'!F106,'#35-Civista Medical Center'!F106,'#37-Shore Health Easton'!F106,'#38-UM Midtown'!F106,'#39-Calvert Memorial'!F106,'#40-Northwest'!F106,'#43-UM Baltimore Washington'!F106,'#44-GBMC'!F106,'#45-McCready'!F106,'#48-Howard County'!F106,'#49-UCH Upper Chesapeake'!F106,'#51-Doctors Community'!F106,'#55-Laurel Regional'!F106,'#60-Ft Washington'!F106,'#61-Atlantic General'!F106,'#62-Southern Maryland'!F106,'#2001-UM Rehab &amp; Ortho'!F106,'#2004-Good Samaritan'!F106,'#5034-Mt. Washington Pediatric'!F106,'#5050-Shady Grove Adventist'!F106)</f>
        <v>0</v>
      </c>
      <c r="G80" s="145">
        <f>SUM('#1-Meritus'!G106,'#2-UMMS'!G106,'#3-Prince George''s'!G106,'#4-Holy Cross'!G106,'#5-Frederick Memorial'!G106,'#6-Harford Memorial'!G106,'#7-St. Joseph'!G106,'#8-Mercy'!G106,'#9-Johns Hopkins'!G106,'#10-Shore Health Dorchester'!G106,'#11-St. Agnes'!G106,'#12-Sinai'!G106,'#13-Bon Secours'!G106,'#15-Franklin Square'!G106,'#16-Washington Adventist'!G106,'#17-Garrett County'!G106,'#18-Montgomery General'!G106,'#19-Pennisula General'!G106,'#22-Suburban'!G106,'#23-Anne Arundel Medical Center'!G106,'#24-Union Memorial'!G106,'#27-Western Maryland Regional'!G106,'#28-St. Mary''s'!G106,'#29-JH Bayview'!G106,'#30-Chester River'!G106,'#32-Union Cecil County'!G106,'#33-Carroll Hospital '!G106,'#34-Harbor Hospital'!G106,'#35-Civista Medical Center'!G106,'#37-Shore Health Easton'!G106,'#38-UM Midtown'!G106,'#39-Calvert Memorial'!G106,'#40-Northwest'!G106,'#43-UM Baltimore Washington'!G106,'#44-GBMC'!G106,'#45-McCready'!G106,'#48-Howard County'!G106,'#49-UCH Upper Chesapeake'!G106,'#51-Doctors Community'!G106,'#55-Laurel Regional'!G106,'#60-Ft Washington'!G106,'#61-Atlantic General'!G106,'#62-Southern Maryland'!G106,'#2001-UM Rehab &amp; Ortho'!G106,'#2004-Good Samaritan'!G106,'#5034-Mt. Washington Pediatric'!G106,'#5050-Shady Grove Adventist'!G106)</f>
        <v>0</v>
      </c>
      <c r="H80" s="145">
        <f>SUM('#1-Meritus'!H106,'#2-UMMS'!H106,'#3-Prince George''s'!H106,'#4-Holy Cross'!H106,'#5-Frederick Memorial'!H106,'#6-Harford Memorial'!H106,'#7-St. Joseph'!H106,'#8-Mercy'!H106,'#9-Johns Hopkins'!H106,'#10-Shore Health Dorchester'!H106,'#11-St. Agnes'!H106,'#12-Sinai'!H106,'#13-Bon Secours'!H106,'#15-Franklin Square'!H106,'#16-Washington Adventist'!H106,'#17-Garrett County'!H106,'#18-Montgomery General'!H106,'#19-Pennisula General'!H106,'#22-Suburban'!H106,'#23-Anne Arundel Medical Center'!H106,'#24-Union Memorial'!H106,'#27-Western Maryland Regional'!H106,'#28-St. Mary''s'!H106,'#29-JH Bayview'!H106,'#30-Chester River'!H106,'#32-Union Cecil County'!H106,'#33-Carroll Hospital '!H106,'#34-Harbor Hospital'!H106,'#35-Civista Medical Center'!H106,'#37-Shore Health Easton'!H106,'#38-UM Midtown'!H106,'#39-Calvert Memorial'!H106,'#40-Northwest'!H106,'#43-UM Baltimore Washington'!H106,'#44-GBMC'!H106,'#45-McCready'!H106,'#48-Howard County'!H106,'#49-UCH Upper Chesapeake'!H106,'#51-Doctors Community'!H106,'#55-Laurel Regional'!H106,'#60-Ft Washington'!H106,'#61-Atlantic General'!H106,'#62-Southern Maryland'!H106,'#2001-UM Rehab &amp; Ortho'!H106,'#2004-Good Samaritan'!H106,'#5034-Mt. Washington Pediatric'!H106,'#5050-Shady Grove Adventist'!H106)</f>
        <v>0</v>
      </c>
      <c r="I80" s="145">
        <f>SUM('#1-Meritus'!I106,'#2-UMMS'!I106,'#3-Prince George''s'!I106,'#4-Holy Cross'!I106,'#5-Frederick Memorial'!I106,'#6-Harford Memorial'!I106,'#7-St. Joseph'!I106,'#8-Mercy'!I106,'#9-Johns Hopkins'!I106,'#10-Shore Health Dorchester'!I106,'#11-St. Agnes'!I106,'#12-Sinai'!I106,'#13-Bon Secours'!I106,'#15-Franklin Square'!I106,'#16-Washington Adventist'!I106,'#17-Garrett County'!I106,'#18-Montgomery General'!I106,'#19-Pennisula General'!I106,'#22-Suburban'!I106,'#23-Anne Arundel Medical Center'!I106,'#24-Union Memorial'!I106,'#27-Western Maryland Regional'!I106,'#28-St. Mary''s'!I106,'#29-JH Bayview'!I106,'#30-Chester River'!I106,'#32-Union Cecil County'!I106,'#33-Carroll Hospital '!I106,'#34-Harbor Hospital'!I106,'#35-Civista Medical Center'!I106,'#37-Shore Health Easton'!I106,'#38-UM Midtown'!I106,'#39-Calvert Memorial'!I106,'#40-Northwest'!I106,'#43-UM Baltimore Washington'!I106,'#44-GBMC'!I106,'#45-McCready'!I106,'#48-Howard County'!I106,'#49-UCH Upper Chesapeake'!I106,'#51-Doctors Community'!I106,'#55-Laurel Regional'!I106,'#60-Ft Washington'!I106,'#61-Atlantic General'!I106,'#62-Southern Maryland'!I106,'#2001-UM Rehab &amp; Ortho'!I106,'#2004-Good Samaritan'!I106,'#5034-Mt. Washington Pediatric'!I106,'#5050-Shady Grove Adventist'!I106)</f>
        <v>0</v>
      </c>
      <c r="J80" s="145">
        <f>SUM('#1-Meritus'!J106,'#2-UMMS'!J106,'#3-Prince George''s'!J106,'#4-Holy Cross'!J106,'#5-Frederick Memorial'!J106,'#6-Harford Memorial'!J106,'#7-St. Joseph'!J106,'#8-Mercy'!J106,'#9-Johns Hopkins'!J106,'#10-Shore Health Dorchester'!J106,'#11-St. Agnes'!J106,'#12-Sinai'!J106,'#13-Bon Secours'!J106,'#15-Franklin Square'!J106,'#16-Washington Adventist'!J106,'#17-Garrett County'!J106,'#18-Montgomery General'!J106,'#19-Pennisula General'!J106,'#22-Suburban'!J106,'#23-Anne Arundel Medical Center'!J106,'#24-Union Memorial'!J106,'#27-Western Maryland Regional'!J106,'#28-St. Mary''s'!J106,'#29-JH Bayview'!J106,'#30-Chester River'!J106,'#32-Union Cecil County'!J106,'#33-Carroll Hospital '!J106,'#34-Harbor Hospital'!J106,'#35-Civista Medical Center'!J106,'#37-Shore Health Easton'!J106,'#38-UM Midtown'!J106,'#39-Calvert Memorial'!J106,'#40-Northwest'!J106,'#43-UM Baltimore Washington'!J106,'#44-GBMC'!J106,'#45-McCready'!J106,'#48-Howard County'!J106,'#49-UCH Upper Chesapeake'!J106,'#51-Doctors Community'!J106,'#55-Laurel Regional'!J106,'#60-Ft Washington'!J106,'#61-Atlantic General'!J106,'#62-Southern Maryland'!J106,'#2001-UM Rehab &amp; Ortho'!J106,'#2004-Good Samaritan'!J106,'#5034-Mt. Washington Pediatric'!J106,'#5050-Shady Grove Adventist'!J106)</f>
        <v>0</v>
      </c>
      <c r="K80" s="123">
        <f t="shared" si="17"/>
        <v>0</v>
      </c>
      <c r="L80" s="123">
        <f t="shared" si="18"/>
        <v>0</v>
      </c>
      <c r="M80" s="131"/>
      <c r="N80" s="131"/>
    </row>
    <row r="81" spans="1:14">
      <c r="A81" s="45"/>
      <c r="B81" s="45"/>
      <c r="C81" s="43"/>
      <c r="F81" s="147"/>
      <c r="G81" s="148"/>
      <c r="H81" s="148"/>
      <c r="I81" s="148"/>
      <c r="J81" s="148"/>
      <c r="K81" s="148"/>
      <c r="M81" s="131"/>
      <c r="N81" s="131"/>
    </row>
    <row r="82" spans="1:14">
      <c r="A82" s="43" t="s">
        <v>338</v>
      </c>
      <c r="B82" s="39"/>
      <c r="C82" s="43" t="s">
        <v>53</v>
      </c>
      <c r="D82" s="131"/>
      <c r="E82" s="131"/>
      <c r="F82" s="145">
        <f>SUM(F76:F80)</f>
        <v>86836.3922529103</v>
      </c>
      <c r="G82" s="145">
        <f t="shared" ref="G82:L82" si="19">SUM(G76:G80)</f>
        <v>2121</v>
      </c>
      <c r="H82" s="145">
        <f t="shared" si="19"/>
        <v>5701216.1771249548</v>
      </c>
      <c r="I82" s="145">
        <f t="shared" si="19"/>
        <v>2519011.2832882577</v>
      </c>
      <c r="J82" s="145">
        <f t="shared" si="19"/>
        <v>40226.262000000002</v>
      </c>
      <c r="K82" s="145">
        <f t="shared" si="19"/>
        <v>8180001.1984132128</v>
      </c>
      <c r="L82" s="145">
        <f t="shared" si="19"/>
        <v>5660989.9151249547</v>
      </c>
      <c r="M82" s="131"/>
      <c r="N82" s="131"/>
    </row>
    <row r="83" spans="1:14">
      <c r="A83" s="39"/>
      <c r="B83" s="39"/>
      <c r="C83" s="43"/>
      <c r="D83" s="131"/>
      <c r="E83" s="131"/>
      <c r="F83" s="149"/>
      <c r="G83" s="149"/>
      <c r="H83" s="149"/>
      <c r="I83" s="149"/>
      <c r="J83" s="149"/>
      <c r="K83" s="149"/>
      <c r="L83" s="131"/>
      <c r="M83" s="131"/>
      <c r="N83" s="131"/>
    </row>
    <row r="84" spans="1:14">
      <c r="A84" s="39"/>
      <c r="B84" s="39"/>
      <c r="C84" s="43"/>
      <c r="D84" s="131"/>
      <c r="E84" s="131"/>
      <c r="J84" s="114"/>
      <c r="K84" s="126"/>
      <c r="L84" s="131"/>
      <c r="M84" s="131"/>
      <c r="N84" s="131"/>
    </row>
    <row r="85" spans="1:14">
      <c r="A85" s="48" t="s">
        <v>404</v>
      </c>
      <c r="B85" s="39"/>
      <c r="C85" s="43" t="s">
        <v>231</v>
      </c>
      <c r="J85" s="114"/>
      <c r="K85" s="126"/>
      <c r="M85" s="131"/>
      <c r="N85" s="131"/>
    </row>
    <row r="86" spans="1:14">
      <c r="B86" s="39"/>
      <c r="F86" s="124">
        <f>SUM('#1-Meritus'!F111,'#2-UMMS'!F111,'#3-Prince George''s'!F111,'#4-Holy Cross'!F111,'#5-Frederick Memorial'!F111,'#6-Harford Memorial'!F111,'#7-St. Joseph'!F111,'#8-Mercy'!F111,'#9-Johns Hopkins'!F111,'#10-Shore Health Dorchester'!F111,'#11-St. Agnes'!F111,'#12-Sinai'!F111,'#13-Bon Secours'!F111,'#15-Franklin Square'!F111,'#16-Washington Adventist'!F111,'#17-Garrett County'!F111,'#18-Montgomery General'!F111,'#19-Pennisula General'!F111,'#22-Suburban'!F111,'#23-Anne Arundel Medical Center'!F111,'#24-Union Memorial'!F111,'#27-Western Maryland Regional'!F111,'#28-St. Mary''s'!F111,'#29-JH Bayview'!F111,'#30-Chester River'!F111,'#32-Union Cecil County'!F111,'#33-Carroll Hospital '!F111,'#34-Harbor Hospital'!F111,'#35-Civista Medical Center'!F111,'#37-Shore Health Easton'!F111,'#38-UM Midtown'!F111,'#39-Calvert Memorial'!F111,'#40-Northwest'!F111,'#43-UM Baltimore Washington'!F111,'#44-GBMC'!F111,'#45-McCready'!F111,'#48-Howard County'!F111,'#49-UCH Upper Chesapeake'!F111,'#51-Doctors Community'!F111,'#55-Laurel Regional'!F111,'#60-Ft Washington'!F111,'#61-Atlantic General'!F111,'#62-Southern Maryland'!F111,'#2001-UM Rehab &amp; Ortho'!F111,'#2004-Good Samaritan'!F111,'#5034-Mt. Washington Pediatric'!F111,'#5050-Shady Grove Adventist'!F111)</f>
        <v>518234531.73605531</v>
      </c>
      <c r="H86" s="141"/>
      <c r="I86" s="141"/>
      <c r="J86" s="114"/>
      <c r="K86" s="126"/>
      <c r="M86" s="131"/>
      <c r="N86" s="131"/>
    </row>
    <row r="87" spans="1:14">
      <c r="B87" s="48"/>
      <c r="C87" s="43"/>
      <c r="J87" s="114"/>
      <c r="K87" s="126"/>
      <c r="M87" s="131"/>
      <c r="N87" s="131"/>
    </row>
    <row r="88" spans="1:14">
      <c r="A88" s="39"/>
      <c r="B88" s="39"/>
      <c r="J88" s="114"/>
      <c r="K88" s="126"/>
      <c r="M88" s="131"/>
      <c r="N88" s="131"/>
    </row>
    <row r="89" spans="1:14" ht="44.25" customHeight="1">
      <c r="A89" s="39"/>
      <c r="B89" s="39"/>
      <c r="F89" s="47" t="s">
        <v>145</v>
      </c>
      <c r="G89" s="47" t="s">
        <v>146</v>
      </c>
      <c r="H89" s="47" t="s">
        <v>385</v>
      </c>
      <c r="I89" s="47" t="s">
        <v>386</v>
      </c>
      <c r="J89" s="113" t="s">
        <v>382</v>
      </c>
      <c r="K89" s="125" t="s">
        <v>383</v>
      </c>
      <c r="L89" s="47" t="s">
        <v>384</v>
      </c>
      <c r="M89" s="131"/>
      <c r="N89" s="131"/>
    </row>
    <row r="90" spans="1:14">
      <c r="A90" s="48" t="s">
        <v>405</v>
      </c>
      <c r="B90" s="45"/>
      <c r="C90" s="43" t="s">
        <v>240</v>
      </c>
      <c r="J90" s="114"/>
      <c r="K90" s="126"/>
      <c r="M90" s="131"/>
      <c r="N90" s="131"/>
    </row>
    <row r="91" spans="1:14">
      <c r="B91" s="39"/>
      <c r="C91" s="43"/>
      <c r="F91" s="150"/>
      <c r="G91" s="150"/>
      <c r="H91" s="151"/>
      <c r="I91" s="151"/>
      <c r="J91" s="151"/>
      <c r="K91" s="151"/>
      <c r="L91" s="151"/>
      <c r="M91" s="131"/>
      <c r="N91" s="131"/>
    </row>
    <row r="92" spans="1:14">
      <c r="A92" s="45" t="s">
        <v>241</v>
      </c>
      <c r="B92" s="48"/>
      <c r="C92" s="43" t="s">
        <v>242</v>
      </c>
      <c r="F92" s="145">
        <f>SUM('#1-Meritus'!F131,'#2-UMMS'!F131,'#3-Prince George''s'!F131,'#4-Holy Cross'!F131,'#5-Frederick Memorial'!F131,'#6-Harford Memorial'!F131,'#7-St. Joseph'!F131,'#8-Mercy'!F131,'#9-Johns Hopkins'!F131,'#10-Shore Health Dorchester'!F131,'#11-St. Agnes'!F131,'#12-Sinai'!F131,'#13-Bon Secours'!F131,'#15-Franklin Square'!F131,'#16-Washington Adventist'!F131,'#17-Garrett County'!F131,'#18-Montgomery General'!F131,'#19-Pennisula General'!F131,'#22-Suburban'!F131,'#23-Anne Arundel Medical Center'!F131,'#24-Union Memorial'!F131,'#27-Western Maryland Regional'!F131,'#28-St. Mary''s'!F131,'#29-JH Bayview'!F131,'#30-Chester River'!F131,'#32-Union Cecil County'!F131,'#33-Carroll Hospital '!F131,'#34-Harbor Hospital'!F131,'#35-Civista Medical Center'!F131,'#37-Shore Health Easton'!F131,'#38-UM Midtown'!F131,'#39-Calvert Memorial'!F131,'#40-Northwest'!F131,'#43-UM Baltimore Washington'!F131,'#44-GBMC'!F131,'#45-McCready'!F131,'#48-Howard County'!F131,'#49-UCH Upper Chesapeake'!F131,'#51-Doctors Community'!F131,'#55-Laurel Regional'!F131,'#60-Ft Washington'!F131,'#61-Atlantic General'!F131,'#62-Southern Maryland'!F131,'#2001-UM Rehab &amp; Ortho'!F131,'#2004-Good Samaritan'!F131,'#5034-Mt. Washington Pediatric'!F131,'#5050-Shady Grove Adventist'!F131)</f>
        <v>3744</v>
      </c>
      <c r="G92" s="145">
        <f>SUM('#1-Meritus'!G131,'#2-UMMS'!G131,'#3-Prince George''s'!G131,'#4-Holy Cross'!G131,'#5-Frederick Memorial'!G131,'#6-Harford Memorial'!G131,'#7-St. Joseph'!G131,'#8-Mercy'!G131,'#9-Johns Hopkins'!G131,'#10-Shore Health Dorchester'!G131,'#11-St. Agnes'!G131,'#12-Sinai'!G131,'#13-Bon Secours'!G131,'#15-Franklin Square'!G131,'#16-Washington Adventist'!G131,'#17-Garrett County'!G131,'#18-Montgomery General'!G131,'#19-Pennisula General'!G131,'#22-Suburban'!G131,'#23-Anne Arundel Medical Center'!G131,'#24-Union Memorial'!G131,'#27-Western Maryland Regional'!G131,'#28-St. Mary''s'!G131,'#29-JH Bayview'!G131,'#30-Chester River'!G131,'#32-Union Cecil County'!G131,'#33-Carroll Hospital '!G131,'#34-Harbor Hospital'!G131,'#35-Civista Medical Center'!G131,'#37-Shore Health Easton'!G131,'#38-UM Midtown'!G131,'#39-Calvert Memorial'!G131,'#40-Northwest'!G131,'#43-UM Baltimore Washington'!G131,'#44-GBMC'!G131,'#45-McCready'!G131,'#48-Howard County'!G131,'#49-UCH Upper Chesapeake'!G131,'#51-Doctors Community'!G131,'#55-Laurel Regional'!G131,'#60-Ft Washington'!G131,'#61-Atlantic General'!G131,'#62-Southern Maryland'!G131,'#2001-UM Rehab &amp; Ortho'!G131,'#2004-Good Samaritan'!G131,'#5034-Mt. Washington Pediatric'!G131,'#5050-Shady Grove Adventist'!G131)</f>
        <v>641</v>
      </c>
      <c r="H92" s="145">
        <f>SUM('#1-Meritus'!H131,'#2-UMMS'!H131,'#3-Prince George''s'!H131,'#4-Holy Cross'!H131,'#5-Frederick Memorial'!H131,'#6-Harford Memorial'!H131,'#7-St. Joseph'!H131,'#8-Mercy'!H131,'#9-Johns Hopkins'!H131,'#10-Shore Health Dorchester'!H131,'#11-St. Agnes'!H131,'#12-Sinai'!H131,'#13-Bon Secours'!H131,'#15-Franklin Square'!H131,'#16-Washington Adventist'!H131,'#17-Garrett County'!H131,'#18-Montgomery General'!H131,'#19-Pennisula General'!H131,'#22-Suburban'!H131,'#23-Anne Arundel Medical Center'!H131,'#24-Union Memorial'!H131,'#27-Western Maryland Regional'!H131,'#28-St. Mary''s'!H131,'#29-JH Bayview'!H131,'#30-Chester River'!H131,'#32-Union Cecil County'!H131,'#33-Carroll Hospital '!H131,'#34-Harbor Hospital'!H131,'#35-Civista Medical Center'!H131,'#37-Shore Health Easton'!H131,'#38-UM Midtown'!H131,'#39-Calvert Memorial'!H131,'#40-Northwest'!H131,'#43-UM Baltimore Washington'!H131,'#44-GBMC'!H131,'#45-McCready'!H131,'#48-Howard County'!H131,'#49-UCH Upper Chesapeake'!H131,'#51-Doctors Community'!H131,'#55-Laurel Regional'!H131,'#60-Ft Washington'!H131,'#61-Atlantic General'!H131,'#62-Southern Maryland'!H131,'#2001-UM Rehab &amp; Ortho'!H131,'#2004-Good Samaritan'!H131,'#5034-Mt. Washington Pediatric'!H131,'#5050-Shady Grove Adventist'!H131)</f>
        <v>402432.15</v>
      </c>
      <c r="I92" s="145">
        <f>SUM('#1-Meritus'!I131,'#2-UMMS'!I131,'#3-Prince George''s'!I131,'#4-Holy Cross'!I131,'#5-Frederick Memorial'!I131,'#6-Harford Memorial'!I131,'#7-St. Joseph'!I131,'#8-Mercy'!I131,'#9-Johns Hopkins'!I131,'#10-Shore Health Dorchester'!I131,'#11-St. Agnes'!I131,'#12-Sinai'!I131,'#13-Bon Secours'!I131,'#15-Franklin Square'!I131,'#16-Washington Adventist'!I131,'#17-Garrett County'!I131,'#18-Montgomery General'!I131,'#19-Pennisula General'!I131,'#22-Suburban'!I131,'#23-Anne Arundel Medical Center'!I131,'#24-Union Memorial'!I131,'#27-Western Maryland Regional'!I131,'#28-St. Mary''s'!I131,'#29-JH Bayview'!I131,'#30-Chester River'!I131,'#32-Union Cecil County'!I131,'#33-Carroll Hospital '!I131,'#34-Harbor Hospital'!I131,'#35-Civista Medical Center'!I131,'#37-Shore Health Easton'!I131,'#38-UM Midtown'!I131,'#39-Calvert Memorial'!I131,'#40-Northwest'!I131,'#43-UM Baltimore Washington'!I131,'#44-GBMC'!I131,'#45-McCready'!I131,'#48-Howard County'!I131,'#49-UCH Upper Chesapeake'!I131,'#51-Doctors Community'!I131,'#55-Laurel Regional'!I131,'#60-Ft Washington'!I131,'#61-Atlantic General'!I131,'#62-Southern Maryland'!I131,'#2001-UM Rehab &amp; Ortho'!I131,'#2004-Good Samaritan'!I131,'#5034-Mt. Washington Pediatric'!I131,'#5050-Shady Grove Adventist'!I131)</f>
        <v>124338.16504737524</v>
      </c>
      <c r="J92" s="145">
        <f>SUM('#1-Meritus'!J131,'#2-UMMS'!J131,'#3-Prince George''s'!J131,'#4-Holy Cross'!J131,'#5-Frederick Memorial'!J131,'#6-Harford Memorial'!J131,'#7-St. Joseph'!J131,'#8-Mercy'!J131,'#9-Johns Hopkins'!J131,'#10-Shore Health Dorchester'!J131,'#11-St. Agnes'!J131,'#12-Sinai'!J131,'#13-Bon Secours'!J131,'#15-Franklin Square'!J131,'#16-Washington Adventist'!J131,'#17-Garrett County'!J131,'#18-Montgomery General'!J131,'#19-Pennisula General'!J131,'#22-Suburban'!J131,'#23-Anne Arundel Medical Center'!J131,'#24-Union Memorial'!J131,'#27-Western Maryland Regional'!J131,'#28-St. Mary''s'!J131,'#29-JH Bayview'!J131,'#30-Chester River'!J131,'#32-Union Cecil County'!J131,'#33-Carroll Hospital '!J131,'#34-Harbor Hospital'!J131,'#35-Civista Medical Center'!J131,'#37-Shore Health Easton'!J131,'#38-UM Midtown'!J131,'#39-Calvert Memorial'!J131,'#40-Northwest'!J131,'#43-UM Baltimore Washington'!J131,'#44-GBMC'!J131,'#45-McCready'!J131,'#48-Howard County'!J131,'#49-UCH Upper Chesapeake'!J131,'#51-Doctors Community'!J131,'#55-Laurel Regional'!J131,'#60-Ft Washington'!J131,'#61-Atlantic General'!J131,'#62-Southern Maryland'!J131,'#2001-UM Rehab &amp; Ortho'!J131,'#2004-Good Samaritan'!J131,'#5034-Mt. Washington Pediatric'!J131,'#5050-Shady Grove Adventist'!J131)</f>
        <v>12059</v>
      </c>
      <c r="K92" s="123">
        <f t="shared" ref="K92:K93" si="20">+H92+I92-J92</f>
        <v>514711.31504737528</v>
      </c>
      <c r="L92" s="123">
        <f t="shared" ref="L92:L93" si="21">+H92-J92</f>
        <v>390373.15</v>
      </c>
      <c r="M92" s="131"/>
      <c r="N92" s="131"/>
    </row>
    <row r="93" spans="1:14">
      <c r="A93" s="45" t="s">
        <v>243</v>
      </c>
      <c r="B93" s="45"/>
      <c r="C93" s="43" t="s">
        <v>128</v>
      </c>
      <c r="F93" s="145">
        <f>SUM('#1-Meritus'!F132,'#2-UMMS'!F132,'#3-Prince George''s'!F132,'#4-Holy Cross'!F132,'#5-Frederick Memorial'!F132,'#6-Harford Memorial'!F132,'#7-St. Joseph'!F132,'#8-Mercy'!F132,'#9-Johns Hopkins'!F132,'#10-Shore Health Dorchester'!F132,'#11-St. Agnes'!F132,'#12-Sinai'!F132,'#13-Bon Secours'!F132,'#15-Franklin Square'!F132,'#16-Washington Adventist'!F132,'#17-Garrett County'!F132,'#18-Montgomery General'!F132,'#19-Pennisula General'!F132,'#22-Suburban'!F132,'#23-Anne Arundel Medical Center'!F132,'#24-Union Memorial'!F132,'#27-Western Maryland Regional'!F132,'#28-St. Mary''s'!F132,'#29-JH Bayview'!F132,'#30-Chester River'!F132,'#32-Union Cecil County'!F132,'#33-Carroll Hospital '!F132,'#34-Harbor Hospital'!F132,'#35-Civista Medical Center'!F132,'#37-Shore Health Easton'!F132,'#38-UM Midtown'!F132,'#39-Calvert Memorial'!F132,'#40-Northwest'!F132,'#43-UM Baltimore Washington'!F132,'#44-GBMC'!F132,'#45-McCready'!F132,'#48-Howard County'!F132,'#49-UCH Upper Chesapeake'!F132,'#51-Doctors Community'!F132,'#55-Laurel Regional'!F132,'#60-Ft Washington'!F132,'#61-Atlantic General'!F132,'#62-Southern Maryland'!F132,'#2001-UM Rehab &amp; Ortho'!F132,'#2004-Good Samaritan'!F132,'#5034-Mt. Washington Pediatric'!F132,'#5050-Shady Grove Adventist'!F132)</f>
        <v>44788</v>
      </c>
      <c r="G93" s="145">
        <f>SUM('#1-Meritus'!G132,'#2-UMMS'!G132,'#3-Prince George''s'!G132,'#4-Holy Cross'!G132,'#5-Frederick Memorial'!G132,'#6-Harford Memorial'!G132,'#7-St. Joseph'!G132,'#8-Mercy'!G132,'#9-Johns Hopkins'!G132,'#10-Shore Health Dorchester'!G132,'#11-St. Agnes'!G132,'#12-Sinai'!G132,'#13-Bon Secours'!G132,'#15-Franklin Square'!G132,'#16-Washington Adventist'!G132,'#17-Garrett County'!G132,'#18-Montgomery General'!G132,'#19-Pennisula General'!G132,'#22-Suburban'!G132,'#23-Anne Arundel Medical Center'!G132,'#24-Union Memorial'!G132,'#27-Western Maryland Regional'!G132,'#28-St. Mary''s'!G132,'#29-JH Bayview'!G132,'#30-Chester River'!G132,'#32-Union Cecil County'!G132,'#33-Carroll Hospital '!G132,'#34-Harbor Hospital'!G132,'#35-Civista Medical Center'!G132,'#37-Shore Health Easton'!G132,'#38-UM Midtown'!G132,'#39-Calvert Memorial'!G132,'#40-Northwest'!G132,'#43-UM Baltimore Washington'!G132,'#44-GBMC'!G132,'#45-McCready'!G132,'#48-Howard County'!G132,'#49-UCH Upper Chesapeake'!G132,'#51-Doctors Community'!G132,'#55-Laurel Regional'!G132,'#60-Ft Washington'!G132,'#61-Atlantic General'!G132,'#62-Southern Maryland'!G132,'#2001-UM Rehab &amp; Ortho'!G132,'#2004-Good Samaritan'!G132,'#5034-Mt. Washington Pediatric'!G132,'#5050-Shady Grove Adventist'!G132)</f>
        <v>11346</v>
      </c>
      <c r="H93" s="145">
        <f>SUM('#1-Meritus'!H132,'#2-UMMS'!H132,'#3-Prince George''s'!H132,'#4-Holy Cross'!H132,'#5-Frederick Memorial'!H132,'#6-Harford Memorial'!H132,'#7-St. Joseph'!H132,'#8-Mercy'!H132,'#9-Johns Hopkins'!H132,'#10-Shore Health Dorchester'!H132,'#11-St. Agnes'!H132,'#12-Sinai'!H132,'#13-Bon Secours'!H132,'#15-Franklin Square'!H132,'#16-Washington Adventist'!H132,'#17-Garrett County'!H132,'#18-Montgomery General'!H132,'#19-Pennisula General'!H132,'#22-Suburban'!H132,'#23-Anne Arundel Medical Center'!H132,'#24-Union Memorial'!H132,'#27-Western Maryland Regional'!H132,'#28-St. Mary''s'!H132,'#29-JH Bayview'!H132,'#30-Chester River'!H132,'#32-Union Cecil County'!H132,'#33-Carroll Hospital '!H132,'#34-Harbor Hospital'!H132,'#35-Civista Medical Center'!H132,'#37-Shore Health Easton'!H132,'#38-UM Midtown'!H132,'#39-Calvert Memorial'!H132,'#40-Northwest'!H132,'#43-UM Baltimore Washington'!H132,'#44-GBMC'!H132,'#45-McCready'!H132,'#48-Howard County'!H132,'#49-UCH Upper Chesapeake'!H132,'#51-Doctors Community'!H132,'#55-Laurel Regional'!H132,'#60-Ft Washington'!H132,'#61-Atlantic General'!H132,'#62-Southern Maryland'!H132,'#2001-UM Rehab &amp; Ortho'!H132,'#2004-Good Samaritan'!H132,'#5034-Mt. Washington Pediatric'!H132,'#5050-Shady Grove Adventist'!H132)</f>
        <v>1423272.1468</v>
      </c>
      <c r="I93" s="145">
        <f>SUM('#1-Meritus'!I132,'#2-UMMS'!I132,'#3-Prince George''s'!I132,'#4-Holy Cross'!I132,'#5-Frederick Memorial'!I132,'#6-Harford Memorial'!I132,'#7-St. Joseph'!I132,'#8-Mercy'!I132,'#9-Johns Hopkins'!I132,'#10-Shore Health Dorchester'!I132,'#11-St. Agnes'!I132,'#12-Sinai'!I132,'#13-Bon Secours'!I132,'#15-Franklin Square'!I132,'#16-Washington Adventist'!I132,'#17-Garrett County'!I132,'#18-Montgomery General'!I132,'#19-Pennisula General'!I132,'#22-Suburban'!I132,'#23-Anne Arundel Medical Center'!I132,'#24-Union Memorial'!I132,'#27-Western Maryland Regional'!I132,'#28-St. Mary''s'!I132,'#29-JH Bayview'!I132,'#30-Chester River'!I132,'#32-Union Cecil County'!I132,'#33-Carroll Hospital '!I132,'#34-Harbor Hospital'!I132,'#35-Civista Medical Center'!I132,'#37-Shore Health Easton'!I132,'#38-UM Midtown'!I132,'#39-Calvert Memorial'!I132,'#40-Northwest'!I132,'#43-UM Baltimore Washington'!I132,'#44-GBMC'!I132,'#45-McCready'!I132,'#48-Howard County'!I132,'#49-UCH Upper Chesapeake'!I132,'#51-Doctors Community'!I132,'#55-Laurel Regional'!I132,'#60-Ft Washington'!I132,'#61-Atlantic General'!I132,'#62-Southern Maryland'!I132,'#2001-UM Rehab &amp; Ortho'!I132,'#2004-Good Samaritan'!I132,'#5034-Mt. Washington Pediatric'!I132,'#5050-Shady Grove Adventist'!I132)</f>
        <v>2371.3150205438728</v>
      </c>
      <c r="J93" s="145">
        <f>SUM('#1-Meritus'!J132,'#2-UMMS'!J132,'#3-Prince George''s'!J132,'#4-Holy Cross'!J132,'#5-Frederick Memorial'!J132,'#6-Harford Memorial'!J132,'#7-St. Joseph'!J132,'#8-Mercy'!J132,'#9-Johns Hopkins'!J132,'#10-Shore Health Dorchester'!J132,'#11-St. Agnes'!J132,'#12-Sinai'!J132,'#13-Bon Secours'!J132,'#15-Franklin Square'!J132,'#16-Washington Adventist'!J132,'#17-Garrett County'!J132,'#18-Montgomery General'!J132,'#19-Pennisula General'!J132,'#22-Suburban'!J132,'#23-Anne Arundel Medical Center'!J132,'#24-Union Memorial'!J132,'#27-Western Maryland Regional'!J132,'#28-St. Mary''s'!J132,'#29-JH Bayview'!J132,'#30-Chester River'!J132,'#32-Union Cecil County'!J132,'#33-Carroll Hospital '!J132,'#34-Harbor Hospital'!J132,'#35-Civista Medical Center'!J132,'#37-Shore Health Easton'!J132,'#38-UM Midtown'!J132,'#39-Calvert Memorial'!J132,'#40-Northwest'!J132,'#43-UM Baltimore Washington'!J132,'#44-GBMC'!J132,'#45-McCready'!J132,'#48-Howard County'!J132,'#49-UCH Upper Chesapeake'!J132,'#51-Doctors Community'!J132,'#55-Laurel Regional'!J132,'#60-Ft Washington'!J132,'#61-Atlantic General'!J132,'#62-Southern Maryland'!J132,'#2001-UM Rehab &amp; Ortho'!J132,'#2004-Good Samaritan'!J132,'#5034-Mt. Washington Pediatric'!J132,'#5050-Shady Grove Adventist'!J132)</f>
        <v>10000</v>
      </c>
      <c r="K93" s="123">
        <f t="shared" si="20"/>
        <v>1415643.461820544</v>
      </c>
      <c r="L93" s="123">
        <f t="shared" si="21"/>
        <v>1413272.1468</v>
      </c>
      <c r="M93" s="131"/>
      <c r="N93" s="131"/>
    </row>
    <row r="94" spans="1:14">
      <c r="A94" s="45"/>
      <c r="B94" s="45"/>
      <c r="C94" s="43"/>
      <c r="F94" s="136"/>
      <c r="G94" s="136"/>
      <c r="H94" s="152"/>
      <c r="I94" s="152"/>
      <c r="J94" s="152"/>
      <c r="K94" s="152"/>
      <c r="L94" s="152"/>
      <c r="M94" s="131"/>
      <c r="N94" s="131"/>
    </row>
    <row r="95" spans="1:14">
      <c r="A95" s="45"/>
      <c r="B95" s="45"/>
      <c r="F95" s="129"/>
      <c r="G95" s="129"/>
      <c r="H95" s="130"/>
      <c r="I95" s="130"/>
      <c r="J95" s="130"/>
      <c r="K95" s="130"/>
      <c r="L95" s="130"/>
      <c r="M95" s="131"/>
      <c r="N95" s="131"/>
    </row>
    <row r="96" spans="1:14">
      <c r="A96" s="45"/>
      <c r="B96" s="45"/>
      <c r="H96" s="133"/>
      <c r="I96" s="133"/>
      <c r="J96" s="133"/>
      <c r="K96" s="133"/>
      <c r="L96" s="131"/>
      <c r="M96" s="131"/>
      <c r="N96" s="131"/>
    </row>
    <row r="97" spans="1:14">
      <c r="A97" s="45" t="s">
        <v>358</v>
      </c>
      <c r="B97" s="45"/>
      <c r="C97" s="43" t="s">
        <v>53</v>
      </c>
      <c r="F97" s="123">
        <f t="shared" ref="F97:L97" si="22">SUM(F91:F95)</f>
        <v>48532</v>
      </c>
      <c r="G97" s="123">
        <f t="shared" si="22"/>
        <v>11987</v>
      </c>
      <c r="H97" s="124">
        <f t="shared" si="22"/>
        <v>1825704.2968000001</v>
      </c>
      <c r="I97" s="124">
        <f t="shared" si="22"/>
        <v>126709.48006791911</v>
      </c>
      <c r="J97" s="124">
        <f t="shared" si="22"/>
        <v>22059</v>
      </c>
      <c r="K97" s="124">
        <f t="shared" si="22"/>
        <v>1930354.7768679191</v>
      </c>
      <c r="L97" s="124">
        <f t="shared" si="22"/>
        <v>1803645.2968000001</v>
      </c>
      <c r="M97" s="131"/>
      <c r="N97" s="131"/>
    </row>
    <row r="98" spans="1:14">
      <c r="A98" s="48"/>
      <c r="B98" s="48"/>
      <c r="F98" s="133"/>
      <c r="G98" s="133"/>
      <c r="H98" s="133"/>
      <c r="I98" s="133"/>
      <c r="J98" s="133"/>
      <c r="K98" s="133"/>
      <c r="L98" s="133"/>
    </row>
    <row r="99" spans="1:14">
      <c r="A99" s="39"/>
      <c r="B99" s="39"/>
      <c r="J99" s="114"/>
      <c r="K99" s="126"/>
    </row>
    <row r="100" spans="1:14" ht="46.5" customHeight="1">
      <c r="A100" s="43"/>
      <c r="F100" s="47" t="s">
        <v>145</v>
      </c>
      <c r="G100" s="47" t="s">
        <v>146</v>
      </c>
      <c r="H100" s="47" t="s">
        <v>385</v>
      </c>
      <c r="I100" s="47" t="s">
        <v>386</v>
      </c>
      <c r="J100" s="113" t="s">
        <v>382</v>
      </c>
      <c r="K100" s="125" t="s">
        <v>383</v>
      </c>
      <c r="L100" s="47" t="s">
        <v>384</v>
      </c>
    </row>
    <row r="101" spans="1:14">
      <c r="A101" s="40" t="s">
        <v>406</v>
      </c>
      <c r="C101" s="43" t="s">
        <v>245</v>
      </c>
      <c r="J101" s="114"/>
      <c r="K101" s="126"/>
    </row>
    <row r="102" spans="1:14">
      <c r="A102" s="45" t="s">
        <v>407</v>
      </c>
      <c r="B102" s="48"/>
      <c r="C102" s="43" t="s">
        <v>246</v>
      </c>
      <c r="F102" s="145">
        <f>+F20</f>
        <v>949714.36258730886</v>
      </c>
      <c r="G102" s="145">
        <f t="shared" ref="G102:J102" si="23">+G20</f>
        <v>18964608.123768002</v>
      </c>
      <c r="H102" s="145">
        <f t="shared" si="23"/>
        <v>65901848.300401203</v>
      </c>
      <c r="I102" s="145">
        <f t="shared" si="23"/>
        <v>27510626.783415649</v>
      </c>
      <c r="J102" s="145">
        <f t="shared" si="23"/>
        <v>10667477.637</v>
      </c>
      <c r="K102" s="123">
        <f t="shared" ref="K102:K111" si="24">+H102+I102-J102</f>
        <v>82744997.446816862</v>
      </c>
      <c r="L102" s="123">
        <f t="shared" ref="L102:L111" si="25">+H102-J102</f>
        <v>55234370.663401201</v>
      </c>
      <c r="M102" s="131"/>
      <c r="N102" s="131"/>
    </row>
    <row r="103" spans="1:14">
      <c r="A103" s="45" t="s">
        <v>408</v>
      </c>
      <c r="B103" s="45"/>
      <c r="C103" s="43" t="s">
        <v>125</v>
      </c>
      <c r="F103" s="145">
        <f>+F31</f>
        <v>6380270.3129043635</v>
      </c>
      <c r="G103" s="145">
        <f t="shared" ref="G103:J103" si="26">+G31</f>
        <v>238664.03295113257</v>
      </c>
      <c r="H103" s="145">
        <f t="shared" si="26"/>
        <v>331751696.69076681</v>
      </c>
      <c r="I103" s="145">
        <f t="shared" si="26"/>
        <v>81926292.291439697</v>
      </c>
      <c r="J103" s="145">
        <f t="shared" si="26"/>
        <v>803659.5199999999</v>
      </c>
      <c r="K103" s="123">
        <f t="shared" si="24"/>
        <v>412874329.46220654</v>
      </c>
      <c r="L103" s="123">
        <f t="shared" si="25"/>
        <v>330948037.17076683</v>
      </c>
      <c r="M103" s="131"/>
      <c r="N103" s="131"/>
    </row>
    <row r="104" spans="1:14">
      <c r="A104" s="45" t="s">
        <v>409</v>
      </c>
      <c r="B104" s="45"/>
      <c r="C104" s="43" t="s">
        <v>247</v>
      </c>
      <c r="F104" s="145">
        <f>+F36</f>
        <v>2315236.5975486669</v>
      </c>
      <c r="G104" s="145">
        <f t="shared" ref="G104:J104" si="27">+G36</f>
        <v>870142.19742853672</v>
      </c>
      <c r="H104" s="145">
        <f t="shared" si="27"/>
        <v>430378207.68722069</v>
      </c>
      <c r="I104" s="145">
        <f t="shared" si="27"/>
        <v>103878471.57171127</v>
      </c>
      <c r="J104" s="145">
        <f t="shared" si="27"/>
        <v>154029477.82103115</v>
      </c>
      <c r="K104" s="123">
        <f t="shared" si="24"/>
        <v>380227201.43790084</v>
      </c>
      <c r="L104" s="123">
        <f t="shared" si="25"/>
        <v>276348729.86618954</v>
      </c>
      <c r="M104" s="131"/>
      <c r="N104" s="131"/>
    </row>
    <row r="105" spans="1:14">
      <c r="A105" s="45" t="s">
        <v>410</v>
      </c>
      <c r="B105" s="45"/>
      <c r="C105" s="43" t="s">
        <v>127</v>
      </c>
      <c r="F105" s="145">
        <f>+F44</f>
        <v>64051.684355170051</v>
      </c>
      <c r="G105" s="145">
        <f t="shared" ref="G105:I105" si="28">+G44</f>
        <v>5932</v>
      </c>
      <c r="H105" s="145">
        <f t="shared" si="28"/>
        <v>10829518.964029999</v>
      </c>
      <c r="I105" s="145">
        <f t="shared" si="28"/>
        <v>2579385.8427117211</v>
      </c>
      <c r="J105" s="145">
        <f t="shared" ref="J105" si="29">+J44</f>
        <v>5459900.8399999999</v>
      </c>
      <c r="K105" s="123">
        <f t="shared" si="24"/>
        <v>7949003.9667417202</v>
      </c>
      <c r="L105" s="123">
        <f t="shared" si="25"/>
        <v>5369618.1240299996</v>
      </c>
      <c r="M105" s="131"/>
      <c r="N105" s="131"/>
    </row>
    <row r="106" spans="1:14">
      <c r="A106" s="45" t="s">
        <v>411</v>
      </c>
      <c r="B106" s="45"/>
      <c r="C106" s="43" t="s">
        <v>248</v>
      </c>
      <c r="F106" s="145">
        <f>+F53</f>
        <v>44651.546353430953</v>
      </c>
      <c r="G106" s="145">
        <f t="shared" ref="G106:I106" si="30">+G53</f>
        <v>216699.5</v>
      </c>
      <c r="H106" s="145">
        <f t="shared" si="30"/>
        <v>19819593.20924291</v>
      </c>
      <c r="I106" s="145">
        <f t="shared" si="30"/>
        <v>605974.61423508101</v>
      </c>
      <c r="J106" s="145">
        <f t="shared" ref="J106" si="31">+J53</f>
        <v>373799</v>
      </c>
      <c r="K106" s="123">
        <f t="shared" si="24"/>
        <v>20051768.823477991</v>
      </c>
      <c r="L106" s="123">
        <f t="shared" si="25"/>
        <v>19445794.20924291</v>
      </c>
      <c r="M106" s="131"/>
      <c r="N106" s="131"/>
    </row>
    <row r="107" spans="1:14">
      <c r="A107" s="45" t="s">
        <v>412</v>
      </c>
      <c r="B107" s="45"/>
      <c r="C107" s="43" t="s">
        <v>249</v>
      </c>
      <c r="F107" s="145">
        <f>+F71</f>
        <v>152743.33754064207</v>
      </c>
      <c r="G107" s="145">
        <f t="shared" ref="G107:I107" si="32">+G71</f>
        <v>675368.93756568246</v>
      </c>
      <c r="H107" s="145">
        <f t="shared" si="32"/>
        <v>14598631.891621644</v>
      </c>
      <c r="I107" s="145">
        <f t="shared" si="32"/>
        <v>6243527.9268986704</v>
      </c>
      <c r="J107" s="145">
        <f t="shared" ref="J107" si="33">+J71</f>
        <v>3955902.781</v>
      </c>
      <c r="K107" s="123">
        <f t="shared" si="24"/>
        <v>16886257.037520315</v>
      </c>
      <c r="L107" s="123">
        <f t="shared" si="25"/>
        <v>10642729.110621644</v>
      </c>
      <c r="M107" s="131"/>
      <c r="N107" s="131"/>
    </row>
    <row r="108" spans="1:14">
      <c r="A108" s="45" t="s">
        <v>413</v>
      </c>
      <c r="B108" s="45"/>
      <c r="C108" s="43" t="s">
        <v>129</v>
      </c>
      <c r="F108" s="145">
        <f>+F82</f>
        <v>86836.3922529103</v>
      </c>
      <c r="G108" s="145">
        <f t="shared" ref="G108:I108" si="34">+G82</f>
        <v>2121</v>
      </c>
      <c r="H108" s="145">
        <f t="shared" si="34"/>
        <v>5701216.1771249548</v>
      </c>
      <c r="I108" s="145">
        <f t="shared" si="34"/>
        <v>2519011.2832882577</v>
      </c>
      <c r="J108" s="145">
        <f t="shared" ref="J108" si="35">+J82</f>
        <v>40226.262000000002</v>
      </c>
      <c r="K108" s="123">
        <f t="shared" si="24"/>
        <v>8180001.1984132119</v>
      </c>
      <c r="L108" s="123">
        <f t="shared" si="25"/>
        <v>5660989.9151249547</v>
      </c>
      <c r="M108" s="131"/>
      <c r="N108" s="131"/>
    </row>
    <row r="109" spans="1:14">
      <c r="A109" s="45" t="s">
        <v>414</v>
      </c>
      <c r="B109" s="45"/>
      <c r="C109" s="43" t="s">
        <v>131</v>
      </c>
      <c r="F109" s="145">
        <f>SUM('#1-Meritus'!F148,'#2-UMMS'!F148,'#3-Prince George''s'!F148,'#4-Holy Cross'!F148,'#5-Frederick Memorial'!F148,'#6-Harford Memorial'!F148,'#7-St. Joseph'!F148,'#8-Mercy'!F148,'#9-Johns Hopkins'!F148,'#10-Shore Health Dorchester'!F148,'#11-St. Agnes'!F148,'#12-Sinai'!F148,'#13-Bon Secours'!F148,'#15-Franklin Square'!F148,'#16-Washington Adventist'!F148,'#17-Garrett County'!F148,'#18-Montgomery General'!F148,'#19-Pennisula General'!F148,'#22-Suburban'!F148,'#23-Anne Arundel Medical Center'!F148,'#24-Union Memorial'!F148,'#27-Western Maryland Regional'!F148,'#28-St. Mary''s'!F148,'#29-JH Bayview'!F148,'#30-Chester River'!F148,'#32-Union Cecil County'!F148,'#33-Carroll Hospital '!F148,'#34-Harbor Hospital'!F148,'#35-Civista Medical Center'!F148,'#37-Shore Health Easton'!F148,'#38-UM Midtown'!F148,'#39-Calvert Memorial'!F148,'#40-Northwest'!F148,'#43-UM Baltimore Washington'!F148,'#44-GBMC'!F148,'#45-McCready'!F148,'#48-Howard County'!F148,'#49-UCH Upper Chesapeake'!F148,'#51-Doctors Community'!F148,'#55-Laurel Regional'!F148,'#60-Ft Washington'!F148,'#61-Atlantic General'!F148,'#62-Southern Maryland'!F148,'#2001-UM Rehab &amp; Ortho'!F148,'#2004-Good Samaritan'!F148,'#5034-Mt. Washington Pediatric'!F148,'#5050-Shady Grove Adventist'!F148)</f>
        <v>0</v>
      </c>
      <c r="G109" s="145">
        <f>SUM('#1-Meritus'!G148,'#2-UMMS'!G148,'#3-Prince George''s'!G148,'#4-Holy Cross'!G148,'#5-Frederick Memorial'!G148,'#6-Harford Memorial'!G148,'#7-St. Joseph'!G148,'#8-Mercy'!G148,'#9-Johns Hopkins'!G148,'#10-Shore Health Dorchester'!G148,'#11-St. Agnes'!G148,'#12-Sinai'!G148,'#13-Bon Secours'!G148,'#15-Franklin Square'!G148,'#16-Washington Adventist'!G148,'#17-Garrett County'!G148,'#18-Montgomery General'!G148,'#19-Pennisula General'!G148,'#22-Suburban'!G148,'#23-Anne Arundel Medical Center'!G148,'#24-Union Memorial'!G148,'#27-Western Maryland Regional'!G148,'#28-St. Mary''s'!G148,'#29-JH Bayview'!G148,'#30-Chester River'!G148,'#32-Union Cecil County'!G148,'#33-Carroll Hospital '!G148,'#34-Harbor Hospital'!G148,'#35-Civista Medical Center'!G148,'#37-Shore Health Easton'!G148,'#38-UM Midtown'!G148,'#39-Calvert Memorial'!G148,'#40-Northwest'!G148,'#43-UM Baltimore Washington'!G148,'#44-GBMC'!G148,'#45-McCready'!G148,'#48-Howard County'!G148,'#49-UCH Upper Chesapeake'!G148,'#51-Doctors Community'!G148,'#55-Laurel Regional'!G148,'#60-Ft Washington'!G148,'#61-Atlantic General'!G148,'#62-Southern Maryland'!G148,'#2001-UM Rehab &amp; Ortho'!G148,'#2004-Good Samaritan'!G148,'#5034-Mt. Washington Pediatric'!G148,'#5050-Shady Grove Adventist'!G148)</f>
        <v>0</v>
      </c>
      <c r="H109" s="145">
        <f>+F86</f>
        <v>518234531.73605531</v>
      </c>
      <c r="I109" s="145">
        <f>+G86</f>
        <v>0</v>
      </c>
      <c r="J109" s="145">
        <f>SUM('#1-Meritus'!J148,'#2-UMMS'!J148,'#3-Prince George''s'!J148,'#4-Holy Cross'!J148,'#5-Frederick Memorial'!J148,'#6-Harford Memorial'!J148,'#7-St. Joseph'!J148,'#8-Mercy'!J148,'#9-Johns Hopkins'!J148,'#10-Shore Health Dorchester'!J148,'#11-St. Agnes'!J148,'#12-Sinai'!J148,'#13-Bon Secours'!J148,'#15-Franklin Square'!J148,'#16-Washington Adventist'!J148,'#17-Garrett County'!J148,'#18-Montgomery General'!J148,'#19-Pennisula General'!J148,'#22-Suburban'!J148,'#23-Anne Arundel Medical Center'!J148,'#24-Union Memorial'!J148,'#27-Western Maryland Regional'!J148,'#28-St. Mary''s'!J148,'#29-JH Bayview'!J148,'#30-Chester River'!J148,'#32-Union Cecil County'!J148,'#33-Carroll Hospital '!J148,'#34-Harbor Hospital'!J148,'#35-Civista Medical Center'!J148,'#37-Shore Health Easton'!J148,'#38-UM Midtown'!J148,'#39-Calvert Memorial'!J148,'#40-Northwest'!J148,'#43-UM Baltimore Washington'!J148,'#44-GBMC'!J148,'#45-McCready'!J148,'#48-Howard County'!J148,'#49-UCH Upper Chesapeake'!J148,'#51-Doctors Community'!J148,'#55-Laurel Regional'!J148,'#60-Ft Washington'!J148,'#61-Atlantic General'!J148,'#62-Southern Maryland'!J148,'#2001-UM Rehab &amp; Ortho'!J148,'#2004-Good Samaritan'!J148,'#5034-Mt. Washington Pediatric'!J148,'#5050-Shady Grove Adventist'!J148)</f>
        <v>0</v>
      </c>
      <c r="K109" s="123">
        <f>+H109+I109-J109</f>
        <v>518234531.73605531</v>
      </c>
      <c r="L109" s="123">
        <f t="shared" si="25"/>
        <v>518234531.73605531</v>
      </c>
      <c r="M109" s="131"/>
      <c r="N109" s="131"/>
    </row>
    <row r="110" spans="1:14">
      <c r="A110" s="45" t="s">
        <v>415</v>
      </c>
      <c r="B110" s="45"/>
      <c r="C110" s="43" t="s">
        <v>250</v>
      </c>
      <c r="F110" s="145">
        <f>+F97</f>
        <v>48532</v>
      </c>
      <c r="G110" s="145">
        <f t="shared" ref="G110:I110" si="36">+G97</f>
        <v>11987</v>
      </c>
      <c r="H110" s="145">
        <f t="shared" si="36"/>
        <v>1825704.2968000001</v>
      </c>
      <c r="I110" s="145">
        <f t="shared" si="36"/>
        <v>126709.48006791911</v>
      </c>
      <c r="J110" s="145">
        <f t="shared" ref="J110" si="37">+J97</f>
        <v>22059</v>
      </c>
      <c r="K110" s="123">
        <f t="shared" si="24"/>
        <v>1930354.7768679191</v>
      </c>
      <c r="L110" s="123">
        <f t="shared" si="25"/>
        <v>1803645.2968000001</v>
      </c>
      <c r="M110" s="131"/>
      <c r="N110" s="131"/>
    </row>
    <row r="111" spans="1:14">
      <c r="A111" s="45" t="s">
        <v>259</v>
      </c>
      <c r="B111" s="45"/>
      <c r="C111" s="43" t="s">
        <v>153</v>
      </c>
      <c r="F111" s="145">
        <f>+F6</f>
        <v>0</v>
      </c>
      <c r="G111" s="145">
        <f t="shared" ref="G111:I111" si="38">+G6</f>
        <v>0</v>
      </c>
      <c r="H111" s="145">
        <f t="shared" si="38"/>
        <v>370856568.70639372</v>
      </c>
      <c r="I111" s="145">
        <f t="shared" si="38"/>
        <v>0</v>
      </c>
      <c r="J111" s="145">
        <f t="shared" ref="J111" si="39">+J6</f>
        <v>314380692.74617338</v>
      </c>
      <c r="K111" s="123">
        <f t="shared" si="24"/>
        <v>56475875.960220337</v>
      </c>
      <c r="L111" s="123">
        <f t="shared" si="25"/>
        <v>56475875.960220337</v>
      </c>
      <c r="M111" s="131"/>
      <c r="N111" s="131"/>
    </row>
    <row r="112" spans="1:14">
      <c r="A112" s="45"/>
      <c r="B112" s="45"/>
      <c r="C112" s="43"/>
      <c r="F112" s="74"/>
      <c r="G112" s="74"/>
      <c r="H112" s="133"/>
      <c r="I112" s="133"/>
      <c r="J112" s="133"/>
      <c r="K112" s="133"/>
      <c r="L112" s="131"/>
    </row>
    <row r="113" spans="1:14">
      <c r="A113" s="45" t="s">
        <v>360</v>
      </c>
      <c r="B113" s="39"/>
      <c r="C113" s="43" t="s">
        <v>245</v>
      </c>
      <c r="F113" s="145">
        <f>SUM(F102:F111)</f>
        <v>10042036.233542493</v>
      </c>
      <c r="G113" s="145">
        <f t="shared" ref="G113:L113" si="40">SUM(G102:G111)</f>
        <v>20985522.79171335</v>
      </c>
      <c r="H113" s="145">
        <f t="shared" si="40"/>
        <v>1769897517.6596572</v>
      </c>
      <c r="I113" s="145">
        <f t="shared" si="40"/>
        <v>225389999.79376826</v>
      </c>
      <c r="J113" s="145">
        <f t="shared" si="40"/>
        <v>489733195.60720456</v>
      </c>
      <c r="K113" s="145">
        <f t="shared" si="40"/>
        <v>1505554321.846221</v>
      </c>
      <c r="L113" s="145">
        <f t="shared" si="40"/>
        <v>1280164322.0524528</v>
      </c>
    </row>
    <row r="114" spans="1:14">
      <c r="A114" s="39"/>
      <c r="B114" s="48"/>
      <c r="C114" s="43"/>
      <c r="F114" s="136"/>
      <c r="G114" s="136"/>
      <c r="H114" s="136"/>
      <c r="I114" s="136"/>
      <c r="J114" s="74"/>
      <c r="K114" s="74"/>
      <c r="L114" s="74"/>
    </row>
    <row r="115" spans="1:14">
      <c r="A115" s="48"/>
      <c r="B115" s="48"/>
      <c r="C115" s="43" t="s">
        <v>416</v>
      </c>
      <c r="D115" s="153">
        <f>SUM('[7]AAMC 11:WMHS 11'!F121)</f>
        <v>13039588671.793743</v>
      </c>
      <c r="E115" s="154"/>
      <c r="F115" s="124">
        <f>SUM('#1-Meritus'!F121,'#2-UMMS'!F121,'#3-Prince George''s'!F121,'#4-Holy Cross'!F121,'#5-Frederick Memorial'!F121,'#6-Harford Memorial'!F121,'#7-St. Joseph'!F121,'#8-Mercy'!F121,'#9-Johns Hopkins'!F121,'#10-Shore Health Dorchester'!F121,'#11-St. Agnes'!F121,'#12-Sinai'!F121,'#13-Bon Secours'!F121,'#15-Franklin Square'!F121,'#16-Washington Adventist'!F121,'#17-Garrett County'!F121,'#18-Montgomery General'!F121,'#19-Pennisula General'!F121,'#22-Suburban'!F121,'#23-Anne Arundel Medical Center'!F121,'#24-Union Memorial'!F121,'#27-Western Maryland Regional'!F121,'#28-St. Mary''s'!F121,'#29-JH Bayview'!F121,'#30-Chester River'!F121,'#32-Union Cecil County'!F121,'#33-Carroll Hospital '!F121,'#34-Harbor Hospital'!F121,'#35-Civista Medical Center'!F121,'#37-Shore Health Easton'!F121,'#38-UM Midtown'!F121,'#39-Calvert Memorial'!F121,'#40-Northwest'!F121,'#43-UM Baltimore Washington'!F121,'#44-GBMC'!F121,'#45-McCready'!F121,'#48-Howard County'!F121,'#49-UCH Upper Chesapeake'!F121,'#51-Doctors Community'!F121,'#55-Laurel Regional'!F121,'#60-Ft Washington'!F121,'#61-Atlantic General'!F121,'#62-Southern Maryland'!F121,'#2001-UM Rehab &amp; Ortho'!F121,'#2004-Good Samaritan'!F121,'#5034-Mt. Washington Pediatric'!F121,'#5050-Shady Grove Adventist'!F121)</f>
        <v>13625073340.212002</v>
      </c>
      <c r="J115" s="131"/>
      <c r="K115" s="131"/>
    </row>
    <row r="116" spans="1:14">
      <c r="A116" s="48"/>
      <c r="B116" s="48"/>
      <c r="D116" s="43"/>
      <c r="E116" s="43"/>
      <c r="J116" s="131"/>
      <c r="M116" s="126"/>
    </row>
    <row r="117" spans="1:14">
      <c r="A117" s="48"/>
      <c r="B117" s="39"/>
      <c r="C117" s="43" t="s">
        <v>417</v>
      </c>
      <c r="D117" s="155">
        <f>K113/D115</f>
        <v>0.11546026180280693</v>
      </c>
      <c r="E117" s="156"/>
      <c r="F117" s="157">
        <f>K113/F115</f>
        <v>0.1104988049791147</v>
      </c>
      <c r="J117" s="131"/>
      <c r="K117" s="797"/>
      <c r="L117" s="114"/>
      <c r="M117" s="126"/>
    </row>
    <row r="118" spans="1:14">
      <c r="A118" s="39"/>
      <c r="B118" s="39"/>
      <c r="D118" s="43"/>
      <c r="E118" s="43"/>
      <c r="K118" s="43"/>
      <c r="L118" s="114"/>
      <c r="M118" s="126"/>
    </row>
    <row r="119" spans="1:14">
      <c r="A119" s="39"/>
      <c r="B119" s="39"/>
      <c r="C119" s="43" t="s">
        <v>418</v>
      </c>
      <c r="D119" s="157">
        <f>L113/D115</f>
        <v>9.8175207383773375E-2</v>
      </c>
      <c r="E119" s="158"/>
      <c r="F119" s="157">
        <f>L113/F115</f>
        <v>9.3956508716490611E-2</v>
      </c>
      <c r="K119" s="796"/>
      <c r="L119" s="114"/>
      <c r="M119" s="126"/>
    </row>
    <row r="120" spans="1:14">
      <c r="A120" s="39"/>
      <c r="L120" s="114"/>
      <c r="M120" s="114"/>
      <c r="N120" s="126"/>
    </row>
  </sheetData>
  <mergeCells count="1">
    <mergeCell ref="C69:E69"/>
  </mergeCells>
  <pageMargins left="0.7" right="0.7" top="0.75" bottom="0.75" header="0.3" footer="0.3"/>
  <pageSetup scale="62" fitToHeight="0" orientation="landscape" r:id="rId1"/>
  <headerFooter>
    <oddFooter>&amp;CAttachment III Page &amp;P</oddFooter>
  </headerFooter>
  <rowBreaks count="2" manualBreakCount="2">
    <brk id="38" max="16383" man="1"/>
    <brk id="7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C09E5E-D76D-422B-983F-3628773315AC}"/>
</file>

<file path=customXml/itemProps2.xml><?xml version="1.0" encoding="utf-8"?>
<ds:datastoreItem xmlns:ds="http://schemas.openxmlformats.org/officeDocument/2006/customXml" ds:itemID="{8E645CD0-7BA9-4204-833F-D286981E8EDA}"/>
</file>

<file path=customXml/itemProps3.xml><?xml version="1.0" encoding="utf-8"?>
<ds:datastoreItem xmlns:ds="http://schemas.openxmlformats.org/officeDocument/2006/customXml" ds:itemID="{ACA7FB92-ED8C-44E4-87A8-DF3111FD1A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56</vt:i4>
      </vt:variant>
      <vt:variant>
        <vt:lpstr>Named Ranges</vt:lpstr>
      </vt:variant>
      <vt:variant>
        <vt:i4>5</vt:i4>
      </vt:variant>
    </vt:vector>
  </HeadingPairs>
  <TitlesOfParts>
    <vt:vector size="61" baseType="lpstr">
      <vt:lpstr>Rate Support</vt:lpstr>
      <vt:lpstr>DME_NSPI</vt:lpstr>
      <vt:lpstr>Charity Care</vt:lpstr>
      <vt:lpstr>narrative score break down</vt:lpstr>
      <vt:lpstr>CB Table 1</vt:lpstr>
      <vt:lpstr>Charts</vt:lpstr>
      <vt:lpstr>narrative scores</vt:lpstr>
      <vt:lpstr>fy2013cb analysis</vt:lpstr>
      <vt:lpstr>Table I</vt:lpstr>
      <vt:lpstr>#1-Meritus</vt:lpstr>
      <vt:lpstr>#2-UMMS</vt:lpstr>
      <vt:lpstr>#3-Prince George's</vt:lpstr>
      <vt:lpstr>#4-Holy Cross</vt:lpstr>
      <vt:lpstr>#5-Frederick Memorial</vt:lpstr>
      <vt:lpstr>#6-Harford Memorial</vt:lpstr>
      <vt:lpstr>#7-St. Joseph</vt:lpstr>
      <vt:lpstr>#8-Mercy</vt:lpstr>
      <vt:lpstr>#9-Johns Hopkins</vt:lpstr>
      <vt:lpstr>#10-Shore Health Dorchester</vt:lpstr>
      <vt:lpstr>#11-St. Agnes</vt:lpstr>
      <vt:lpstr>#12-Sinai</vt:lpstr>
      <vt:lpstr>#13-Bon Secours</vt:lpstr>
      <vt:lpstr>#15-Franklin Square</vt:lpstr>
      <vt:lpstr>#16-Washington Adventist</vt:lpstr>
      <vt:lpstr>#17-Garrett County</vt:lpstr>
      <vt:lpstr>#18-Montgomery General</vt:lpstr>
      <vt:lpstr>#19-Pennisula General</vt:lpstr>
      <vt:lpstr>#22-Suburban</vt:lpstr>
      <vt:lpstr>#23-Anne Arundel Medical Center</vt:lpstr>
      <vt:lpstr>#24-Union Memorial</vt:lpstr>
      <vt:lpstr>#27-Western Maryland Regional</vt:lpstr>
      <vt:lpstr>#28-St. Mary's</vt:lpstr>
      <vt:lpstr>#29-JH Bayview</vt:lpstr>
      <vt:lpstr>#30-Chester River</vt:lpstr>
      <vt:lpstr>#32-Union Cecil County</vt:lpstr>
      <vt:lpstr>#33-Carroll Hospital </vt:lpstr>
      <vt:lpstr>#34-Harbor Hospital</vt:lpstr>
      <vt:lpstr>#35-Civista Medical Center</vt:lpstr>
      <vt:lpstr>#37-Shore Health Easton</vt:lpstr>
      <vt:lpstr>#38-UM Midtown</vt:lpstr>
      <vt:lpstr>#39-Calvert Memorial</vt:lpstr>
      <vt:lpstr>#40-Northwest</vt:lpstr>
      <vt:lpstr>#43-UM Baltimore Washington</vt:lpstr>
      <vt:lpstr>#44-GBMC</vt:lpstr>
      <vt:lpstr>#45-McCready</vt:lpstr>
      <vt:lpstr>#48-Howard County</vt:lpstr>
      <vt:lpstr>#49-UCH Upper Chesapeake</vt:lpstr>
      <vt:lpstr>#51-Doctors Community</vt:lpstr>
      <vt:lpstr>#55-Laurel Regional</vt:lpstr>
      <vt:lpstr>#60-Ft Washington</vt:lpstr>
      <vt:lpstr>#61-Atlantic General</vt:lpstr>
      <vt:lpstr>#62-Southern Maryland</vt:lpstr>
      <vt:lpstr>#2001-UM Rehab &amp; Ortho</vt:lpstr>
      <vt:lpstr>#2004-Good Samaritan</vt:lpstr>
      <vt:lpstr>#5034-Mt. Washington Pediatric</vt:lpstr>
      <vt:lpstr>#5050-Shady Grove Adventist</vt:lpstr>
      <vt:lpstr>'Charity Care'!Print_Area</vt:lpstr>
      <vt:lpstr>'fy2013cb analysis'!Print_Area</vt:lpstr>
      <vt:lpstr>'narrative score break down'!Print_Area</vt:lpstr>
      <vt:lpstr>'Rate Support'!Print_Area</vt:lpstr>
      <vt:lpstr>'Table 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Amanda Greene</dc:creator>
  <cp:lastModifiedBy>Amanda Greene</cp:lastModifiedBy>
  <cp:lastPrinted>2014-10-14T18:08:25Z</cp:lastPrinted>
  <dcterms:created xsi:type="dcterms:W3CDTF">2011-07-07T18:53:50Z</dcterms:created>
  <dcterms:modified xsi:type="dcterms:W3CDTF">2014-10-14T18:13:30Z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